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rporate Services\2019\Annie G\SRV\IPART APPLICATION\Attachments to go with application\"/>
    </mc:Choice>
  </mc:AlternateContent>
  <bookViews>
    <workbookView xWindow="480" yWindow="135" windowWidth="18195" windowHeight="10800" activeTab="2"/>
  </bookViews>
  <sheets>
    <sheet name="Option 1" sheetId="3" r:id="rId1"/>
    <sheet name="Option 2" sheetId="2" r:id="rId2"/>
    <sheet name="Option 3" sheetId="1" r:id="rId3"/>
    <sheet name="Budget for option 1" sheetId="4" r:id="rId4"/>
    <sheet name="Budget for option 2" sheetId="5" r:id="rId5"/>
    <sheet name="Budget for option 3" sheetId="6" r:id="rId6"/>
  </sheets>
  <calcPr calcId="152511"/>
</workbook>
</file>

<file path=xl/calcChain.xml><?xml version="1.0" encoding="utf-8"?>
<calcChain xmlns="http://schemas.openxmlformats.org/spreadsheetml/2006/main">
  <c r="H2188" i="6" l="1"/>
  <c r="H2191" i="6" s="1"/>
  <c r="G2188" i="6"/>
  <c r="G2191" i="6" s="1"/>
  <c r="F2188" i="6"/>
  <c r="F2191" i="6" s="1"/>
  <c r="E2188" i="6"/>
  <c r="E2191" i="6" s="1"/>
  <c r="D2188" i="6"/>
  <c r="D2191" i="6" s="1"/>
  <c r="C2188" i="6"/>
  <c r="C2191" i="6" s="1"/>
  <c r="J2186" i="6"/>
  <c r="K2186" i="6" s="1"/>
  <c r="L2186" i="6" s="1"/>
  <c r="M2186" i="6" s="1"/>
  <c r="N2186" i="6" s="1"/>
  <c r="O2186" i="6" s="1"/>
  <c r="P2186" i="6" s="1"/>
  <c r="Q2186" i="6" s="1"/>
  <c r="R2186" i="6" s="1"/>
  <c r="I2186" i="6"/>
  <c r="J2181" i="6"/>
  <c r="I2181" i="6"/>
  <c r="I2188" i="6" s="1"/>
  <c r="I2191" i="6" s="1"/>
  <c r="H2173" i="6"/>
  <c r="H2175" i="6" s="1"/>
  <c r="G2173" i="6"/>
  <c r="G2175" i="6" s="1"/>
  <c r="F2173" i="6"/>
  <c r="F2175" i="6" s="1"/>
  <c r="E2173" i="6"/>
  <c r="E2175" i="6" s="1"/>
  <c r="D2173" i="6"/>
  <c r="D2175" i="6" s="1"/>
  <c r="C2173" i="6"/>
  <c r="C2175" i="6" s="1"/>
  <c r="L2171" i="6"/>
  <c r="M2171" i="6" s="1"/>
  <c r="N2171" i="6" s="1"/>
  <c r="O2171" i="6" s="1"/>
  <c r="P2171" i="6" s="1"/>
  <c r="Q2171" i="6" s="1"/>
  <c r="R2171" i="6" s="1"/>
  <c r="J2171" i="6"/>
  <c r="K2171" i="6" s="1"/>
  <c r="I2171" i="6"/>
  <c r="N2170" i="6"/>
  <c r="O2170" i="6" s="1"/>
  <c r="P2170" i="6" s="1"/>
  <c r="Q2170" i="6" s="1"/>
  <c r="R2170" i="6" s="1"/>
  <c r="J2170" i="6"/>
  <c r="K2170" i="6" s="1"/>
  <c r="L2170" i="6" s="1"/>
  <c r="M2170" i="6" s="1"/>
  <c r="I2170" i="6"/>
  <c r="J2169" i="6"/>
  <c r="K2169" i="6" s="1"/>
  <c r="L2169" i="6" s="1"/>
  <c r="M2169" i="6" s="1"/>
  <c r="N2169" i="6" s="1"/>
  <c r="O2169" i="6" s="1"/>
  <c r="P2169" i="6" s="1"/>
  <c r="Q2169" i="6" s="1"/>
  <c r="R2169" i="6" s="1"/>
  <c r="I2169" i="6"/>
  <c r="D2169" i="6"/>
  <c r="I2168" i="6"/>
  <c r="I2173" i="6" s="1"/>
  <c r="I2175" i="6" s="1"/>
  <c r="I2160" i="6"/>
  <c r="H2160" i="6"/>
  <c r="G2160" i="6"/>
  <c r="G2162" i="6" s="1"/>
  <c r="F2160" i="6"/>
  <c r="E2160" i="6"/>
  <c r="E2162" i="6" s="1"/>
  <c r="C2160" i="6"/>
  <c r="Q2157" i="6"/>
  <c r="R2157" i="6" s="1"/>
  <c r="D2157" i="6"/>
  <c r="D2160" i="6" s="1"/>
  <c r="P2156" i="6"/>
  <c r="Q2156" i="6" s="1"/>
  <c r="R2156" i="6" s="1"/>
  <c r="J2156" i="6"/>
  <c r="K2156" i="6" s="1"/>
  <c r="L2156" i="6" s="1"/>
  <c r="M2156" i="6" s="1"/>
  <c r="N2156" i="6" s="1"/>
  <c r="O2156" i="6" s="1"/>
  <c r="I2156" i="6"/>
  <c r="R2154" i="6"/>
  <c r="Q2154" i="6"/>
  <c r="N2152" i="6"/>
  <c r="O2152" i="6" s="1"/>
  <c r="P2152" i="6" s="1"/>
  <c r="Q2152" i="6" s="1"/>
  <c r="R2152" i="6" s="1"/>
  <c r="J2152" i="6"/>
  <c r="K2152" i="6" s="1"/>
  <c r="L2152" i="6" s="1"/>
  <c r="M2152" i="6" s="1"/>
  <c r="I2152" i="6"/>
  <c r="L2151" i="6"/>
  <c r="M2151" i="6" s="1"/>
  <c r="N2151" i="6" s="1"/>
  <c r="O2151" i="6" s="1"/>
  <c r="P2151" i="6" s="1"/>
  <c r="Q2151" i="6" s="1"/>
  <c r="R2151" i="6" s="1"/>
  <c r="J2151" i="6"/>
  <c r="K2151" i="6" s="1"/>
  <c r="I2151" i="6"/>
  <c r="J2150" i="6"/>
  <c r="K2150" i="6" s="1"/>
  <c r="L2150" i="6" s="1"/>
  <c r="M2150" i="6" s="1"/>
  <c r="N2150" i="6" s="1"/>
  <c r="O2150" i="6" s="1"/>
  <c r="P2150" i="6" s="1"/>
  <c r="Q2150" i="6" s="1"/>
  <c r="R2150" i="6" s="1"/>
  <c r="I2150" i="6"/>
  <c r="E2150" i="6"/>
  <c r="C2150" i="6"/>
  <c r="P2148" i="6"/>
  <c r="Q2148" i="6" s="1"/>
  <c r="R2148" i="6" s="1"/>
  <c r="N2148" i="6"/>
  <c r="O2148" i="6" s="1"/>
  <c r="J2148" i="6"/>
  <c r="K2148" i="6" s="1"/>
  <c r="L2148" i="6" s="1"/>
  <c r="M2148" i="6" s="1"/>
  <c r="I2148" i="6"/>
  <c r="R2147" i="6"/>
  <c r="L2147" i="6"/>
  <c r="M2147" i="6" s="1"/>
  <c r="N2147" i="6" s="1"/>
  <c r="O2147" i="6" s="1"/>
  <c r="P2147" i="6" s="1"/>
  <c r="Q2147" i="6" s="1"/>
  <c r="J2147" i="6"/>
  <c r="K2147" i="6" s="1"/>
  <c r="I2147" i="6"/>
  <c r="J2146" i="6"/>
  <c r="I2146" i="6"/>
  <c r="G2142" i="6"/>
  <c r="F2142" i="6"/>
  <c r="D2142" i="6"/>
  <c r="L2136" i="6"/>
  <c r="M2136" i="6" s="1"/>
  <c r="N2136" i="6" s="1"/>
  <c r="O2136" i="6" s="1"/>
  <c r="P2136" i="6" s="1"/>
  <c r="Q2136" i="6" s="1"/>
  <c r="R2136" i="6" s="1"/>
  <c r="J2136" i="6"/>
  <c r="K2136" i="6" s="1"/>
  <c r="I2136" i="6"/>
  <c r="H2135" i="6"/>
  <c r="R2134" i="6"/>
  <c r="Q2134" i="6"/>
  <c r="P2134" i="6"/>
  <c r="O2134" i="6"/>
  <c r="N2134" i="6"/>
  <c r="M2134" i="6"/>
  <c r="L2134" i="6"/>
  <c r="K2134" i="6"/>
  <c r="J2134" i="6"/>
  <c r="I2134" i="6"/>
  <c r="H2134" i="6"/>
  <c r="J2133" i="6"/>
  <c r="K2133" i="6" s="1"/>
  <c r="L2133" i="6" s="1"/>
  <c r="M2133" i="6" s="1"/>
  <c r="N2133" i="6" s="1"/>
  <c r="O2133" i="6" s="1"/>
  <c r="P2133" i="6" s="1"/>
  <c r="Q2133" i="6" s="1"/>
  <c r="R2133" i="6" s="1"/>
  <c r="I2133" i="6"/>
  <c r="P2132" i="6"/>
  <c r="Q2132" i="6" s="1"/>
  <c r="R2132" i="6" s="1"/>
  <c r="J2132" i="6"/>
  <c r="K2132" i="6" s="1"/>
  <c r="L2132" i="6" s="1"/>
  <c r="M2132" i="6" s="1"/>
  <c r="N2132" i="6" s="1"/>
  <c r="O2132" i="6" s="1"/>
  <c r="Q2131" i="6"/>
  <c r="R2131" i="6" s="1"/>
  <c r="O2131" i="6"/>
  <c r="P2131" i="6" s="1"/>
  <c r="K2131" i="6"/>
  <c r="L2131" i="6" s="1"/>
  <c r="M2131" i="6" s="1"/>
  <c r="N2131" i="6" s="1"/>
  <c r="J2131" i="6"/>
  <c r="R2130" i="6"/>
  <c r="L2130" i="6"/>
  <c r="M2130" i="6" s="1"/>
  <c r="N2130" i="6" s="1"/>
  <c r="O2130" i="6" s="1"/>
  <c r="P2130" i="6" s="1"/>
  <c r="Q2130" i="6" s="1"/>
  <c r="J2130" i="6"/>
  <c r="K2130" i="6" s="1"/>
  <c r="L2129" i="6"/>
  <c r="M2129" i="6" s="1"/>
  <c r="N2129" i="6" s="1"/>
  <c r="O2129" i="6" s="1"/>
  <c r="P2129" i="6" s="1"/>
  <c r="Q2129" i="6" s="1"/>
  <c r="R2129" i="6" s="1"/>
  <c r="J2129" i="6"/>
  <c r="K2129" i="6" s="1"/>
  <c r="M2128" i="6"/>
  <c r="N2128" i="6" s="1"/>
  <c r="O2128" i="6" s="1"/>
  <c r="P2128" i="6" s="1"/>
  <c r="Q2128" i="6" s="1"/>
  <c r="R2128" i="6" s="1"/>
  <c r="K2128" i="6"/>
  <c r="L2128" i="6" s="1"/>
  <c r="J2128" i="6"/>
  <c r="F2128" i="6"/>
  <c r="X2127" i="6"/>
  <c r="L2127" i="6"/>
  <c r="M2127" i="6" s="1"/>
  <c r="N2127" i="6" s="1"/>
  <c r="O2127" i="6" s="1"/>
  <c r="P2127" i="6" s="1"/>
  <c r="Q2127" i="6" s="1"/>
  <c r="R2127" i="6" s="1"/>
  <c r="J2127" i="6"/>
  <c r="K2127" i="6" s="1"/>
  <c r="Y2126" i="6"/>
  <c r="R2126" i="6"/>
  <c r="Q2126" i="6"/>
  <c r="C2126" i="6"/>
  <c r="W2125" i="6"/>
  <c r="O2125" i="6"/>
  <c r="P2125" i="6" s="1"/>
  <c r="Q2125" i="6" s="1"/>
  <c r="R2125" i="6" s="1"/>
  <c r="K2125" i="6"/>
  <c r="L2125" i="6" s="1"/>
  <c r="M2125" i="6" s="1"/>
  <c r="N2125" i="6" s="1"/>
  <c r="J2125" i="6"/>
  <c r="C2125" i="6"/>
  <c r="Q2124" i="6"/>
  <c r="R2124" i="6" s="1"/>
  <c r="M2123" i="6"/>
  <c r="N2123" i="6" s="1"/>
  <c r="O2123" i="6" s="1"/>
  <c r="P2123" i="6" s="1"/>
  <c r="Q2123" i="6" s="1"/>
  <c r="R2123" i="6" s="1"/>
  <c r="I2123" i="6"/>
  <c r="J2123" i="6" s="1"/>
  <c r="K2123" i="6" s="1"/>
  <c r="L2123" i="6" s="1"/>
  <c r="H2123" i="6"/>
  <c r="J2122" i="6"/>
  <c r="K2122" i="6" s="1"/>
  <c r="L2122" i="6" s="1"/>
  <c r="M2122" i="6" s="1"/>
  <c r="N2122" i="6" s="1"/>
  <c r="O2122" i="6" s="1"/>
  <c r="P2122" i="6" s="1"/>
  <c r="Q2122" i="6" s="1"/>
  <c r="R2122" i="6" s="1"/>
  <c r="I2122" i="6"/>
  <c r="C2122" i="6"/>
  <c r="O2121" i="6"/>
  <c r="P2121" i="6" s="1"/>
  <c r="Q2121" i="6" s="1"/>
  <c r="R2121" i="6" s="1"/>
  <c r="I2121" i="6"/>
  <c r="J2121" i="6" s="1"/>
  <c r="K2121" i="6" s="1"/>
  <c r="L2121" i="6" s="1"/>
  <c r="M2121" i="6" s="1"/>
  <c r="N2121" i="6" s="1"/>
  <c r="E2121" i="6"/>
  <c r="E2142" i="6" s="1"/>
  <c r="C2121" i="6"/>
  <c r="Q2118" i="6"/>
  <c r="R2118" i="6" s="1"/>
  <c r="I2118" i="6"/>
  <c r="J2118" i="6" s="1"/>
  <c r="K2118" i="6" s="1"/>
  <c r="L2118" i="6" s="1"/>
  <c r="M2118" i="6" s="1"/>
  <c r="N2118" i="6" s="1"/>
  <c r="O2118" i="6" s="1"/>
  <c r="P2118" i="6" s="1"/>
  <c r="R2117" i="6"/>
  <c r="J2117" i="6"/>
  <c r="K2117" i="6" s="1"/>
  <c r="L2117" i="6" s="1"/>
  <c r="M2117" i="6" s="1"/>
  <c r="N2117" i="6" s="1"/>
  <c r="O2117" i="6" s="1"/>
  <c r="P2117" i="6" s="1"/>
  <c r="Q2117" i="6" s="1"/>
  <c r="I2117" i="6"/>
  <c r="I2116" i="6"/>
  <c r="J2116" i="6" s="1"/>
  <c r="K2116" i="6" s="1"/>
  <c r="L2116" i="6" s="1"/>
  <c r="M2116" i="6" s="1"/>
  <c r="N2116" i="6" s="1"/>
  <c r="O2116" i="6" s="1"/>
  <c r="P2116" i="6" s="1"/>
  <c r="Q2116" i="6" s="1"/>
  <c r="R2116" i="6" s="1"/>
  <c r="J2115" i="6"/>
  <c r="I2115" i="6"/>
  <c r="H2106" i="6"/>
  <c r="H2108" i="6" s="1"/>
  <c r="G2106" i="6"/>
  <c r="G2108" i="6" s="1"/>
  <c r="F2106" i="6"/>
  <c r="E2106" i="6"/>
  <c r="C2106" i="6"/>
  <c r="C2108" i="6" s="1"/>
  <c r="I2034" i="6"/>
  <c r="I2106" i="6" s="1"/>
  <c r="D2034" i="6"/>
  <c r="D2106" i="6" s="1"/>
  <c r="L2028" i="6"/>
  <c r="M2028" i="6" s="1"/>
  <c r="I2023" i="6"/>
  <c r="G2023" i="6"/>
  <c r="F2023" i="6"/>
  <c r="C2023" i="6"/>
  <c r="D1902" i="6"/>
  <c r="D1829" i="6"/>
  <c r="O1823" i="6"/>
  <c r="P1823" i="6" s="1"/>
  <c r="Q1823" i="6" s="1"/>
  <c r="R1823" i="6" s="1"/>
  <c r="L1823" i="6"/>
  <c r="M1823" i="6" s="1"/>
  <c r="N1823" i="6" s="1"/>
  <c r="R1818" i="6"/>
  <c r="N1818" i="6"/>
  <c r="O1818" i="6" s="1"/>
  <c r="P1818" i="6" s="1"/>
  <c r="Q1818" i="6" s="1"/>
  <c r="L1818" i="6"/>
  <c r="M1818" i="6" s="1"/>
  <c r="E1816" i="6"/>
  <c r="D1816" i="6"/>
  <c r="E1815" i="6"/>
  <c r="D1815" i="6"/>
  <c r="M1811" i="6"/>
  <c r="N1811" i="6" s="1"/>
  <c r="O1811" i="6" s="1"/>
  <c r="P1811" i="6" s="1"/>
  <c r="Q1811" i="6" s="1"/>
  <c r="R1811" i="6" s="1"/>
  <c r="E1810" i="6"/>
  <c r="D1810" i="6"/>
  <c r="R1809" i="6"/>
  <c r="Q1809" i="6"/>
  <c r="Q2023" i="6" s="1"/>
  <c r="P1809" i="6"/>
  <c r="O1809" i="6"/>
  <c r="N1809" i="6"/>
  <c r="M1809" i="6"/>
  <c r="M2023" i="6" s="1"/>
  <c r="L1809" i="6"/>
  <c r="L2023" i="6" s="1"/>
  <c r="K1809" i="6"/>
  <c r="K2023" i="6" s="1"/>
  <c r="J1809" i="6"/>
  <c r="J2023" i="6" s="1"/>
  <c r="I1809" i="6"/>
  <c r="H1809" i="6"/>
  <c r="H2023" i="6" s="1"/>
  <c r="E1809" i="6"/>
  <c r="D1809" i="6"/>
  <c r="E1808" i="6"/>
  <c r="D1808" i="6"/>
  <c r="E1806" i="6"/>
  <c r="D1806" i="6"/>
  <c r="E1805" i="6"/>
  <c r="E2023" i="6" s="1"/>
  <c r="D1805" i="6"/>
  <c r="H1796" i="6"/>
  <c r="G1796" i="6"/>
  <c r="F1796" i="6"/>
  <c r="E1796" i="6"/>
  <c r="C1796" i="6"/>
  <c r="M1794" i="6"/>
  <c r="N1794" i="6" s="1"/>
  <c r="O1794" i="6" s="1"/>
  <c r="P1794" i="6" s="1"/>
  <c r="Q1794" i="6" s="1"/>
  <c r="R1794" i="6" s="1"/>
  <c r="L1794" i="6"/>
  <c r="J1794" i="6"/>
  <c r="K1794" i="6" s="1"/>
  <c r="N1791" i="6"/>
  <c r="O1791" i="6" s="1"/>
  <c r="P1791" i="6" s="1"/>
  <c r="Q1791" i="6" s="1"/>
  <c r="R1791" i="6" s="1"/>
  <c r="M1791" i="6"/>
  <c r="I1791" i="6"/>
  <c r="J1791" i="6" s="1"/>
  <c r="K1791" i="6" s="1"/>
  <c r="L1791" i="6" s="1"/>
  <c r="O1790" i="6"/>
  <c r="P1790" i="6" s="1"/>
  <c r="Q1790" i="6" s="1"/>
  <c r="R1790" i="6" s="1"/>
  <c r="K1790" i="6"/>
  <c r="L1790" i="6" s="1"/>
  <c r="M1790" i="6" s="1"/>
  <c r="N1790" i="6" s="1"/>
  <c r="J1790" i="6"/>
  <c r="M1789" i="6"/>
  <c r="N1789" i="6" s="1"/>
  <c r="O1789" i="6" s="1"/>
  <c r="P1789" i="6" s="1"/>
  <c r="Q1789" i="6" s="1"/>
  <c r="R1789" i="6" s="1"/>
  <c r="L1789" i="6"/>
  <c r="I1789" i="6"/>
  <c r="J1789" i="6" s="1"/>
  <c r="K1789" i="6" s="1"/>
  <c r="N1788" i="6"/>
  <c r="O1788" i="6" s="1"/>
  <c r="P1788" i="6" s="1"/>
  <c r="Q1788" i="6" s="1"/>
  <c r="R1788" i="6" s="1"/>
  <c r="K1788" i="6"/>
  <c r="L1788" i="6" s="1"/>
  <c r="M1788" i="6" s="1"/>
  <c r="J1788" i="6"/>
  <c r="I1788" i="6"/>
  <c r="Q1787" i="6"/>
  <c r="R1787" i="6" s="1"/>
  <c r="D1787" i="6"/>
  <c r="D1796" i="6" s="1"/>
  <c r="L1785" i="6"/>
  <c r="M1785" i="6" s="1"/>
  <c r="N1785" i="6" s="1"/>
  <c r="O1785" i="6" s="1"/>
  <c r="P1785" i="6" s="1"/>
  <c r="Q1785" i="6" s="1"/>
  <c r="R1785" i="6" s="1"/>
  <c r="K1785" i="6"/>
  <c r="I1785" i="6"/>
  <c r="J1785" i="6" s="1"/>
  <c r="N1784" i="6"/>
  <c r="O1784" i="6" s="1"/>
  <c r="P1784" i="6" s="1"/>
  <c r="Q1784" i="6" s="1"/>
  <c r="R1784" i="6" s="1"/>
  <c r="J1784" i="6"/>
  <c r="K1784" i="6" s="1"/>
  <c r="L1784" i="6" s="1"/>
  <c r="M1784" i="6" s="1"/>
  <c r="I1784" i="6"/>
  <c r="I1796" i="6" s="1"/>
  <c r="L1783" i="6"/>
  <c r="K1783" i="6"/>
  <c r="I1783" i="6"/>
  <c r="J1783" i="6" s="1"/>
  <c r="I1774" i="6"/>
  <c r="I1776" i="6" s="1"/>
  <c r="G1774" i="6"/>
  <c r="G1776" i="6" s="1"/>
  <c r="R1771" i="6"/>
  <c r="I1771" i="6"/>
  <c r="J1771" i="6" s="1"/>
  <c r="K1771" i="6" s="1"/>
  <c r="L1771" i="6" s="1"/>
  <c r="M1771" i="6" s="1"/>
  <c r="N1771" i="6" s="1"/>
  <c r="O1771" i="6" s="1"/>
  <c r="P1771" i="6" s="1"/>
  <c r="Q1771" i="6" s="1"/>
  <c r="L1769" i="6"/>
  <c r="M1769" i="6" s="1"/>
  <c r="N1769" i="6" s="1"/>
  <c r="O1769" i="6" s="1"/>
  <c r="P1769" i="6" s="1"/>
  <c r="Q1769" i="6" s="1"/>
  <c r="R1769" i="6" s="1"/>
  <c r="I1769" i="6"/>
  <c r="J1769" i="6" s="1"/>
  <c r="K1769" i="6" s="1"/>
  <c r="N1768" i="6"/>
  <c r="O1768" i="6" s="1"/>
  <c r="P1768" i="6" s="1"/>
  <c r="Q1768" i="6" s="1"/>
  <c r="R1768" i="6" s="1"/>
  <c r="M1768" i="6"/>
  <c r="K1768" i="6"/>
  <c r="L1768" i="6" s="1"/>
  <c r="I1768" i="6"/>
  <c r="J1768" i="6" s="1"/>
  <c r="H1768" i="6"/>
  <c r="F1768" i="6"/>
  <c r="F1774" i="6" s="1"/>
  <c r="F1776" i="6" s="1"/>
  <c r="E1768" i="6"/>
  <c r="C1768" i="6"/>
  <c r="Q1767" i="6"/>
  <c r="R1767" i="6" s="1"/>
  <c r="K1767" i="6"/>
  <c r="L1767" i="6" s="1"/>
  <c r="M1767" i="6" s="1"/>
  <c r="N1767" i="6" s="1"/>
  <c r="O1767" i="6" s="1"/>
  <c r="P1767" i="6" s="1"/>
  <c r="I1767" i="6"/>
  <c r="J1767" i="6" s="1"/>
  <c r="O1766" i="6"/>
  <c r="P1766" i="6" s="1"/>
  <c r="Q1766" i="6" s="1"/>
  <c r="R1766" i="6" s="1"/>
  <c r="M1766" i="6"/>
  <c r="N1766" i="6" s="1"/>
  <c r="K1766" i="6"/>
  <c r="L1766" i="6" s="1"/>
  <c r="J1766" i="6"/>
  <c r="I1766" i="6"/>
  <c r="L1765" i="6"/>
  <c r="M1765" i="6" s="1"/>
  <c r="N1765" i="6" s="1"/>
  <c r="O1765" i="6" s="1"/>
  <c r="P1765" i="6" s="1"/>
  <c r="Q1765" i="6" s="1"/>
  <c r="R1765" i="6" s="1"/>
  <c r="K1765" i="6"/>
  <c r="I1765" i="6"/>
  <c r="J1765" i="6" s="1"/>
  <c r="E1765" i="6"/>
  <c r="R1764" i="6"/>
  <c r="K1764" i="6"/>
  <c r="L1764" i="6" s="1"/>
  <c r="M1764" i="6" s="1"/>
  <c r="N1764" i="6" s="1"/>
  <c r="O1764" i="6" s="1"/>
  <c r="P1764" i="6" s="1"/>
  <c r="Q1764" i="6" s="1"/>
  <c r="J1764" i="6"/>
  <c r="I1764" i="6"/>
  <c r="E1764" i="6"/>
  <c r="K1763" i="6"/>
  <c r="L1763" i="6" s="1"/>
  <c r="M1763" i="6" s="1"/>
  <c r="N1763" i="6" s="1"/>
  <c r="O1763" i="6" s="1"/>
  <c r="P1763" i="6" s="1"/>
  <c r="Q1763" i="6" s="1"/>
  <c r="R1763" i="6" s="1"/>
  <c r="I1763" i="6"/>
  <c r="J1763" i="6" s="1"/>
  <c r="M1761" i="6"/>
  <c r="N1761" i="6" s="1"/>
  <c r="O1761" i="6" s="1"/>
  <c r="P1761" i="6" s="1"/>
  <c r="Q1761" i="6" s="1"/>
  <c r="R1761" i="6" s="1"/>
  <c r="L1761" i="6"/>
  <c r="K1761" i="6"/>
  <c r="I1761" i="6"/>
  <c r="J1761" i="6" s="1"/>
  <c r="R1760" i="6"/>
  <c r="K1760" i="6"/>
  <c r="L1760" i="6" s="1"/>
  <c r="M1760" i="6" s="1"/>
  <c r="N1760" i="6" s="1"/>
  <c r="O1760" i="6" s="1"/>
  <c r="P1760" i="6" s="1"/>
  <c r="Q1760" i="6" s="1"/>
  <c r="J1760" i="6"/>
  <c r="I1760" i="6"/>
  <c r="Q1759" i="6"/>
  <c r="R1759" i="6" s="1"/>
  <c r="E1759" i="6"/>
  <c r="E1774" i="6" s="1"/>
  <c r="E1776" i="6" s="1"/>
  <c r="D1759" i="6"/>
  <c r="M1758" i="6"/>
  <c r="N1758" i="6" s="1"/>
  <c r="O1758" i="6" s="1"/>
  <c r="P1758" i="6" s="1"/>
  <c r="Q1758" i="6" s="1"/>
  <c r="R1758" i="6" s="1"/>
  <c r="K1758" i="6"/>
  <c r="L1758" i="6" s="1"/>
  <c r="I1758" i="6"/>
  <c r="J1758" i="6" s="1"/>
  <c r="N1757" i="6"/>
  <c r="O1757" i="6" s="1"/>
  <c r="P1757" i="6" s="1"/>
  <c r="Q1757" i="6" s="1"/>
  <c r="R1757" i="6" s="1"/>
  <c r="I1757" i="6"/>
  <c r="J1757" i="6" s="1"/>
  <c r="K1757" i="6" s="1"/>
  <c r="L1757" i="6" s="1"/>
  <c r="M1757" i="6" s="1"/>
  <c r="H1757" i="6"/>
  <c r="H1774" i="6" s="1"/>
  <c r="H1776" i="6" s="1"/>
  <c r="C1757" i="6"/>
  <c r="Q1756" i="6"/>
  <c r="R1756" i="6" s="1"/>
  <c r="J1756" i="6"/>
  <c r="K1756" i="6" s="1"/>
  <c r="L1756" i="6" s="1"/>
  <c r="M1756" i="6" s="1"/>
  <c r="N1756" i="6" s="1"/>
  <c r="O1756" i="6" s="1"/>
  <c r="P1756" i="6" s="1"/>
  <c r="I1756" i="6"/>
  <c r="O1755" i="6"/>
  <c r="P1755" i="6" s="1"/>
  <c r="Q1755" i="6" s="1"/>
  <c r="R1755" i="6" s="1"/>
  <c r="L1755" i="6"/>
  <c r="M1755" i="6" s="1"/>
  <c r="N1755" i="6" s="1"/>
  <c r="K1755" i="6"/>
  <c r="I1755" i="6"/>
  <c r="J1755" i="6" s="1"/>
  <c r="J1754" i="6"/>
  <c r="I1754" i="6"/>
  <c r="D1754" i="6"/>
  <c r="C1754" i="6"/>
  <c r="C1774" i="6" s="1"/>
  <c r="H1750" i="6"/>
  <c r="G1750" i="6"/>
  <c r="F1750" i="6"/>
  <c r="E1750" i="6"/>
  <c r="D1750" i="6"/>
  <c r="C1750" i="6"/>
  <c r="J1747" i="6"/>
  <c r="I1747" i="6"/>
  <c r="I1750" i="6" s="1"/>
  <c r="E1740" i="6"/>
  <c r="R1738" i="6"/>
  <c r="Q1738" i="6"/>
  <c r="P1738" i="6"/>
  <c r="O1738" i="6"/>
  <c r="N1738" i="6"/>
  <c r="M1738" i="6"/>
  <c r="L1738" i="6"/>
  <c r="K1738" i="6"/>
  <c r="J1738" i="6"/>
  <c r="I1738" i="6"/>
  <c r="H1738" i="6"/>
  <c r="G1738" i="6"/>
  <c r="G1740" i="6" s="1"/>
  <c r="F1738" i="6"/>
  <c r="E1738" i="6"/>
  <c r="D1738" i="6"/>
  <c r="C1738" i="6"/>
  <c r="C1740" i="6" s="1"/>
  <c r="H1717" i="6"/>
  <c r="G1717" i="6"/>
  <c r="F1717" i="6"/>
  <c r="E1717" i="6"/>
  <c r="D1717" i="6"/>
  <c r="C1717" i="6"/>
  <c r="O1714" i="6"/>
  <c r="P1714" i="6" s="1"/>
  <c r="Q1714" i="6" s="1"/>
  <c r="R1714" i="6" s="1"/>
  <c r="L1714" i="6"/>
  <c r="M1714" i="6" s="1"/>
  <c r="N1714" i="6" s="1"/>
  <c r="K1714" i="6"/>
  <c r="I1714" i="6"/>
  <c r="J1714" i="6" s="1"/>
  <c r="Q1713" i="6"/>
  <c r="R1713" i="6" s="1"/>
  <c r="J1713" i="6"/>
  <c r="K1713" i="6" s="1"/>
  <c r="L1713" i="6" s="1"/>
  <c r="M1713" i="6" s="1"/>
  <c r="N1713" i="6" s="1"/>
  <c r="O1713" i="6" s="1"/>
  <c r="P1713" i="6" s="1"/>
  <c r="I1713" i="6"/>
  <c r="M1712" i="6"/>
  <c r="N1712" i="6" s="1"/>
  <c r="O1712" i="6" s="1"/>
  <c r="P1712" i="6" s="1"/>
  <c r="Q1712" i="6" s="1"/>
  <c r="R1712" i="6" s="1"/>
  <c r="K1712" i="6"/>
  <c r="L1712" i="6" s="1"/>
  <c r="I1712" i="6"/>
  <c r="J1712" i="6" s="1"/>
  <c r="N1711" i="6"/>
  <c r="O1711" i="6" s="1"/>
  <c r="P1711" i="6" s="1"/>
  <c r="Q1711" i="6" s="1"/>
  <c r="R1711" i="6" s="1"/>
  <c r="I1711" i="6"/>
  <c r="J1711" i="6" s="1"/>
  <c r="K1711" i="6" s="1"/>
  <c r="L1711" i="6" s="1"/>
  <c r="M1711" i="6" s="1"/>
  <c r="M1710" i="6"/>
  <c r="N1710" i="6" s="1"/>
  <c r="O1710" i="6" s="1"/>
  <c r="P1710" i="6" s="1"/>
  <c r="Q1710" i="6" s="1"/>
  <c r="R1710" i="6" s="1"/>
  <c r="I1710" i="6"/>
  <c r="J1710" i="6" s="1"/>
  <c r="K1710" i="6" s="1"/>
  <c r="L1710" i="6" s="1"/>
  <c r="R1709" i="6"/>
  <c r="M1709" i="6"/>
  <c r="N1709" i="6" s="1"/>
  <c r="O1709" i="6" s="1"/>
  <c r="P1709" i="6" s="1"/>
  <c r="Q1709" i="6" s="1"/>
  <c r="I1709" i="6"/>
  <c r="J1709" i="6" s="1"/>
  <c r="K1709" i="6" s="1"/>
  <c r="L1709" i="6" s="1"/>
  <c r="L1708" i="6"/>
  <c r="M1708" i="6" s="1"/>
  <c r="N1708" i="6" s="1"/>
  <c r="O1708" i="6" s="1"/>
  <c r="P1708" i="6" s="1"/>
  <c r="Q1708" i="6" s="1"/>
  <c r="R1708" i="6" s="1"/>
  <c r="K1708" i="6"/>
  <c r="I1708" i="6"/>
  <c r="J1708" i="6" s="1"/>
  <c r="K1707" i="6"/>
  <c r="J1707" i="6"/>
  <c r="I1707" i="6"/>
  <c r="I1717" i="6" s="1"/>
  <c r="G1703" i="6"/>
  <c r="F1703" i="6"/>
  <c r="R1692" i="6"/>
  <c r="Q1692" i="6"/>
  <c r="P1692" i="6"/>
  <c r="O1692" i="6"/>
  <c r="N1692" i="6"/>
  <c r="M1692" i="6"/>
  <c r="L1692" i="6"/>
  <c r="K1692" i="6"/>
  <c r="J1692" i="6"/>
  <c r="I1692" i="6"/>
  <c r="H1692" i="6"/>
  <c r="G1692" i="6"/>
  <c r="F1692" i="6"/>
  <c r="E1692" i="6"/>
  <c r="D1692" i="6"/>
  <c r="C1692" i="6"/>
  <c r="G1685" i="6"/>
  <c r="F1685" i="6"/>
  <c r="F1695" i="6" s="1"/>
  <c r="I1680" i="6"/>
  <c r="J1680" i="6" s="1"/>
  <c r="K1680" i="6" s="1"/>
  <c r="L1680" i="6" s="1"/>
  <c r="M1680" i="6" s="1"/>
  <c r="N1680" i="6" s="1"/>
  <c r="O1680" i="6" s="1"/>
  <c r="P1680" i="6" s="1"/>
  <c r="Q1680" i="6" s="1"/>
  <c r="R1680" i="6" s="1"/>
  <c r="M1679" i="6"/>
  <c r="N1679" i="6" s="1"/>
  <c r="O1679" i="6" s="1"/>
  <c r="P1679" i="6" s="1"/>
  <c r="Q1679" i="6" s="1"/>
  <c r="R1679" i="6" s="1"/>
  <c r="L1679" i="6"/>
  <c r="K1679" i="6"/>
  <c r="J1679" i="6"/>
  <c r="C1678" i="6"/>
  <c r="N1677" i="6"/>
  <c r="O1677" i="6" s="1"/>
  <c r="P1677" i="6" s="1"/>
  <c r="Q1677" i="6" s="1"/>
  <c r="R1677" i="6" s="1"/>
  <c r="I1677" i="6"/>
  <c r="J1677" i="6" s="1"/>
  <c r="K1677" i="6" s="1"/>
  <c r="L1677" i="6" s="1"/>
  <c r="M1677" i="6" s="1"/>
  <c r="M1675" i="6"/>
  <c r="N1675" i="6" s="1"/>
  <c r="O1675" i="6" s="1"/>
  <c r="P1675" i="6" s="1"/>
  <c r="Q1675" i="6" s="1"/>
  <c r="R1675" i="6" s="1"/>
  <c r="L1675" i="6"/>
  <c r="K1675" i="6"/>
  <c r="J1675" i="6"/>
  <c r="R1674" i="6"/>
  <c r="M1674" i="6"/>
  <c r="N1674" i="6" s="1"/>
  <c r="O1674" i="6" s="1"/>
  <c r="P1674" i="6" s="1"/>
  <c r="Q1674" i="6" s="1"/>
  <c r="I1674" i="6"/>
  <c r="J1674" i="6" s="1"/>
  <c r="K1674" i="6" s="1"/>
  <c r="L1674" i="6" s="1"/>
  <c r="L1673" i="6"/>
  <c r="M1673" i="6" s="1"/>
  <c r="N1673" i="6" s="1"/>
  <c r="O1673" i="6" s="1"/>
  <c r="P1673" i="6" s="1"/>
  <c r="Q1673" i="6" s="1"/>
  <c r="R1673" i="6" s="1"/>
  <c r="K1673" i="6"/>
  <c r="J1673" i="6"/>
  <c r="I1673" i="6"/>
  <c r="R1672" i="6"/>
  <c r="M1672" i="6"/>
  <c r="N1672" i="6" s="1"/>
  <c r="O1672" i="6" s="1"/>
  <c r="P1672" i="6" s="1"/>
  <c r="Q1672" i="6" s="1"/>
  <c r="I1672" i="6"/>
  <c r="J1672" i="6" s="1"/>
  <c r="K1672" i="6" s="1"/>
  <c r="L1672" i="6" s="1"/>
  <c r="L1671" i="6"/>
  <c r="M1671" i="6" s="1"/>
  <c r="N1671" i="6" s="1"/>
  <c r="O1671" i="6" s="1"/>
  <c r="P1671" i="6" s="1"/>
  <c r="Q1671" i="6" s="1"/>
  <c r="R1671" i="6" s="1"/>
  <c r="K1671" i="6"/>
  <c r="J1671" i="6"/>
  <c r="I1671" i="6"/>
  <c r="E1671" i="6"/>
  <c r="C1671" i="6"/>
  <c r="P1670" i="6"/>
  <c r="Q1670" i="6" s="1"/>
  <c r="R1670" i="6" s="1"/>
  <c r="K1670" i="6"/>
  <c r="L1670" i="6" s="1"/>
  <c r="M1670" i="6" s="1"/>
  <c r="N1670" i="6" s="1"/>
  <c r="O1670" i="6" s="1"/>
  <c r="J1670" i="6"/>
  <c r="I1670" i="6"/>
  <c r="P1669" i="6"/>
  <c r="Q1669" i="6" s="1"/>
  <c r="R1669" i="6" s="1"/>
  <c r="J1669" i="6"/>
  <c r="K1669" i="6" s="1"/>
  <c r="L1669" i="6" s="1"/>
  <c r="M1669" i="6" s="1"/>
  <c r="N1669" i="6" s="1"/>
  <c r="O1669" i="6" s="1"/>
  <c r="I1669" i="6"/>
  <c r="K1667" i="6"/>
  <c r="L1667" i="6" s="1"/>
  <c r="M1667" i="6" s="1"/>
  <c r="N1667" i="6" s="1"/>
  <c r="O1667" i="6" s="1"/>
  <c r="P1667" i="6" s="1"/>
  <c r="Q1667" i="6" s="1"/>
  <c r="R1667" i="6" s="1"/>
  <c r="J1667" i="6"/>
  <c r="I1667" i="6"/>
  <c r="J1664" i="6"/>
  <c r="K1664" i="6" s="1"/>
  <c r="L1664" i="6" s="1"/>
  <c r="M1664" i="6" s="1"/>
  <c r="N1664" i="6" s="1"/>
  <c r="O1664" i="6" s="1"/>
  <c r="P1664" i="6" s="1"/>
  <c r="Q1664" i="6" s="1"/>
  <c r="R1664" i="6" s="1"/>
  <c r="I1664" i="6"/>
  <c r="E1664" i="6"/>
  <c r="K1663" i="6"/>
  <c r="L1663" i="6" s="1"/>
  <c r="M1663" i="6" s="1"/>
  <c r="N1663" i="6" s="1"/>
  <c r="O1663" i="6" s="1"/>
  <c r="P1663" i="6" s="1"/>
  <c r="Q1663" i="6" s="1"/>
  <c r="R1663" i="6" s="1"/>
  <c r="I1663" i="6"/>
  <c r="J1663" i="6" s="1"/>
  <c r="Q1661" i="6"/>
  <c r="R1661" i="6" s="1"/>
  <c r="D1661" i="6"/>
  <c r="E1659" i="6"/>
  <c r="J1657" i="6"/>
  <c r="K1657" i="6" s="1"/>
  <c r="L1657" i="6" s="1"/>
  <c r="M1657" i="6" s="1"/>
  <c r="N1657" i="6" s="1"/>
  <c r="O1657" i="6" s="1"/>
  <c r="P1657" i="6" s="1"/>
  <c r="Q1657" i="6" s="1"/>
  <c r="R1657" i="6" s="1"/>
  <c r="H1655" i="6"/>
  <c r="N1654" i="6"/>
  <c r="O1654" i="6" s="1"/>
  <c r="P1654" i="6" s="1"/>
  <c r="Q1654" i="6" s="1"/>
  <c r="R1654" i="6" s="1"/>
  <c r="J1654" i="6"/>
  <c r="K1654" i="6" s="1"/>
  <c r="L1654" i="6" s="1"/>
  <c r="M1654" i="6" s="1"/>
  <c r="L1653" i="6"/>
  <c r="M1653" i="6" s="1"/>
  <c r="N1653" i="6" s="1"/>
  <c r="O1653" i="6" s="1"/>
  <c r="P1653" i="6" s="1"/>
  <c r="Q1653" i="6" s="1"/>
  <c r="R1653" i="6" s="1"/>
  <c r="K1653" i="6"/>
  <c r="J1653" i="6"/>
  <c r="L1652" i="6"/>
  <c r="M1652" i="6" s="1"/>
  <c r="N1652" i="6" s="1"/>
  <c r="O1652" i="6" s="1"/>
  <c r="P1652" i="6" s="1"/>
  <c r="Q1652" i="6" s="1"/>
  <c r="R1652" i="6" s="1"/>
  <c r="J1652" i="6"/>
  <c r="K1652" i="6" s="1"/>
  <c r="I1652" i="6"/>
  <c r="K1649" i="6"/>
  <c r="L1649" i="6" s="1"/>
  <c r="M1649" i="6" s="1"/>
  <c r="N1649" i="6" s="1"/>
  <c r="O1649" i="6" s="1"/>
  <c r="P1649" i="6" s="1"/>
  <c r="Q1649" i="6" s="1"/>
  <c r="R1649" i="6" s="1"/>
  <c r="J1649" i="6"/>
  <c r="I1649" i="6"/>
  <c r="E1649" i="6"/>
  <c r="I1648" i="6"/>
  <c r="J1648" i="6" s="1"/>
  <c r="K1648" i="6" s="1"/>
  <c r="L1648" i="6" s="1"/>
  <c r="M1648" i="6" s="1"/>
  <c r="N1648" i="6" s="1"/>
  <c r="O1648" i="6" s="1"/>
  <c r="P1648" i="6" s="1"/>
  <c r="Q1648" i="6" s="1"/>
  <c r="R1648" i="6" s="1"/>
  <c r="L1647" i="6"/>
  <c r="M1647" i="6" s="1"/>
  <c r="N1647" i="6" s="1"/>
  <c r="O1647" i="6" s="1"/>
  <c r="P1647" i="6" s="1"/>
  <c r="Q1647" i="6" s="1"/>
  <c r="R1647" i="6" s="1"/>
  <c r="K1647" i="6"/>
  <c r="I1647" i="6"/>
  <c r="J1647" i="6" s="1"/>
  <c r="K1646" i="6"/>
  <c r="L1646" i="6" s="1"/>
  <c r="M1646" i="6" s="1"/>
  <c r="N1646" i="6" s="1"/>
  <c r="O1646" i="6" s="1"/>
  <c r="P1646" i="6" s="1"/>
  <c r="Q1646" i="6" s="1"/>
  <c r="R1646" i="6" s="1"/>
  <c r="J1646" i="6"/>
  <c r="I1646" i="6"/>
  <c r="E1646" i="6"/>
  <c r="I1645" i="6"/>
  <c r="N1644" i="6"/>
  <c r="O1644" i="6" s="1"/>
  <c r="P1644" i="6" s="1"/>
  <c r="Q1644" i="6" s="1"/>
  <c r="R1644" i="6" s="1"/>
  <c r="L1644" i="6"/>
  <c r="M1644" i="6" s="1"/>
  <c r="K1644" i="6"/>
  <c r="J1644" i="6"/>
  <c r="I1644" i="6"/>
  <c r="L1642" i="6"/>
  <c r="M1642" i="6" s="1"/>
  <c r="N1642" i="6" s="1"/>
  <c r="O1642" i="6" s="1"/>
  <c r="P1642" i="6" s="1"/>
  <c r="Q1642" i="6" s="1"/>
  <c r="R1642" i="6" s="1"/>
  <c r="I1642" i="6"/>
  <c r="J1642" i="6" s="1"/>
  <c r="K1642" i="6" s="1"/>
  <c r="N1641" i="6"/>
  <c r="O1641" i="6" s="1"/>
  <c r="P1641" i="6" s="1"/>
  <c r="Q1641" i="6" s="1"/>
  <c r="R1641" i="6" s="1"/>
  <c r="K1641" i="6"/>
  <c r="L1641" i="6" s="1"/>
  <c r="M1641" i="6" s="1"/>
  <c r="J1641" i="6"/>
  <c r="I1641" i="6"/>
  <c r="I1640" i="6"/>
  <c r="J1640" i="6" s="1"/>
  <c r="C1640" i="6"/>
  <c r="C1685" i="6" s="1"/>
  <c r="C1695" i="6" s="1"/>
  <c r="Q1635" i="6"/>
  <c r="P1635" i="6"/>
  <c r="O1635" i="6"/>
  <c r="N1635" i="6"/>
  <c r="M1635" i="6"/>
  <c r="L1635" i="6"/>
  <c r="K1635" i="6"/>
  <c r="J1635" i="6"/>
  <c r="I1635" i="6"/>
  <c r="H1635" i="6"/>
  <c r="G1635" i="6"/>
  <c r="F1635" i="6"/>
  <c r="C1635" i="6"/>
  <c r="Q1628" i="6"/>
  <c r="R1628" i="6" s="1"/>
  <c r="R1635" i="6" s="1"/>
  <c r="E1628" i="6"/>
  <c r="E1635" i="6" s="1"/>
  <c r="D1628" i="6"/>
  <c r="D1635" i="6" s="1"/>
  <c r="R1613" i="6"/>
  <c r="Q1613" i="6"/>
  <c r="P1613" i="6"/>
  <c r="O1613" i="6"/>
  <c r="N1613" i="6"/>
  <c r="M1613" i="6"/>
  <c r="L1613" i="6"/>
  <c r="K1613" i="6"/>
  <c r="J1613" i="6"/>
  <c r="I1613" i="6"/>
  <c r="H1613" i="6"/>
  <c r="H1615" i="6" s="1"/>
  <c r="G1613" i="6"/>
  <c r="G1615" i="6" s="1"/>
  <c r="G1617" i="6" s="1"/>
  <c r="F1613" i="6"/>
  <c r="F1615" i="6" s="1"/>
  <c r="E1613" i="6"/>
  <c r="D1613" i="6"/>
  <c r="D1615" i="6" s="1"/>
  <c r="C1613" i="6"/>
  <c r="R1592" i="6"/>
  <c r="Q1592" i="6"/>
  <c r="E1592" i="6"/>
  <c r="D1592" i="6"/>
  <c r="C1592" i="6"/>
  <c r="I1585" i="6"/>
  <c r="H1585" i="6"/>
  <c r="G1585" i="6"/>
  <c r="F1585" i="6"/>
  <c r="Q1583" i="6"/>
  <c r="R1583" i="6" s="1"/>
  <c r="D1583" i="6"/>
  <c r="D1585" i="6" s="1"/>
  <c r="K1572" i="6"/>
  <c r="L1572" i="6" s="1"/>
  <c r="L1585" i="6" s="1"/>
  <c r="I1572" i="6"/>
  <c r="J1572" i="6" s="1"/>
  <c r="J1585" i="6" s="1"/>
  <c r="E1570" i="6"/>
  <c r="C1570" i="6"/>
  <c r="C1585" i="6" s="1"/>
  <c r="H1565" i="6"/>
  <c r="G1565" i="6"/>
  <c r="F1565" i="6"/>
  <c r="C1565" i="6"/>
  <c r="Q1556" i="6"/>
  <c r="R1556" i="6" s="1"/>
  <c r="E1556" i="6"/>
  <c r="E1565" i="6" s="1"/>
  <c r="D1556" i="6"/>
  <c r="D1565" i="6" s="1"/>
  <c r="Q1555" i="6"/>
  <c r="R1555" i="6" s="1"/>
  <c r="K1555" i="6"/>
  <c r="L1555" i="6" s="1"/>
  <c r="M1555" i="6" s="1"/>
  <c r="N1555" i="6" s="1"/>
  <c r="O1555" i="6" s="1"/>
  <c r="P1555" i="6" s="1"/>
  <c r="I1555" i="6"/>
  <c r="J1555" i="6" s="1"/>
  <c r="J1553" i="6"/>
  <c r="K1553" i="6" s="1"/>
  <c r="L1553" i="6" s="1"/>
  <c r="M1553" i="6" s="1"/>
  <c r="N1553" i="6" s="1"/>
  <c r="O1553" i="6" s="1"/>
  <c r="P1553" i="6" s="1"/>
  <c r="Q1553" i="6" s="1"/>
  <c r="R1553" i="6" s="1"/>
  <c r="I1553" i="6"/>
  <c r="E1553" i="6"/>
  <c r="J1552" i="6"/>
  <c r="K1552" i="6" s="1"/>
  <c r="L1552" i="6" s="1"/>
  <c r="M1552" i="6" s="1"/>
  <c r="N1552" i="6" s="1"/>
  <c r="O1552" i="6" s="1"/>
  <c r="P1552" i="6" s="1"/>
  <c r="Q1552" i="6" s="1"/>
  <c r="R1552" i="6" s="1"/>
  <c r="I1552" i="6"/>
  <c r="K1551" i="6"/>
  <c r="L1551" i="6" s="1"/>
  <c r="M1551" i="6" s="1"/>
  <c r="N1551" i="6" s="1"/>
  <c r="O1551" i="6" s="1"/>
  <c r="P1551" i="6" s="1"/>
  <c r="Q1551" i="6" s="1"/>
  <c r="R1551" i="6" s="1"/>
  <c r="J1551" i="6"/>
  <c r="I1551" i="6"/>
  <c r="J1550" i="6"/>
  <c r="K1550" i="6" s="1"/>
  <c r="L1550" i="6" s="1"/>
  <c r="M1550" i="6" s="1"/>
  <c r="N1550" i="6" s="1"/>
  <c r="O1550" i="6" s="1"/>
  <c r="P1550" i="6" s="1"/>
  <c r="Q1550" i="6" s="1"/>
  <c r="R1550" i="6" s="1"/>
  <c r="I1550" i="6"/>
  <c r="O1549" i="6"/>
  <c r="P1549" i="6" s="1"/>
  <c r="Q1549" i="6" s="1"/>
  <c r="R1549" i="6" s="1"/>
  <c r="K1549" i="6"/>
  <c r="L1549" i="6" s="1"/>
  <c r="M1549" i="6" s="1"/>
  <c r="N1549" i="6" s="1"/>
  <c r="J1549" i="6"/>
  <c r="I1549" i="6"/>
  <c r="E1549" i="6"/>
  <c r="K1548" i="6"/>
  <c r="L1548" i="6" s="1"/>
  <c r="I1548" i="6"/>
  <c r="J1548" i="6" s="1"/>
  <c r="G1542" i="6"/>
  <c r="C1542" i="6"/>
  <c r="H1540" i="6"/>
  <c r="G1540" i="6"/>
  <c r="F1540" i="6"/>
  <c r="D1540" i="6"/>
  <c r="C1540" i="6"/>
  <c r="R1513" i="6"/>
  <c r="Q1513" i="6"/>
  <c r="P1513" i="6"/>
  <c r="O1513" i="6"/>
  <c r="N1513" i="6"/>
  <c r="M1513" i="6"/>
  <c r="L1513" i="6"/>
  <c r="K1513" i="6"/>
  <c r="J1513" i="6"/>
  <c r="I1513" i="6"/>
  <c r="H1513" i="6"/>
  <c r="E1513" i="6"/>
  <c r="E1540" i="6" s="1"/>
  <c r="C1513" i="6"/>
  <c r="J1498" i="6"/>
  <c r="J1540" i="6" s="1"/>
  <c r="I1498" i="6"/>
  <c r="I1540" i="6" s="1"/>
  <c r="R1493" i="6"/>
  <c r="Q1493" i="6"/>
  <c r="P1493" i="6"/>
  <c r="O1493" i="6"/>
  <c r="N1493" i="6"/>
  <c r="M1493" i="6"/>
  <c r="L1493" i="6"/>
  <c r="K1493" i="6"/>
  <c r="J1493" i="6"/>
  <c r="I1493" i="6"/>
  <c r="H1493" i="6"/>
  <c r="G1493" i="6"/>
  <c r="F1493" i="6"/>
  <c r="E1493" i="6"/>
  <c r="D1493" i="6"/>
  <c r="C1493" i="6"/>
  <c r="R1488" i="6"/>
  <c r="Q1488" i="6"/>
  <c r="E1488" i="6"/>
  <c r="D1488" i="6"/>
  <c r="G1484" i="6"/>
  <c r="F1484" i="6"/>
  <c r="E1481" i="6"/>
  <c r="J1479" i="6"/>
  <c r="K1479" i="6" s="1"/>
  <c r="L1479" i="6" s="1"/>
  <c r="M1479" i="6" s="1"/>
  <c r="N1479" i="6" s="1"/>
  <c r="O1479" i="6" s="1"/>
  <c r="P1479" i="6" s="1"/>
  <c r="Q1479" i="6" s="1"/>
  <c r="I1479" i="6"/>
  <c r="E1478" i="6"/>
  <c r="C1478" i="6"/>
  <c r="C1484" i="6" s="1"/>
  <c r="N1476" i="6"/>
  <c r="O1476" i="6" s="1"/>
  <c r="P1476" i="6" s="1"/>
  <c r="Q1476" i="6" s="1"/>
  <c r="R1476" i="6" s="1"/>
  <c r="J1476" i="6"/>
  <c r="K1476" i="6" s="1"/>
  <c r="L1476" i="6" s="1"/>
  <c r="M1476" i="6" s="1"/>
  <c r="I1476" i="6"/>
  <c r="E1475" i="6"/>
  <c r="Q1470" i="6"/>
  <c r="R1470" i="6" s="1"/>
  <c r="M1470" i="6"/>
  <c r="N1470" i="6" s="1"/>
  <c r="O1470" i="6" s="1"/>
  <c r="P1470" i="6" s="1"/>
  <c r="I1470" i="6"/>
  <c r="J1470" i="6" s="1"/>
  <c r="K1470" i="6" s="1"/>
  <c r="L1470" i="6" s="1"/>
  <c r="D1470" i="6"/>
  <c r="E1470" i="6" s="1"/>
  <c r="Q1467" i="6"/>
  <c r="R1467" i="6" s="1"/>
  <c r="M1467" i="6"/>
  <c r="N1467" i="6" s="1"/>
  <c r="O1467" i="6" s="1"/>
  <c r="P1467" i="6" s="1"/>
  <c r="I1467" i="6"/>
  <c r="J1467" i="6" s="1"/>
  <c r="K1467" i="6" s="1"/>
  <c r="L1467" i="6" s="1"/>
  <c r="K1466" i="6"/>
  <c r="L1466" i="6" s="1"/>
  <c r="M1466" i="6" s="1"/>
  <c r="N1466" i="6" s="1"/>
  <c r="O1466" i="6" s="1"/>
  <c r="P1466" i="6" s="1"/>
  <c r="Q1466" i="6" s="1"/>
  <c r="R1466" i="6" s="1"/>
  <c r="I1466" i="6"/>
  <c r="J1466" i="6" s="1"/>
  <c r="M1465" i="6"/>
  <c r="N1465" i="6" s="1"/>
  <c r="O1465" i="6" s="1"/>
  <c r="P1465" i="6" s="1"/>
  <c r="Q1465" i="6" s="1"/>
  <c r="R1465" i="6" s="1"/>
  <c r="O1460" i="6"/>
  <c r="P1460" i="6" s="1"/>
  <c r="Q1460" i="6" s="1"/>
  <c r="R1460" i="6" s="1"/>
  <c r="M1460" i="6"/>
  <c r="N1460" i="6" s="1"/>
  <c r="M1457" i="6"/>
  <c r="N1457" i="6" s="1"/>
  <c r="O1457" i="6" s="1"/>
  <c r="P1457" i="6" s="1"/>
  <c r="Q1457" i="6" s="1"/>
  <c r="R1457" i="6" s="1"/>
  <c r="I1457" i="6"/>
  <c r="J1457" i="6" s="1"/>
  <c r="K1457" i="6" s="1"/>
  <c r="L1457" i="6" s="1"/>
  <c r="E1456" i="6"/>
  <c r="J1455" i="6"/>
  <c r="K1455" i="6" s="1"/>
  <c r="L1455" i="6" s="1"/>
  <c r="M1455" i="6" s="1"/>
  <c r="N1455" i="6" s="1"/>
  <c r="O1455" i="6" s="1"/>
  <c r="P1455" i="6" s="1"/>
  <c r="Q1455" i="6" s="1"/>
  <c r="R1455" i="6" s="1"/>
  <c r="I1455" i="6"/>
  <c r="J1452" i="6"/>
  <c r="K1452" i="6" s="1"/>
  <c r="L1452" i="6" s="1"/>
  <c r="M1452" i="6" s="1"/>
  <c r="N1452" i="6" s="1"/>
  <c r="O1452" i="6" s="1"/>
  <c r="P1452" i="6" s="1"/>
  <c r="Q1452" i="6" s="1"/>
  <c r="R1452" i="6" s="1"/>
  <c r="I1452" i="6"/>
  <c r="H1451" i="6"/>
  <c r="F1449" i="6"/>
  <c r="E1449" i="6"/>
  <c r="Q1448" i="6"/>
  <c r="R1448" i="6" s="1"/>
  <c r="M1448" i="6"/>
  <c r="N1448" i="6" s="1"/>
  <c r="O1448" i="6" s="1"/>
  <c r="P1448" i="6" s="1"/>
  <c r="I1448" i="6"/>
  <c r="J1448" i="6" s="1"/>
  <c r="K1448" i="6" s="1"/>
  <c r="L1448" i="6" s="1"/>
  <c r="I1447" i="6"/>
  <c r="J1447" i="6" s="1"/>
  <c r="K1447" i="6" s="1"/>
  <c r="L1447" i="6" s="1"/>
  <c r="M1447" i="6" s="1"/>
  <c r="N1447" i="6" s="1"/>
  <c r="O1447" i="6" s="1"/>
  <c r="P1447" i="6" s="1"/>
  <c r="Q1447" i="6" s="1"/>
  <c r="R1447" i="6" s="1"/>
  <c r="I1446" i="6"/>
  <c r="J1446" i="6" s="1"/>
  <c r="K1446" i="6" s="1"/>
  <c r="L1446" i="6" s="1"/>
  <c r="M1446" i="6" s="1"/>
  <c r="N1446" i="6" s="1"/>
  <c r="O1446" i="6" s="1"/>
  <c r="P1446" i="6" s="1"/>
  <c r="Q1446" i="6" s="1"/>
  <c r="R1446" i="6" s="1"/>
  <c r="H1446" i="6"/>
  <c r="J1445" i="6"/>
  <c r="K1445" i="6" s="1"/>
  <c r="L1445" i="6" s="1"/>
  <c r="M1445" i="6" s="1"/>
  <c r="N1445" i="6" s="1"/>
  <c r="O1445" i="6" s="1"/>
  <c r="P1445" i="6" s="1"/>
  <c r="Q1445" i="6" s="1"/>
  <c r="R1445" i="6" s="1"/>
  <c r="I1445" i="6"/>
  <c r="J1444" i="6"/>
  <c r="K1444" i="6" s="1"/>
  <c r="L1444" i="6" s="1"/>
  <c r="M1444" i="6" s="1"/>
  <c r="N1444" i="6" s="1"/>
  <c r="O1444" i="6" s="1"/>
  <c r="P1444" i="6" s="1"/>
  <c r="Q1444" i="6" s="1"/>
  <c r="R1444" i="6" s="1"/>
  <c r="I1444" i="6"/>
  <c r="J1442" i="6"/>
  <c r="K1442" i="6" s="1"/>
  <c r="L1442" i="6" s="1"/>
  <c r="M1442" i="6" s="1"/>
  <c r="N1442" i="6" s="1"/>
  <c r="O1442" i="6" s="1"/>
  <c r="P1442" i="6" s="1"/>
  <c r="Q1442" i="6" s="1"/>
  <c r="R1442" i="6" s="1"/>
  <c r="Q1440" i="6"/>
  <c r="R1440" i="6" s="1"/>
  <c r="M1440" i="6"/>
  <c r="N1440" i="6" s="1"/>
  <c r="O1440" i="6" s="1"/>
  <c r="P1440" i="6" s="1"/>
  <c r="I1440" i="6"/>
  <c r="J1440" i="6" s="1"/>
  <c r="K1440" i="6" s="1"/>
  <c r="L1440" i="6" s="1"/>
  <c r="K1439" i="6"/>
  <c r="L1439" i="6" s="1"/>
  <c r="M1439" i="6" s="1"/>
  <c r="N1439" i="6" s="1"/>
  <c r="O1439" i="6" s="1"/>
  <c r="P1439" i="6" s="1"/>
  <c r="Q1439" i="6" s="1"/>
  <c r="R1439" i="6" s="1"/>
  <c r="I1439" i="6"/>
  <c r="J1439" i="6" s="1"/>
  <c r="H1439" i="6"/>
  <c r="D1439" i="6"/>
  <c r="I1438" i="6"/>
  <c r="F1438" i="6"/>
  <c r="D1438" i="6"/>
  <c r="D1484" i="6" s="1"/>
  <c r="D195" i="6" s="1"/>
  <c r="D197" i="6" s="1"/>
  <c r="C1438" i="6"/>
  <c r="H1433" i="6"/>
  <c r="G1433" i="6"/>
  <c r="F1433" i="6"/>
  <c r="E1433" i="6"/>
  <c r="D1433" i="6"/>
  <c r="C1433" i="6"/>
  <c r="L1430" i="6"/>
  <c r="M1430" i="6" s="1"/>
  <c r="N1430" i="6" s="1"/>
  <c r="O1430" i="6" s="1"/>
  <c r="P1430" i="6" s="1"/>
  <c r="Q1430" i="6" s="1"/>
  <c r="R1430" i="6" s="1"/>
  <c r="J1430" i="6"/>
  <c r="K1430" i="6" s="1"/>
  <c r="I1428" i="6"/>
  <c r="J1428" i="6" s="1"/>
  <c r="K1428" i="6" s="1"/>
  <c r="L1428" i="6" s="1"/>
  <c r="M1428" i="6" s="1"/>
  <c r="N1428" i="6" s="1"/>
  <c r="O1428" i="6" s="1"/>
  <c r="P1428" i="6" s="1"/>
  <c r="Q1428" i="6" s="1"/>
  <c r="R1428" i="6" s="1"/>
  <c r="O1426" i="6"/>
  <c r="P1426" i="6" s="1"/>
  <c r="Q1426" i="6" s="1"/>
  <c r="R1426" i="6" s="1"/>
  <c r="K1426" i="6"/>
  <c r="L1426" i="6" s="1"/>
  <c r="M1426" i="6" s="1"/>
  <c r="N1426" i="6" s="1"/>
  <c r="I1426" i="6"/>
  <c r="J1426" i="6" s="1"/>
  <c r="Q1425" i="6"/>
  <c r="R1425" i="6" s="1"/>
  <c r="M1425" i="6"/>
  <c r="N1425" i="6" s="1"/>
  <c r="O1425" i="6" s="1"/>
  <c r="P1425" i="6" s="1"/>
  <c r="I1425" i="6"/>
  <c r="J1425" i="6" s="1"/>
  <c r="K1425" i="6" s="1"/>
  <c r="L1425" i="6" s="1"/>
  <c r="Q1423" i="6"/>
  <c r="R1423" i="6" s="1"/>
  <c r="D1423" i="6"/>
  <c r="R1422" i="6"/>
  <c r="N1422" i="6"/>
  <c r="O1422" i="6" s="1"/>
  <c r="P1422" i="6" s="1"/>
  <c r="Q1422" i="6" s="1"/>
  <c r="J1422" i="6"/>
  <c r="K1422" i="6" s="1"/>
  <c r="L1422" i="6" s="1"/>
  <c r="M1422" i="6" s="1"/>
  <c r="I1422" i="6"/>
  <c r="P1421" i="6"/>
  <c r="Q1421" i="6" s="1"/>
  <c r="R1421" i="6" s="1"/>
  <c r="L1421" i="6"/>
  <c r="M1421" i="6" s="1"/>
  <c r="N1421" i="6" s="1"/>
  <c r="O1421" i="6" s="1"/>
  <c r="J1421" i="6"/>
  <c r="K1421" i="6" s="1"/>
  <c r="I1421" i="6"/>
  <c r="R1420" i="6"/>
  <c r="N1420" i="6"/>
  <c r="O1420" i="6" s="1"/>
  <c r="P1420" i="6" s="1"/>
  <c r="Q1420" i="6" s="1"/>
  <c r="J1420" i="6"/>
  <c r="K1420" i="6" s="1"/>
  <c r="L1420" i="6" s="1"/>
  <c r="M1420" i="6" s="1"/>
  <c r="I1420" i="6"/>
  <c r="P1419" i="6"/>
  <c r="Q1419" i="6" s="1"/>
  <c r="R1419" i="6" s="1"/>
  <c r="L1419" i="6"/>
  <c r="M1419" i="6" s="1"/>
  <c r="N1419" i="6" s="1"/>
  <c r="O1419" i="6" s="1"/>
  <c r="J1419" i="6"/>
  <c r="K1419" i="6" s="1"/>
  <c r="I1419" i="6"/>
  <c r="R1418" i="6"/>
  <c r="N1418" i="6"/>
  <c r="O1418" i="6" s="1"/>
  <c r="P1418" i="6" s="1"/>
  <c r="Q1418" i="6" s="1"/>
  <c r="J1418" i="6"/>
  <c r="K1418" i="6" s="1"/>
  <c r="L1418" i="6" s="1"/>
  <c r="M1418" i="6" s="1"/>
  <c r="I1418" i="6"/>
  <c r="P1417" i="6"/>
  <c r="Q1417" i="6" s="1"/>
  <c r="R1417" i="6" s="1"/>
  <c r="L1417" i="6"/>
  <c r="M1417" i="6" s="1"/>
  <c r="N1417" i="6" s="1"/>
  <c r="O1417" i="6" s="1"/>
  <c r="J1417" i="6"/>
  <c r="K1417" i="6" s="1"/>
  <c r="I1417" i="6"/>
  <c r="R1416" i="6"/>
  <c r="N1416" i="6"/>
  <c r="O1416" i="6" s="1"/>
  <c r="P1416" i="6" s="1"/>
  <c r="Q1416" i="6" s="1"/>
  <c r="J1416" i="6"/>
  <c r="K1416" i="6" s="1"/>
  <c r="L1416" i="6" s="1"/>
  <c r="M1416" i="6" s="1"/>
  <c r="I1416" i="6"/>
  <c r="P1414" i="6"/>
  <c r="Q1414" i="6" s="1"/>
  <c r="R1414" i="6" s="1"/>
  <c r="L1414" i="6"/>
  <c r="M1414" i="6" s="1"/>
  <c r="N1414" i="6" s="1"/>
  <c r="O1414" i="6" s="1"/>
  <c r="J1414" i="6"/>
  <c r="K1414" i="6" s="1"/>
  <c r="I1414" i="6"/>
  <c r="R1412" i="6"/>
  <c r="N1412" i="6"/>
  <c r="O1412" i="6" s="1"/>
  <c r="P1412" i="6" s="1"/>
  <c r="Q1412" i="6" s="1"/>
  <c r="J1412" i="6"/>
  <c r="K1412" i="6" s="1"/>
  <c r="L1412" i="6" s="1"/>
  <c r="M1412" i="6" s="1"/>
  <c r="I1412" i="6"/>
  <c r="P1411" i="6"/>
  <c r="Q1411" i="6" s="1"/>
  <c r="R1411" i="6" s="1"/>
  <c r="L1411" i="6"/>
  <c r="M1411" i="6" s="1"/>
  <c r="N1411" i="6" s="1"/>
  <c r="O1411" i="6" s="1"/>
  <c r="J1411" i="6"/>
  <c r="K1411" i="6" s="1"/>
  <c r="I1411" i="6"/>
  <c r="I1433" i="6" s="1"/>
  <c r="J1409" i="6"/>
  <c r="I1409" i="6"/>
  <c r="F1396" i="6"/>
  <c r="R1393" i="6"/>
  <c r="Q1393" i="6"/>
  <c r="E1393" i="6"/>
  <c r="D1393" i="6"/>
  <c r="R1387" i="6"/>
  <c r="Q1387" i="6"/>
  <c r="E1387" i="6"/>
  <c r="D1387" i="6"/>
  <c r="H1381" i="6"/>
  <c r="G1381" i="6"/>
  <c r="G1396" i="6" s="1"/>
  <c r="F1381" i="6"/>
  <c r="E1381" i="6"/>
  <c r="D1381" i="6"/>
  <c r="D1396" i="6" s="1"/>
  <c r="C1381" i="6"/>
  <c r="C1396" i="6" s="1"/>
  <c r="N1375" i="6"/>
  <c r="O1375" i="6" s="1"/>
  <c r="P1375" i="6" s="1"/>
  <c r="Q1375" i="6" s="1"/>
  <c r="R1375" i="6" s="1"/>
  <c r="L1375" i="6"/>
  <c r="M1375" i="6" s="1"/>
  <c r="J1375" i="6"/>
  <c r="K1375" i="6" s="1"/>
  <c r="I1375" i="6"/>
  <c r="R1372" i="6"/>
  <c r="P1372" i="6"/>
  <c r="Q1372" i="6" s="1"/>
  <c r="J1372" i="6"/>
  <c r="K1372" i="6" s="1"/>
  <c r="L1372" i="6" s="1"/>
  <c r="M1372" i="6" s="1"/>
  <c r="N1372" i="6" s="1"/>
  <c r="O1372" i="6" s="1"/>
  <c r="I1372" i="6"/>
  <c r="N1360" i="6"/>
  <c r="O1360" i="6" s="1"/>
  <c r="P1360" i="6" s="1"/>
  <c r="Q1360" i="6" s="1"/>
  <c r="R1360" i="6" s="1"/>
  <c r="L1360" i="6"/>
  <c r="M1360" i="6" s="1"/>
  <c r="J1360" i="6"/>
  <c r="K1360" i="6" s="1"/>
  <c r="I1360" i="6"/>
  <c r="I1381" i="6" s="1"/>
  <c r="I1396" i="6" s="1"/>
  <c r="J1359" i="6"/>
  <c r="I1359" i="6"/>
  <c r="I1353" i="6"/>
  <c r="H1353" i="6"/>
  <c r="E1353" i="6"/>
  <c r="D1353" i="6"/>
  <c r="C1353" i="6"/>
  <c r="J1351" i="6"/>
  <c r="I1351" i="6"/>
  <c r="F1344" i="6"/>
  <c r="R1342" i="6"/>
  <c r="Q1342" i="6"/>
  <c r="P1342" i="6"/>
  <c r="O1342" i="6"/>
  <c r="N1342" i="6"/>
  <c r="M1342" i="6"/>
  <c r="L1342" i="6"/>
  <c r="K1342" i="6"/>
  <c r="J1342" i="6"/>
  <c r="J1344" i="6" s="1"/>
  <c r="I1342" i="6"/>
  <c r="H1342" i="6"/>
  <c r="H1344" i="6" s="1"/>
  <c r="G1342" i="6"/>
  <c r="F1342" i="6"/>
  <c r="E1342" i="6"/>
  <c r="D1342" i="6"/>
  <c r="C1342" i="6"/>
  <c r="R1318" i="6"/>
  <c r="Q1318" i="6"/>
  <c r="E1318" i="6"/>
  <c r="D1318" i="6"/>
  <c r="C1318" i="6"/>
  <c r="H1312" i="6"/>
  <c r="G1312" i="6"/>
  <c r="F1312" i="6"/>
  <c r="C1312" i="6"/>
  <c r="Q1287" i="6"/>
  <c r="R1287" i="6" s="1"/>
  <c r="K1286" i="6"/>
  <c r="I1286" i="6"/>
  <c r="J1286" i="6" s="1"/>
  <c r="J1312" i="6" s="1"/>
  <c r="Q1275" i="6"/>
  <c r="R1275" i="6" s="1"/>
  <c r="D1275" i="6"/>
  <c r="E1275" i="6" s="1"/>
  <c r="Q1274" i="6"/>
  <c r="D1274" i="6"/>
  <c r="R1267" i="6"/>
  <c r="Q1267" i="6"/>
  <c r="P1267" i="6"/>
  <c r="O1267" i="6"/>
  <c r="N1267" i="6"/>
  <c r="M1267" i="6"/>
  <c r="L1267" i="6"/>
  <c r="K1267" i="6"/>
  <c r="J1267" i="6"/>
  <c r="I1267" i="6"/>
  <c r="H1267" i="6"/>
  <c r="G1267" i="6"/>
  <c r="F1267" i="6"/>
  <c r="E1267" i="6"/>
  <c r="D1267" i="6"/>
  <c r="C1267" i="6"/>
  <c r="R1229" i="6"/>
  <c r="Q1229" i="6"/>
  <c r="F1229" i="6"/>
  <c r="E1229" i="6"/>
  <c r="D1229" i="6"/>
  <c r="C1229" i="6"/>
  <c r="G1221" i="6"/>
  <c r="E1221" i="6"/>
  <c r="Q1217" i="6"/>
  <c r="R1217" i="6" s="1"/>
  <c r="M1217" i="6"/>
  <c r="N1217" i="6" s="1"/>
  <c r="O1217" i="6" s="1"/>
  <c r="P1217" i="6" s="1"/>
  <c r="L1217" i="6"/>
  <c r="K1217" i="6"/>
  <c r="I1217" i="6"/>
  <c r="J1217" i="6" s="1"/>
  <c r="K1215" i="6"/>
  <c r="L1215" i="6" s="1"/>
  <c r="M1215" i="6" s="1"/>
  <c r="N1215" i="6" s="1"/>
  <c r="O1215" i="6" s="1"/>
  <c r="P1215" i="6" s="1"/>
  <c r="Q1215" i="6" s="1"/>
  <c r="R1215" i="6" s="1"/>
  <c r="J1215" i="6"/>
  <c r="I1215" i="6"/>
  <c r="C1214" i="6"/>
  <c r="R1211" i="6"/>
  <c r="Q1211" i="6"/>
  <c r="E1211" i="6"/>
  <c r="K1210" i="6"/>
  <c r="L1210" i="6" s="1"/>
  <c r="M1210" i="6" s="1"/>
  <c r="N1210" i="6" s="1"/>
  <c r="O1210" i="6" s="1"/>
  <c r="P1210" i="6" s="1"/>
  <c r="Q1210" i="6" s="1"/>
  <c r="R1210" i="6" s="1"/>
  <c r="I1210" i="6"/>
  <c r="J1210" i="6" s="1"/>
  <c r="C1210" i="6"/>
  <c r="F1207" i="6"/>
  <c r="F1221" i="6" s="1"/>
  <c r="D1207" i="6"/>
  <c r="I1206" i="6"/>
  <c r="J1206" i="6" s="1"/>
  <c r="K1206" i="6" s="1"/>
  <c r="L1206" i="6" s="1"/>
  <c r="M1206" i="6" s="1"/>
  <c r="N1206" i="6" s="1"/>
  <c r="O1206" i="6" s="1"/>
  <c r="P1206" i="6" s="1"/>
  <c r="Q1206" i="6" s="1"/>
  <c r="R1206" i="6" s="1"/>
  <c r="N1205" i="6"/>
  <c r="O1205" i="6" s="1"/>
  <c r="P1205" i="6" s="1"/>
  <c r="Q1205" i="6" s="1"/>
  <c r="R1205" i="6" s="1"/>
  <c r="J1205" i="6"/>
  <c r="K1205" i="6" s="1"/>
  <c r="L1205" i="6" s="1"/>
  <c r="M1205" i="6" s="1"/>
  <c r="I1205" i="6"/>
  <c r="J1204" i="6"/>
  <c r="K1204" i="6" s="1"/>
  <c r="L1204" i="6" s="1"/>
  <c r="M1204" i="6" s="1"/>
  <c r="N1204" i="6" s="1"/>
  <c r="O1204" i="6" s="1"/>
  <c r="P1204" i="6" s="1"/>
  <c r="Q1204" i="6" s="1"/>
  <c r="R1204" i="6" s="1"/>
  <c r="I1204" i="6"/>
  <c r="J1202" i="6"/>
  <c r="K1202" i="6" s="1"/>
  <c r="L1202" i="6" s="1"/>
  <c r="M1202" i="6" s="1"/>
  <c r="N1202" i="6" s="1"/>
  <c r="O1202" i="6" s="1"/>
  <c r="P1202" i="6" s="1"/>
  <c r="Q1202" i="6" s="1"/>
  <c r="R1202" i="6" s="1"/>
  <c r="I1202" i="6"/>
  <c r="J1201" i="6"/>
  <c r="K1201" i="6" s="1"/>
  <c r="L1201" i="6" s="1"/>
  <c r="M1201" i="6" s="1"/>
  <c r="N1201" i="6" s="1"/>
  <c r="O1201" i="6" s="1"/>
  <c r="P1201" i="6" s="1"/>
  <c r="Q1201" i="6" s="1"/>
  <c r="R1201" i="6" s="1"/>
  <c r="I1201" i="6"/>
  <c r="I1200" i="6"/>
  <c r="J1200" i="6" s="1"/>
  <c r="K1200" i="6" s="1"/>
  <c r="L1200" i="6" s="1"/>
  <c r="M1200" i="6" s="1"/>
  <c r="N1200" i="6" s="1"/>
  <c r="O1200" i="6" s="1"/>
  <c r="P1200" i="6" s="1"/>
  <c r="Q1200" i="6" s="1"/>
  <c r="R1200" i="6" s="1"/>
  <c r="K1197" i="6"/>
  <c r="L1197" i="6" s="1"/>
  <c r="M1197" i="6" s="1"/>
  <c r="N1197" i="6" s="1"/>
  <c r="O1197" i="6" s="1"/>
  <c r="P1197" i="6" s="1"/>
  <c r="Q1197" i="6" s="1"/>
  <c r="R1197" i="6" s="1"/>
  <c r="J1197" i="6"/>
  <c r="I1197" i="6"/>
  <c r="L1196" i="6"/>
  <c r="M1196" i="6" s="1"/>
  <c r="N1196" i="6" s="1"/>
  <c r="O1196" i="6" s="1"/>
  <c r="P1196" i="6" s="1"/>
  <c r="Q1196" i="6" s="1"/>
  <c r="R1196" i="6" s="1"/>
  <c r="I1196" i="6"/>
  <c r="J1196" i="6" s="1"/>
  <c r="K1196" i="6" s="1"/>
  <c r="N1195" i="6"/>
  <c r="O1195" i="6" s="1"/>
  <c r="P1195" i="6" s="1"/>
  <c r="Q1195" i="6" s="1"/>
  <c r="R1195" i="6" s="1"/>
  <c r="J1195" i="6"/>
  <c r="K1195" i="6" s="1"/>
  <c r="L1195" i="6" s="1"/>
  <c r="M1195" i="6" s="1"/>
  <c r="I1195" i="6"/>
  <c r="M1194" i="6"/>
  <c r="N1194" i="6" s="1"/>
  <c r="O1194" i="6" s="1"/>
  <c r="P1194" i="6" s="1"/>
  <c r="Q1194" i="6" s="1"/>
  <c r="R1194" i="6" s="1"/>
  <c r="L1194" i="6"/>
  <c r="K1194" i="6"/>
  <c r="I1194" i="6"/>
  <c r="J1194" i="6" s="1"/>
  <c r="R1193" i="6"/>
  <c r="M1193" i="6"/>
  <c r="N1193" i="6" s="1"/>
  <c r="O1193" i="6" s="1"/>
  <c r="P1193" i="6" s="1"/>
  <c r="Q1193" i="6" s="1"/>
  <c r="K1193" i="6"/>
  <c r="L1193" i="6" s="1"/>
  <c r="J1193" i="6"/>
  <c r="I1193" i="6"/>
  <c r="Q1192" i="6"/>
  <c r="R1192" i="6" s="1"/>
  <c r="I1192" i="6"/>
  <c r="J1192" i="6" s="1"/>
  <c r="K1192" i="6" s="1"/>
  <c r="L1192" i="6" s="1"/>
  <c r="M1192" i="6" s="1"/>
  <c r="N1192" i="6" s="1"/>
  <c r="O1192" i="6" s="1"/>
  <c r="P1192" i="6" s="1"/>
  <c r="C1191" i="6"/>
  <c r="C1221" i="6" s="1"/>
  <c r="J1190" i="6"/>
  <c r="K1190" i="6" s="1"/>
  <c r="L1190" i="6" s="1"/>
  <c r="M1190" i="6" s="1"/>
  <c r="N1190" i="6" s="1"/>
  <c r="O1190" i="6" s="1"/>
  <c r="P1190" i="6" s="1"/>
  <c r="Q1190" i="6" s="1"/>
  <c r="R1190" i="6" s="1"/>
  <c r="I1190" i="6"/>
  <c r="M1189" i="6"/>
  <c r="N1189" i="6" s="1"/>
  <c r="O1189" i="6" s="1"/>
  <c r="P1189" i="6" s="1"/>
  <c r="Q1189" i="6" s="1"/>
  <c r="R1189" i="6" s="1"/>
  <c r="L1189" i="6"/>
  <c r="J1189" i="6"/>
  <c r="K1189" i="6" s="1"/>
  <c r="I1189" i="6"/>
  <c r="D1189" i="6"/>
  <c r="D1221" i="6" s="1"/>
  <c r="D1231" i="6" s="1"/>
  <c r="L1188" i="6"/>
  <c r="M1188" i="6" s="1"/>
  <c r="N1188" i="6" s="1"/>
  <c r="O1188" i="6" s="1"/>
  <c r="P1188" i="6" s="1"/>
  <c r="Q1188" i="6" s="1"/>
  <c r="R1188" i="6" s="1"/>
  <c r="K1188" i="6"/>
  <c r="I1188" i="6"/>
  <c r="J1188" i="6" s="1"/>
  <c r="Q1187" i="6"/>
  <c r="R1187" i="6" s="1"/>
  <c r="L1185" i="6"/>
  <c r="M1185" i="6" s="1"/>
  <c r="N1185" i="6" s="1"/>
  <c r="O1185" i="6" s="1"/>
  <c r="P1185" i="6" s="1"/>
  <c r="Q1185" i="6" s="1"/>
  <c r="R1185" i="6" s="1"/>
  <c r="I1185" i="6"/>
  <c r="J1185" i="6" s="1"/>
  <c r="K1185" i="6" s="1"/>
  <c r="I1183" i="6"/>
  <c r="J1183" i="6" s="1"/>
  <c r="K1183" i="6" s="1"/>
  <c r="L1183" i="6" s="1"/>
  <c r="M1183" i="6" s="1"/>
  <c r="N1183" i="6" s="1"/>
  <c r="O1183" i="6" s="1"/>
  <c r="P1183" i="6" s="1"/>
  <c r="Q1183" i="6" s="1"/>
  <c r="R1183" i="6" s="1"/>
  <c r="H1182" i="6"/>
  <c r="I1182" i="6" s="1"/>
  <c r="H1177" i="6"/>
  <c r="G1177" i="6"/>
  <c r="G1231" i="6" s="1"/>
  <c r="R1175" i="6"/>
  <c r="P1175" i="6"/>
  <c r="Q1175" i="6" s="1"/>
  <c r="K1175" i="6"/>
  <c r="L1175" i="6" s="1"/>
  <c r="M1175" i="6" s="1"/>
  <c r="N1175" i="6" s="1"/>
  <c r="O1175" i="6" s="1"/>
  <c r="J1175" i="6"/>
  <c r="I1175" i="6"/>
  <c r="Q1173" i="6"/>
  <c r="R1173" i="6" s="1"/>
  <c r="I1173" i="6"/>
  <c r="J1173" i="6" s="1"/>
  <c r="K1173" i="6" s="1"/>
  <c r="L1173" i="6" s="1"/>
  <c r="M1173" i="6" s="1"/>
  <c r="N1173" i="6" s="1"/>
  <c r="O1173" i="6" s="1"/>
  <c r="P1173" i="6" s="1"/>
  <c r="L1172" i="6"/>
  <c r="M1172" i="6" s="1"/>
  <c r="N1172" i="6" s="1"/>
  <c r="O1172" i="6" s="1"/>
  <c r="P1172" i="6" s="1"/>
  <c r="Q1172" i="6" s="1"/>
  <c r="R1172" i="6" s="1"/>
  <c r="K1172" i="6"/>
  <c r="J1172" i="6"/>
  <c r="I1172" i="6"/>
  <c r="R1168" i="6"/>
  <c r="I1168" i="6"/>
  <c r="J1168" i="6" s="1"/>
  <c r="K1168" i="6" s="1"/>
  <c r="L1168" i="6" s="1"/>
  <c r="M1168" i="6" s="1"/>
  <c r="N1168" i="6" s="1"/>
  <c r="O1168" i="6" s="1"/>
  <c r="P1168" i="6" s="1"/>
  <c r="Q1168" i="6" s="1"/>
  <c r="N1167" i="6"/>
  <c r="O1167" i="6" s="1"/>
  <c r="P1167" i="6" s="1"/>
  <c r="Q1167" i="6" s="1"/>
  <c r="R1167" i="6" s="1"/>
  <c r="L1167" i="6"/>
  <c r="M1167" i="6" s="1"/>
  <c r="K1167" i="6"/>
  <c r="J1167" i="6"/>
  <c r="I1167" i="6"/>
  <c r="L1166" i="6"/>
  <c r="M1166" i="6" s="1"/>
  <c r="N1166" i="6" s="1"/>
  <c r="O1166" i="6" s="1"/>
  <c r="P1166" i="6" s="1"/>
  <c r="Q1166" i="6" s="1"/>
  <c r="R1166" i="6" s="1"/>
  <c r="I1166" i="6"/>
  <c r="J1166" i="6" s="1"/>
  <c r="K1166" i="6" s="1"/>
  <c r="N1165" i="6"/>
  <c r="O1165" i="6" s="1"/>
  <c r="P1165" i="6" s="1"/>
  <c r="Q1165" i="6" s="1"/>
  <c r="R1165" i="6" s="1"/>
  <c r="L1165" i="6"/>
  <c r="M1165" i="6" s="1"/>
  <c r="K1165" i="6"/>
  <c r="J1165" i="6"/>
  <c r="I1165" i="6"/>
  <c r="M1164" i="6"/>
  <c r="N1164" i="6" s="1"/>
  <c r="O1164" i="6" s="1"/>
  <c r="P1164" i="6" s="1"/>
  <c r="Q1164" i="6" s="1"/>
  <c r="R1164" i="6" s="1"/>
  <c r="L1164" i="6"/>
  <c r="I1164" i="6"/>
  <c r="J1164" i="6" s="1"/>
  <c r="K1164" i="6" s="1"/>
  <c r="F1164" i="6"/>
  <c r="E1164" i="6"/>
  <c r="D1164" i="6"/>
  <c r="C1164" i="6"/>
  <c r="P1163" i="6"/>
  <c r="Q1163" i="6" s="1"/>
  <c r="R1163" i="6" s="1"/>
  <c r="K1163" i="6"/>
  <c r="L1163" i="6" s="1"/>
  <c r="M1163" i="6" s="1"/>
  <c r="N1163" i="6" s="1"/>
  <c r="O1163" i="6" s="1"/>
  <c r="J1163" i="6"/>
  <c r="I1163" i="6"/>
  <c r="F1163" i="6"/>
  <c r="E1163" i="6"/>
  <c r="D1163" i="6"/>
  <c r="C1163" i="6"/>
  <c r="I1162" i="6"/>
  <c r="F1162" i="6"/>
  <c r="F1177" i="6" s="1"/>
  <c r="F151" i="6" s="1"/>
  <c r="E1162" i="6"/>
  <c r="D1162" i="6"/>
  <c r="D1177" i="6" s="1"/>
  <c r="C1162" i="6"/>
  <c r="C1177" i="6" s="1"/>
  <c r="F1153" i="6"/>
  <c r="H1151" i="6"/>
  <c r="G1151" i="6"/>
  <c r="G1153" i="6" s="1"/>
  <c r="F1151" i="6"/>
  <c r="D1151" i="6"/>
  <c r="C1151" i="6"/>
  <c r="C1153" i="6" s="1"/>
  <c r="R1149" i="6"/>
  <c r="L1149" i="6"/>
  <c r="M1149" i="6" s="1"/>
  <c r="N1149" i="6" s="1"/>
  <c r="O1149" i="6" s="1"/>
  <c r="P1149" i="6" s="1"/>
  <c r="Q1149" i="6" s="1"/>
  <c r="K1149" i="6"/>
  <c r="J1149" i="6"/>
  <c r="I1149" i="6"/>
  <c r="R1148" i="6"/>
  <c r="I1148" i="6"/>
  <c r="J1148" i="6" s="1"/>
  <c r="K1148" i="6" s="1"/>
  <c r="L1148" i="6" s="1"/>
  <c r="M1148" i="6" s="1"/>
  <c r="N1148" i="6" s="1"/>
  <c r="O1148" i="6" s="1"/>
  <c r="P1148" i="6" s="1"/>
  <c r="Q1148" i="6" s="1"/>
  <c r="E1148" i="6"/>
  <c r="E1151" i="6" s="1"/>
  <c r="C1148" i="6"/>
  <c r="P1146" i="6"/>
  <c r="Q1146" i="6" s="1"/>
  <c r="R1146" i="6" s="1"/>
  <c r="J1146" i="6"/>
  <c r="K1146" i="6" s="1"/>
  <c r="L1146" i="6" s="1"/>
  <c r="M1146" i="6" s="1"/>
  <c r="N1146" i="6" s="1"/>
  <c r="O1146" i="6" s="1"/>
  <c r="I1146" i="6"/>
  <c r="K1144" i="6"/>
  <c r="J1144" i="6"/>
  <c r="I1144" i="6"/>
  <c r="G1141" i="6"/>
  <c r="F1141" i="6"/>
  <c r="E1141" i="6"/>
  <c r="E1153" i="6" s="1"/>
  <c r="D1141" i="6"/>
  <c r="D1153" i="6" s="1"/>
  <c r="C1141" i="6"/>
  <c r="Q1137" i="6"/>
  <c r="R1137" i="6" s="1"/>
  <c r="E1137" i="6"/>
  <c r="D1137" i="6"/>
  <c r="Q1136" i="6"/>
  <c r="R1136" i="6" s="1"/>
  <c r="E1136" i="6"/>
  <c r="D1136" i="6"/>
  <c r="I1135" i="6"/>
  <c r="J1135" i="6" s="1"/>
  <c r="K1135" i="6" s="1"/>
  <c r="L1135" i="6" s="1"/>
  <c r="M1135" i="6" s="1"/>
  <c r="N1135" i="6" s="1"/>
  <c r="O1135" i="6" s="1"/>
  <c r="P1135" i="6" s="1"/>
  <c r="Q1135" i="6" s="1"/>
  <c r="R1135" i="6" s="1"/>
  <c r="R1134" i="6"/>
  <c r="K1134" i="6"/>
  <c r="L1134" i="6" s="1"/>
  <c r="M1134" i="6" s="1"/>
  <c r="N1134" i="6" s="1"/>
  <c r="O1134" i="6" s="1"/>
  <c r="P1134" i="6" s="1"/>
  <c r="Q1134" i="6" s="1"/>
  <c r="J1134" i="6"/>
  <c r="I1134" i="6"/>
  <c r="I1133" i="6"/>
  <c r="L1132" i="6"/>
  <c r="M1132" i="6" s="1"/>
  <c r="N1132" i="6" s="1"/>
  <c r="O1132" i="6" s="1"/>
  <c r="P1132" i="6" s="1"/>
  <c r="Q1132" i="6" s="1"/>
  <c r="R1132" i="6" s="1"/>
  <c r="K1132" i="6"/>
  <c r="J1132" i="6"/>
  <c r="I1132" i="6"/>
  <c r="L1131" i="6"/>
  <c r="M1131" i="6" s="1"/>
  <c r="N1131" i="6" s="1"/>
  <c r="O1131" i="6" s="1"/>
  <c r="P1131" i="6" s="1"/>
  <c r="Q1131" i="6" s="1"/>
  <c r="R1131" i="6" s="1"/>
  <c r="I1131" i="6"/>
  <c r="J1131" i="6" s="1"/>
  <c r="K1131" i="6" s="1"/>
  <c r="H1131" i="6"/>
  <c r="H1141" i="6" s="1"/>
  <c r="H1153" i="6" s="1"/>
  <c r="E1131" i="6"/>
  <c r="Q1130" i="6"/>
  <c r="R1130" i="6" s="1"/>
  <c r="J1130" i="6"/>
  <c r="K1130" i="6" s="1"/>
  <c r="L1130" i="6" s="1"/>
  <c r="M1130" i="6" s="1"/>
  <c r="N1130" i="6" s="1"/>
  <c r="O1130" i="6" s="1"/>
  <c r="P1130" i="6" s="1"/>
  <c r="I1130" i="6"/>
  <c r="O1129" i="6"/>
  <c r="P1129" i="6" s="1"/>
  <c r="Q1129" i="6" s="1"/>
  <c r="R1129" i="6" s="1"/>
  <c r="N1129" i="6"/>
  <c r="K1129" i="6"/>
  <c r="L1129" i="6" s="1"/>
  <c r="M1129" i="6" s="1"/>
  <c r="J1129" i="6"/>
  <c r="I1129" i="6"/>
  <c r="J1128" i="6"/>
  <c r="K1128" i="6" s="1"/>
  <c r="L1128" i="6" s="1"/>
  <c r="M1128" i="6" s="1"/>
  <c r="N1128" i="6" s="1"/>
  <c r="O1128" i="6" s="1"/>
  <c r="P1128" i="6" s="1"/>
  <c r="Q1128" i="6" s="1"/>
  <c r="R1128" i="6" s="1"/>
  <c r="I1128" i="6"/>
  <c r="N1127" i="6"/>
  <c r="O1127" i="6" s="1"/>
  <c r="P1127" i="6" s="1"/>
  <c r="Q1127" i="6" s="1"/>
  <c r="R1127" i="6" s="1"/>
  <c r="K1127" i="6"/>
  <c r="L1127" i="6" s="1"/>
  <c r="M1127" i="6" s="1"/>
  <c r="J1127" i="6"/>
  <c r="I1127" i="6"/>
  <c r="J1125" i="6"/>
  <c r="K1125" i="6" s="1"/>
  <c r="L1125" i="6" s="1"/>
  <c r="M1125" i="6" s="1"/>
  <c r="N1125" i="6" s="1"/>
  <c r="O1125" i="6" s="1"/>
  <c r="P1125" i="6" s="1"/>
  <c r="Q1125" i="6" s="1"/>
  <c r="R1125" i="6" s="1"/>
  <c r="I1125" i="6"/>
  <c r="J1123" i="6"/>
  <c r="K1123" i="6" s="1"/>
  <c r="I1123" i="6"/>
  <c r="D1118" i="6"/>
  <c r="I1116" i="6"/>
  <c r="H1116" i="6"/>
  <c r="H1118" i="6" s="1"/>
  <c r="H150" i="6" s="1"/>
  <c r="G1116" i="6"/>
  <c r="F1116" i="6"/>
  <c r="F1118" i="6" s="1"/>
  <c r="F150" i="6" s="1"/>
  <c r="E1116" i="6"/>
  <c r="E1118" i="6" s="1"/>
  <c r="E150" i="6" s="1"/>
  <c r="D1116" i="6"/>
  <c r="J1114" i="6"/>
  <c r="K1114" i="6" s="1"/>
  <c r="L1114" i="6" s="1"/>
  <c r="M1114" i="6" s="1"/>
  <c r="N1114" i="6" s="1"/>
  <c r="O1114" i="6" s="1"/>
  <c r="P1114" i="6" s="1"/>
  <c r="Q1114" i="6" s="1"/>
  <c r="R1114" i="6" s="1"/>
  <c r="I1114" i="6"/>
  <c r="O1113" i="6"/>
  <c r="P1113" i="6" s="1"/>
  <c r="Q1113" i="6" s="1"/>
  <c r="R1113" i="6" s="1"/>
  <c r="K1113" i="6"/>
  <c r="L1113" i="6" s="1"/>
  <c r="M1113" i="6" s="1"/>
  <c r="N1113" i="6" s="1"/>
  <c r="J1113" i="6"/>
  <c r="I1113" i="6"/>
  <c r="J1112" i="6"/>
  <c r="K1112" i="6" s="1"/>
  <c r="L1112" i="6" s="1"/>
  <c r="M1112" i="6" s="1"/>
  <c r="N1112" i="6" s="1"/>
  <c r="O1112" i="6" s="1"/>
  <c r="P1112" i="6" s="1"/>
  <c r="Q1112" i="6" s="1"/>
  <c r="R1112" i="6" s="1"/>
  <c r="I1112" i="6"/>
  <c r="P1111" i="6"/>
  <c r="Q1111" i="6" s="1"/>
  <c r="R1111" i="6" s="1"/>
  <c r="J1111" i="6"/>
  <c r="K1111" i="6" s="1"/>
  <c r="L1111" i="6" s="1"/>
  <c r="M1111" i="6" s="1"/>
  <c r="N1111" i="6" s="1"/>
  <c r="O1111" i="6" s="1"/>
  <c r="I1111" i="6"/>
  <c r="J1110" i="6"/>
  <c r="I1110" i="6"/>
  <c r="C1110" i="6"/>
  <c r="C1116" i="6" s="1"/>
  <c r="H1107" i="6"/>
  <c r="G1107" i="6"/>
  <c r="G1118" i="6" s="1"/>
  <c r="F1107" i="6"/>
  <c r="E1107" i="6"/>
  <c r="D1107" i="6"/>
  <c r="C1107" i="6"/>
  <c r="C1118" i="6" s="1"/>
  <c r="C150" i="6" s="1"/>
  <c r="L1104" i="6"/>
  <c r="M1104" i="6" s="1"/>
  <c r="N1104" i="6" s="1"/>
  <c r="O1104" i="6" s="1"/>
  <c r="P1104" i="6" s="1"/>
  <c r="Q1104" i="6" s="1"/>
  <c r="R1104" i="6" s="1"/>
  <c r="K1104" i="6"/>
  <c r="I1104" i="6"/>
  <c r="J1104" i="6" s="1"/>
  <c r="M1102" i="6"/>
  <c r="N1102" i="6" s="1"/>
  <c r="O1102" i="6" s="1"/>
  <c r="P1102" i="6" s="1"/>
  <c r="Q1102" i="6" s="1"/>
  <c r="R1102" i="6" s="1"/>
  <c r="K1102" i="6"/>
  <c r="L1102" i="6" s="1"/>
  <c r="J1102" i="6"/>
  <c r="I1102" i="6"/>
  <c r="Q1101" i="6"/>
  <c r="R1101" i="6" s="1"/>
  <c r="K1101" i="6"/>
  <c r="L1101" i="6" s="1"/>
  <c r="M1101" i="6" s="1"/>
  <c r="N1101" i="6" s="1"/>
  <c r="O1101" i="6" s="1"/>
  <c r="P1101" i="6" s="1"/>
  <c r="I1101" i="6"/>
  <c r="J1101" i="6" s="1"/>
  <c r="J1100" i="6"/>
  <c r="I1100" i="6"/>
  <c r="I1107" i="6" s="1"/>
  <c r="C1088" i="6"/>
  <c r="I1086" i="6"/>
  <c r="H1086" i="6"/>
  <c r="H1088" i="6" s="1"/>
  <c r="G1086" i="6"/>
  <c r="G1088" i="6" s="1"/>
  <c r="F1086" i="6"/>
  <c r="F1088" i="6" s="1"/>
  <c r="C1086" i="6"/>
  <c r="K1084" i="6"/>
  <c r="I1084" i="6"/>
  <c r="J1084" i="6" s="1"/>
  <c r="D1082" i="6"/>
  <c r="M1081" i="6"/>
  <c r="L1081" i="6"/>
  <c r="K1081" i="6"/>
  <c r="J1081" i="6"/>
  <c r="H1076" i="6"/>
  <c r="G1076" i="6"/>
  <c r="F1076" i="6"/>
  <c r="E1076" i="6"/>
  <c r="D1076" i="6"/>
  <c r="C1076" i="6"/>
  <c r="J1074" i="6"/>
  <c r="K1074" i="6" s="1"/>
  <c r="L1074" i="6" s="1"/>
  <c r="M1074" i="6" s="1"/>
  <c r="N1074" i="6" s="1"/>
  <c r="O1074" i="6" s="1"/>
  <c r="P1074" i="6" s="1"/>
  <c r="Q1074" i="6" s="1"/>
  <c r="R1074" i="6" s="1"/>
  <c r="I1074" i="6"/>
  <c r="I1076" i="6" s="1"/>
  <c r="I1088" i="6" s="1"/>
  <c r="J1072" i="6"/>
  <c r="I1072" i="6"/>
  <c r="E1066" i="6"/>
  <c r="D1066" i="6"/>
  <c r="R1064" i="6"/>
  <c r="Q1064" i="6"/>
  <c r="P1064" i="6"/>
  <c r="O1064" i="6"/>
  <c r="N1064" i="6"/>
  <c r="M1064" i="6"/>
  <c r="L1064" i="6"/>
  <c r="K1064" i="6"/>
  <c r="J1064" i="6"/>
  <c r="I1064" i="6"/>
  <c r="H1064" i="6"/>
  <c r="G1064" i="6"/>
  <c r="F1064" i="6"/>
  <c r="F1066" i="6" s="1"/>
  <c r="E1064" i="6"/>
  <c r="D1064" i="6"/>
  <c r="C1064" i="6"/>
  <c r="R1009" i="6"/>
  <c r="Q1009" i="6"/>
  <c r="P1009" i="6"/>
  <c r="O1009" i="6"/>
  <c r="N1009" i="6"/>
  <c r="M1009" i="6"/>
  <c r="L1009" i="6"/>
  <c r="K1009" i="6"/>
  <c r="J1009" i="6"/>
  <c r="I1009" i="6"/>
  <c r="H1009" i="6"/>
  <c r="E1009" i="6"/>
  <c r="D1009" i="6"/>
  <c r="C1009" i="6"/>
  <c r="H1003" i="6"/>
  <c r="G1003" i="6"/>
  <c r="F1003" i="6"/>
  <c r="F110" i="6" s="1"/>
  <c r="E1003" i="6"/>
  <c r="D1003" i="6"/>
  <c r="C1003" i="6"/>
  <c r="R1001" i="6"/>
  <c r="Q1001" i="6"/>
  <c r="L1000" i="6"/>
  <c r="M1000" i="6" s="1"/>
  <c r="N1000" i="6" s="1"/>
  <c r="O1000" i="6" s="1"/>
  <c r="P1000" i="6" s="1"/>
  <c r="Q1000" i="6" s="1"/>
  <c r="R1000" i="6" s="1"/>
  <c r="J1000" i="6"/>
  <c r="K1000" i="6" s="1"/>
  <c r="I1000" i="6"/>
  <c r="C994" i="6"/>
  <c r="C986" i="6"/>
  <c r="R983" i="6"/>
  <c r="I983" i="6"/>
  <c r="J983" i="6" s="1"/>
  <c r="K983" i="6" s="1"/>
  <c r="L983" i="6" s="1"/>
  <c r="M983" i="6" s="1"/>
  <c r="N983" i="6" s="1"/>
  <c r="O983" i="6" s="1"/>
  <c r="P983" i="6" s="1"/>
  <c r="Q983" i="6" s="1"/>
  <c r="L982" i="6"/>
  <c r="M982" i="6" s="1"/>
  <c r="N982" i="6" s="1"/>
  <c r="O982" i="6" s="1"/>
  <c r="P982" i="6" s="1"/>
  <c r="Q982" i="6" s="1"/>
  <c r="R982" i="6" s="1"/>
  <c r="K982" i="6"/>
  <c r="J982" i="6"/>
  <c r="I982" i="6"/>
  <c r="I981" i="6"/>
  <c r="H977" i="6"/>
  <c r="G977" i="6"/>
  <c r="F977" i="6"/>
  <c r="E977" i="6"/>
  <c r="D977" i="6"/>
  <c r="C977" i="6"/>
  <c r="N975" i="6"/>
  <c r="O975" i="6" s="1"/>
  <c r="P975" i="6" s="1"/>
  <c r="Q975" i="6" s="1"/>
  <c r="R975" i="6" s="1"/>
  <c r="J975" i="6"/>
  <c r="K975" i="6" s="1"/>
  <c r="L975" i="6" s="1"/>
  <c r="M975" i="6" s="1"/>
  <c r="I975" i="6"/>
  <c r="N974" i="6"/>
  <c r="O974" i="6" s="1"/>
  <c r="P974" i="6" s="1"/>
  <c r="Q974" i="6" s="1"/>
  <c r="R974" i="6" s="1"/>
  <c r="I974" i="6"/>
  <c r="J974" i="6" s="1"/>
  <c r="K974" i="6" s="1"/>
  <c r="L974" i="6" s="1"/>
  <c r="M974" i="6" s="1"/>
  <c r="N973" i="6"/>
  <c r="O973" i="6" s="1"/>
  <c r="P973" i="6" s="1"/>
  <c r="Q973" i="6" s="1"/>
  <c r="R973" i="6" s="1"/>
  <c r="J973" i="6"/>
  <c r="K973" i="6" s="1"/>
  <c r="L973" i="6" s="1"/>
  <c r="M973" i="6" s="1"/>
  <c r="I973" i="6"/>
  <c r="I972" i="6"/>
  <c r="J972" i="6" s="1"/>
  <c r="K972" i="6" s="1"/>
  <c r="L972" i="6" s="1"/>
  <c r="M972" i="6" s="1"/>
  <c r="N972" i="6" s="1"/>
  <c r="O972" i="6" s="1"/>
  <c r="P972" i="6" s="1"/>
  <c r="Q972" i="6" s="1"/>
  <c r="R972" i="6" s="1"/>
  <c r="O971" i="6"/>
  <c r="P971" i="6" s="1"/>
  <c r="Q971" i="6" s="1"/>
  <c r="R971" i="6" s="1"/>
  <c r="N971" i="6"/>
  <c r="J971" i="6"/>
  <c r="K971" i="6" s="1"/>
  <c r="L971" i="6" s="1"/>
  <c r="M971" i="6" s="1"/>
  <c r="I971" i="6"/>
  <c r="I970" i="6"/>
  <c r="I977" i="6" s="1"/>
  <c r="H960" i="6"/>
  <c r="G960" i="6"/>
  <c r="F960" i="6"/>
  <c r="E960" i="6"/>
  <c r="E962" i="6" s="1"/>
  <c r="D960" i="6"/>
  <c r="D135" i="6" s="1"/>
  <c r="C960" i="6"/>
  <c r="K958" i="6"/>
  <c r="J957" i="6"/>
  <c r="I957" i="6"/>
  <c r="I960" i="6" s="1"/>
  <c r="R796" i="6"/>
  <c r="Q796" i="6"/>
  <c r="P796" i="6"/>
  <c r="O796" i="6"/>
  <c r="N796" i="6"/>
  <c r="M796" i="6"/>
  <c r="L796" i="6"/>
  <c r="K796" i="6"/>
  <c r="J796" i="6"/>
  <c r="I796" i="6"/>
  <c r="H796" i="6"/>
  <c r="G796" i="6"/>
  <c r="F796" i="6"/>
  <c r="E796" i="6"/>
  <c r="D796" i="6"/>
  <c r="C796" i="6"/>
  <c r="H779" i="6"/>
  <c r="G779" i="6"/>
  <c r="I772" i="6"/>
  <c r="H772" i="6"/>
  <c r="G772" i="6"/>
  <c r="E772" i="6"/>
  <c r="D772" i="6"/>
  <c r="C758" i="6"/>
  <c r="F754" i="6"/>
  <c r="C754" i="6"/>
  <c r="F753" i="6"/>
  <c r="C753" i="6"/>
  <c r="F750" i="6"/>
  <c r="M749" i="6"/>
  <c r="N749" i="6" s="1"/>
  <c r="O749" i="6" s="1"/>
  <c r="P749" i="6" s="1"/>
  <c r="Q749" i="6" s="1"/>
  <c r="R749" i="6" s="1"/>
  <c r="L749" i="6"/>
  <c r="K749" i="6"/>
  <c r="I749" i="6"/>
  <c r="J749" i="6" s="1"/>
  <c r="C749" i="6"/>
  <c r="C772" i="6" s="1"/>
  <c r="L748" i="6"/>
  <c r="M748" i="6" s="1"/>
  <c r="N748" i="6" s="1"/>
  <c r="O748" i="6" s="1"/>
  <c r="P748" i="6" s="1"/>
  <c r="Q748" i="6" s="1"/>
  <c r="R748" i="6" s="1"/>
  <c r="K748" i="6"/>
  <c r="J748" i="6"/>
  <c r="I748" i="6"/>
  <c r="F746" i="6"/>
  <c r="R745" i="6"/>
  <c r="F745" i="6"/>
  <c r="C745" i="6"/>
  <c r="F742" i="6"/>
  <c r="F772" i="6" s="1"/>
  <c r="F109" i="6" s="1"/>
  <c r="I726" i="6"/>
  <c r="J726" i="6" s="1"/>
  <c r="K726" i="6" s="1"/>
  <c r="L726" i="6" s="1"/>
  <c r="M726" i="6" s="1"/>
  <c r="N726" i="6" s="1"/>
  <c r="O726" i="6" s="1"/>
  <c r="P726" i="6" s="1"/>
  <c r="Q726" i="6" s="1"/>
  <c r="R726" i="6" s="1"/>
  <c r="O724" i="6"/>
  <c r="P724" i="6" s="1"/>
  <c r="Q724" i="6" s="1"/>
  <c r="R724" i="6" s="1"/>
  <c r="I724" i="6"/>
  <c r="J724" i="6" s="1"/>
  <c r="K724" i="6" s="1"/>
  <c r="L724" i="6" s="1"/>
  <c r="M724" i="6" s="1"/>
  <c r="N724" i="6" s="1"/>
  <c r="I723" i="6"/>
  <c r="J723" i="6" s="1"/>
  <c r="K723" i="6" s="1"/>
  <c r="L723" i="6" s="1"/>
  <c r="M723" i="6" s="1"/>
  <c r="M722" i="6"/>
  <c r="N722" i="6" s="1"/>
  <c r="L722" i="6"/>
  <c r="K722" i="6"/>
  <c r="I722" i="6"/>
  <c r="J722" i="6" s="1"/>
  <c r="H717" i="6"/>
  <c r="G717" i="6"/>
  <c r="F717" i="6"/>
  <c r="E717" i="6"/>
  <c r="D717" i="6"/>
  <c r="C717" i="6"/>
  <c r="R710" i="6"/>
  <c r="Q710" i="6"/>
  <c r="Q709" i="6"/>
  <c r="R709" i="6" s="1"/>
  <c r="K709" i="6"/>
  <c r="L709" i="6" s="1"/>
  <c r="M709" i="6" s="1"/>
  <c r="N709" i="6" s="1"/>
  <c r="O709" i="6" s="1"/>
  <c r="P709" i="6" s="1"/>
  <c r="J709" i="6"/>
  <c r="J708" i="6"/>
  <c r="K708" i="6" s="1"/>
  <c r="L708" i="6" s="1"/>
  <c r="M708" i="6" s="1"/>
  <c r="N708" i="6" s="1"/>
  <c r="O708" i="6" s="1"/>
  <c r="P708" i="6" s="1"/>
  <c r="Q708" i="6" s="1"/>
  <c r="R708" i="6" s="1"/>
  <c r="I708" i="6"/>
  <c r="K707" i="6"/>
  <c r="L707" i="6" s="1"/>
  <c r="M707" i="6" s="1"/>
  <c r="N707" i="6" s="1"/>
  <c r="O707" i="6" s="1"/>
  <c r="P707" i="6" s="1"/>
  <c r="Q707" i="6" s="1"/>
  <c r="R707" i="6" s="1"/>
  <c r="J707" i="6"/>
  <c r="I707" i="6"/>
  <c r="J706" i="6"/>
  <c r="K706" i="6" s="1"/>
  <c r="K957" i="6" s="1"/>
  <c r="I706" i="6"/>
  <c r="I958" i="6" s="1"/>
  <c r="J698" i="6"/>
  <c r="K698" i="6" s="1"/>
  <c r="L698" i="6" s="1"/>
  <c r="M698" i="6" s="1"/>
  <c r="N698" i="6" s="1"/>
  <c r="O698" i="6" s="1"/>
  <c r="P698" i="6" s="1"/>
  <c r="Q698" i="6" s="1"/>
  <c r="R698" i="6" s="1"/>
  <c r="I698" i="6"/>
  <c r="J697" i="6"/>
  <c r="I697" i="6"/>
  <c r="I717" i="6" s="1"/>
  <c r="H690" i="6"/>
  <c r="F690" i="6"/>
  <c r="D690" i="6"/>
  <c r="J688" i="6"/>
  <c r="I688" i="6"/>
  <c r="H688" i="6"/>
  <c r="G688" i="6"/>
  <c r="G690" i="6" s="1"/>
  <c r="F688" i="6"/>
  <c r="F108" i="6" s="1"/>
  <c r="E688" i="6"/>
  <c r="D688" i="6"/>
  <c r="C688" i="6"/>
  <c r="C690" i="6" s="1"/>
  <c r="L685" i="6"/>
  <c r="M685" i="6" s="1"/>
  <c r="N685" i="6" s="1"/>
  <c r="O685" i="6" s="1"/>
  <c r="P685" i="6" s="1"/>
  <c r="Q685" i="6" s="1"/>
  <c r="R685" i="6" s="1"/>
  <c r="K685" i="6"/>
  <c r="J685" i="6"/>
  <c r="K684" i="6"/>
  <c r="K688" i="6" s="1"/>
  <c r="J684" i="6"/>
  <c r="J679" i="6"/>
  <c r="J97" i="6" s="1"/>
  <c r="I679" i="6"/>
  <c r="H679" i="6"/>
  <c r="G679" i="6"/>
  <c r="F679" i="6"/>
  <c r="F97" i="6" s="1"/>
  <c r="E679" i="6"/>
  <c r="D679" i="6"/>
  <c r="C679" i="6"/>
  <c r="M677" i="6"/>
  <c r="N677" i="6" s="1"/>
  <c r="O677" i="6" s="1"/>
  <c r="P677" i="6" s="1"/>
  <c r="Q677" i="6" s="1"/>
  <c r="R677" i="6" s="1"/>
  <c r="L677" i="6"/>
  <c r="J677" i="6"/>
  <c r="K677" i="6" s="1"/>
  <c r="K676" i="6"/>
  <c r="J676" i="6"/>
  <c r="F669" i="6"/>
  <c r="R667" i="6"/>
  <c r="Q667" i="6"/>
  <c r="P667" i="6"/>
  <c r="O667" i="6"/>
  <c r="N667" i="6"/>
  <c r="M667" i="6"/>
  <c r="L667" i="6"/>
  <c r="K667" i="6"/>
  <c r="J667" i="6"/>
  <c r="I667" i="6"/>
  <c r="H667" i="6"/>
  <c r="G667" i="6"/>
  <c r="G669" i="6" s="1"/>
  <c r="F667" i="6"/>
  <c r="E667" i="6"/>
  <c r="D667" i="6"/>
  <c r="C667" i="6"/>
  <c r="C669" i="6" s="1"/>
  <c r="C636" i="6"/>
  <c r="Q634" i="6"/>
  <c r="D634" i="6"/>
  <c r="D636" i="6" s="1"/>
  <c r="D122" i="6" s="1"/>
  <c r="H630" i="6"/>
  <c r="G630" i="6"/>
  <c r="F630" i="6"/>
  <c r="E630" i="6"/>
  <c r="D630" i="6"/>
  <c r="C630" i="6"/>
  <c r="I618" i="6"/>
  <c r="H618" i="6"/>
  <c r="K612" i="6"/>
  <c r="J612" i="6"/>
  <c r="I612" i="6"/>
  <c r="H599" i="6"/>
  <c r="G599" i="6"/>
  <c r="F599" i="6"/>
  <c r="F96" i="6" s="1"/>
  <c r="D599" i="6"/>
  <c r="C599" i="6"/>
  <c r="I597" i="6"/>
  <c r="J597" i="6" s="1"/>
  <c r="K597" i="6" s="1"/>
  <c r="L597" i="6" s="1"/>
  <c r="M597" i="6" s="1"/>
  <c r="N597" i="6" s="1"/>
  <c r="O597" i="6" s="1"/>
  <c r="P597" i="6" s="1"/>
  <c r="Q597" i="6" s="1"/>
  <c r="R597" i="6" s="1"/>
  <c r="R596" i="6"/>
  <c r="N596" i="6"/>
  <c r="O596" i="6" s="1"/>
  <c r="P596" i="6" s="1"/>
  <c r="Q596" i="6" s="1"/>
  <c r="L596" i="6"/>
  <c r="M596" i="6" s="1"/>
  <c r="K596" i="6"/>
  <c r="J596" i="6"/>
  <c r="I596" i="6"/>
  <c r="I594" i="6"/>
  <c r="J594" i="6" s="1"/>
  <c r="K594" i="6" s="1"/>
  <c r="L594" i="6" s="1"/>
  <c r="M594" i="6" s="1"/>
  <c r="N594" i="6" s="1"/>
  <c r="O594" i="6" s="1"/>
  <c r="P594" i="6" s="1"/>
  <c r="Q594" i="6" s="1"/>
  <c r="R594" i="6" s="1"/>
  <c r="L593" i="6"/>
  <c r="M593" i="6" s="1"/>
  <c r="N593" i="6" s="1"/>
  <c r="O593" i="6" s="1"/>
  <c r="P593" i="6" s="1"/>
  <c r="Q593" i="6" s="1"/>
  <c r="R593" i="6" s="1"/>
  <c r="K593" i="6"/>
  <c r="J593" i="6"/>
  <c r="I593" i="6"/>
  <c r="E591" i="6"/>
  <c r="E599" i="6" s="1"/>
  <c r="I589" i="6"/>
  <c r="J589" i="6" s="1"/>
  <c r="K589" i="6" s="1"/>
  <c r="L589" i="6" s="1"/>
  <c r="M589" i="6" s="1"/>
  <c r="N589" i="6" s="1"/>
  <c r="O589" i="6" s="1"/>
  <c r="P589" i="6" s="1"/>
  <c r="Q589" i="6" s="1"/>
  <c r="R589" i="6" s="1"/>
  <c r="I588" i="6"/>
  <c r="I580" i="6"/>
  <c r="G580" i="6"/>
  <c r="F580" i="6"/>
  <c r="R578" i="6"/>
  <c r="R132" i="6" s="1"/>
  <c r="Q578" i="6"/>
  <c r="C578" i="6"/>
  <c r="R576" i="6"/>
  <c r="Q576" i="6"/>
  <c r="D576" i="6"/>
  <c r="C572" i="6"/>
  <c r="Q570" i="6"/>
  <c r="E570" i="6"/>
  <c r="E572" i="6" s="1"/>
  <c r="E121" i="6" s="1"/>
  <c r="D570" i="6"/>
  <c r="D572" i="6" s="1"/>
  <c r="D121" i="6" s="1"/>
  <c r="D127" i="6" s="1"/>
  <c r="I566" i="6"/>
  <c r="H566" i="6"/>
  <c r="G566" i="6"/>
  <c r="F566" i="6"/>
  <c r="E566" i="6"/>
  <c r="D566" i="6"/>
  <c r="C566" i="6"/>
  <c r="L560" i="6"/>
  <c r="M560" i="6" s="1"/>
  <c r="N560" i="6" s="1"/>
  <c r="O560" i="6" s="1"/>
  <c r="P560" i="6" s="1"/>
  <c r="Q560" i="6" s="1"/>
  <c r="R560" i="6" s="1"/>
  <c r="K560" i="6"/>
  <c r="I560" i="6"/>
  <c r="J560" i="6" s="1"/>
  <c r="K559" i="6"/>
  <c r="J559" i="6"/>
  <c r="J566" i="6" s="1"/>
  <c r="J580" i="6" s="1"/>
  <c r="I559" i="6"/>
  <c r="K555" i="6"/>
  <c r="I555" i="6"/>
  <c r="H555" i="6"/>
  <c r="G555" i="6"/>
  <c r="F555" i="6"/>
  <c r="E555" i="6"/>
  <c r="D555" i="6"/>
  <c r="C555" i="6"/>
  <c r="M549" i="6"/>
  <c r="L549" i="6"/>
  <c r="L555" i="6" s="1"/>
  <c r="K549" i="6"/>
  <c r="I549" i="6"/>
  <c r="J549" i="6" s="1"/>
  <c r="J555" i="6" s="1"/>
  <c r="G542" i="6"/>
  <c r="F542" i="6"/>
  <c r="R540" i="6"/>
  <c r="R131" i="6" s="1"/>
  <c r="Q540" i="6"/>
  <c r="P540" i="6"/>
  <c r="O540" i="6"/>
  <c r="N540" i="6"/>
  <c r="N131" i="6" s="1"/>
  <c r="M540" i="6"/>
  <c r="L540" i="6"/>
  <c r="K540" i="6"/>
  <c r="J540" i="6"/>
  <c r="J131" i="6" s="1"/>
  <c r="I540" i="6"/>
  <c r="H540" i="6"/>
  <c r="G540" i="6"/>
  <c r="F540" i="6"/>
  <c r="F131" i="6" s="1"/>
  <c r="F138" i="6" s="1"/>
  <c r="E540" i="6"/>
  <c r="D540" i="6"/>
  <c r="C540" i="6"/>
  <c r="Q487" i="6"/>
  <c r="D487" i="6"/>
  <c r="C487" i="6"/>
  <c r="R485" i="6"/>
  <c r="R487" i="6" s="1"/>
  <c r="R120" i="6" s="1"/>
  <c r="Q485" i="6"/>
  <c r="E485" i="6"/>
  <c r="E487" i="6" s="1"/>
  <c r="D485" i="6"/>
  <c r="G481" i="6"/>
  <c r="F481" i="6"/>
  <c r="F105" i="6" s="1"/>
  <c r="C481" i="6"/>
  <c r="R479" i="6"/>
  <c r="K479" i="6"/>
  <c r="L479" i="6" s="1"/>
  <c r="M479" i="6" s="1"/>
  <c r="N479" i="6" s="1"/>
  <c r="O479" i="6" s="1"/>
  <c r="P479" i="6" s="1"/>
  <c r="Q479" i="6" s="1"/>
  <c r="J479" i="6"/>
  <c r="I479" i="6"/>
  <c r="Q476" i="6"/>
  <c r="R476" i="6" s="1"/>
  <c r="M476" i="6"/>
  <c r="N476" i="6" s="1"/>
  <c r="O476" i="6" s="1"/>
  <c r="P476" i="6" s="1"/>
  <c r="L476" i="6"/>
  <c r="J476" i="6"/>
  <c r="K476" i="6" s="1"/>
  <c r="I476" i="6"/>
  <c r="K475" i="6"/>
  <c r="L475" i="6" s="1"/>
  <c r="M475" i="6" s="1"/>
  <c r="N475" i="6" s="1"/>
  <c r="O475" i="6" s="1"/>
  <c r="P475" i="6" s="1"/>
  <c r="Q475" i="6" s="1"/>
  <c r="R475" i="6" s="1"/>
  <c r="J475" i="6"/>
  <c r="I475" i="6"/>
  <c r="D475" i="6"/>
  <c r="D481" i="6" s="1"/>
  <c r="N474" i="6"/>
  <c r="O474" i="6" s="1"/>
  <c r="P474" i="6" s="1"/>
  <c r="Q474" i="6" s="1"/>
  <c r="R474" i="6" s="1"/>
  <c r="I474" i="6"/>
  <c r="J474" i="6" s="1"/>
  <c r="K474" i="6" s="1"/>
  <c r="L474" i="6" s="1"/>
  <c r="M474" i="6" s="1"/>
  <c r="I473" i="6"/>
  <c r="H471" i="6"/>
  <c r="H481" i="6" s="1"/>
  <c r="E458" i="6"/>
  <c r="E481" i="6" s="1"/>
  <c r="H454" i="6"/>
  <c r="G454" i="6"/>
  <c r="F454" i="6"/>
  <c r="E454" i="6"/>
  <c r="E542" i="6" s="1"/>
  <c r="D454" i="6"/>
  <c r="C454" i="6"/>
  <c r="C542" i="6" s="1"/>
  <c r="K452" i="6"/>
  <c r="L452" i="6" s="1"/>
  <c r="M452" i="6" s="1"/>
  <c r="N452" i="6" s="1"/>
  <c r="O452" i="6" s="1"/>
  <c r="P452" i="6" s="1"/>
  <c r="Q452" i="6" s="1"/>
  <c r="R452" i="6" s="1"/>
  <c r="I452" i="6"/>
  <c r="J452" i="6" s="1"/>
  <c r="N451" i="6"/>
  <c r="O451" i="6" s="1"/>
  <c r="P451" i="6" s="1"/>
  <c r="Q451" i="6" s="1"/>
  <c r="R451" i="6" s="1"/>
  <c r="J451" i="6"/>
  <c r="K451" i="6" s="1"/>
  <c r="L451" i="6" s="1"/>
  <c r="M451" i="6" s="1"/>
  <c r="I451" i="6"/>
  <c r="M450" i="6"/>
  <c r="N450" i="6" s="1"/>
  <c r="O450" i="6" s="1"/>
  <c r="P450" i="6" s="1"/>
  <c r="Q450" i="6" s="1"/>
  <c r="R450" i="6" s="1"/>
  <c r="I450" i="6"/>
  <c r="J450" i="6" s="1"/>
  <c r="K450" i="6" s="1"/>
  <c r="L450" i="6" s="1"/>
  <c r="I449" i="6"/>
  <c r="J449" i="6" s="1"/>
  <c r="K449" i="6" s="1"/>
  <c r="L449" i="6" s="1"/>
  <c r="M449" i="6" s="1"/>
  <c r="N449" i="6" s="1"/>
  <c r="O449" i="6" s="1"/>
  <c r="P449" i="6" s="1"/>
  <c r="Q449" i="6" s="1"/>
  <c r="R449" i="6" s="1"/>
  <c r="L448" i="6"/>
  <c r="M448" i="6" s="1"/>
  <c r="N448" i="6" s="1"/>
  <c r="O448" i="6" s="1"/>
  <c r="P448" i="6" s="1"/>
  <c r="Q448" i="6" s="1"/>
  <c r="R448" i="6" s="1"/>
  <c r="K448" i="6"/>
  <c r="I448" i="6"/>
  <c r="J448" i="6" s="1"/>
  <c r="E448" i="6"/>
  <c r="R447" i="6"/>
  <c r="N447" i="6"/>
  <c r="O447" i="6" s="1"/>
  <c r="P447" i="6" s="1"/>
  <c r="Q447" i="6" s="1"/>
  <c r="L447" i="6"/>
  <c r="M447" i="6" s="1"/>
  <c r="K447" i="6"/>
  <c r="J447" i="6"/>
  <c r="I447" i="6"/>
  <c r="D447" i="6"/>
  <c r="J444" i="6"/>
  <c r="K444" i="6" s="1"/>
  <c r="L444" i="6" s="1"/>
  <c r="M444" i="6" s="1"/>
  <c r="N444" i="6" s="1"/>
  <c r="O444" i="6" s="1"/>
  <c r="P444" i="6" s="1"/>
  <c r="Q444" i="6" s="1"/>
  <c r="R444" i="6" s="1"/>
  <c r="I444" i="6"/>
  <c r="E444" i="6"/>
  <c r="P443" i="6"/>
  <c r="Q443" i="6" s="1"/>
  <c r="R443" i="6" s="1"/>
  <c r="J443" i="6"/>
  <c r="K443" i="6" s="1"/>
  <c r="L443" i="6" s="1"/>
  <c r="M443" i="6" s="1"/>
  <c r="N443" i="6" s="1"/>
  <c r="O443" i="6" s="1"/>
  <c r="I443" i="6"/>
  <c r="E443" i="6"/>
  <c r="L442" i="6"/>
  <c r="M442" i="6" s="1"/>
  <c r="N442" i="6" s="1"/>
  <c r="O442" i="6" s="1"/>
  <c r="P442" i="6" s="1"/>
  <c r="Q442" i="6" s="1"/>
  <c r="R442" i="6" s="1"/>
  <c r="K442" i="6"/>
  <c r="I442" i="6"/>
  <c r="J442" i="6" s="1"/>
  <c r="E442" i="6"/>
  <c r="K441" i="6"/>
  <c r="L441" i="6" s="1"/>
  <c r="J441" i="6"/>
  <c r="I441" i="6"/>
  <c r="H432" i="6"/>
  <c r="H434" i="6" s="1"/>
  <c r="G432" i="6"/>
  <c r="G434" i="6" s="1"/>
  <c r="D432" i="6"/>
  <c r="O430" i="6"/>
  <c r="P430" i="6" s="1"/>
  <c r="Q430" i="6" s="1"/>
  <c r="R430" i="6" s="1"/>
  <c r="N430" i="6"/>
  <c r="J430" i="6"/>
  <c r="K430" i="6" s="1"/>
  <c r="L430" i="6" s="1"/>
  <c r="M430" i="6" s="1"/>
  <c r="I430" i="6"/>
  <c r="Q427" i="6"/>
  <c r="R427" i="6" s="1"/>
  <c r="L427" i="6"/>
  <c r="M427" i="6" s="1"/>
  <c r="N427" i="6" s="1"/>
  <c r="O427" i="6" s="1"/>
  <c r="P427" i="6" s="1"/>
  <c r="I427" i="6"/>
  <c r="J427" i="6" s="1"/>
  <c r="K427" i="6" s="1"/>
  <c r="R426" i="6"/>
  <c r="Q426" i="6"/>
  <c r="E423" i="6"/>
  <c r="E422" i="6"/>
  <c r="K421" i="6"/>
  <c r="L421" i="6" s="1"/>
  <c r="M421" i="6" s="1"/>
  <c r="N421" i="6" s="1"/>
  <c r="O421" i="6" s="1"/>
  <c r="P421" i="6" s="1"/>
  <c r="Q421" i="6" s="1"/>
  <c r="R421" i="6" s="1"/>
  <c r="J421" i="6"/>
  <c r="I421" i="6"/>
  <c r="E421" i="6"/>
  <c r="R420" i="6"/>
  <c r="M420" i="6"/>
  <c r="N420" i="6" s="1"/>
  <c r="O420" i="6" s="1"/>
  <c r="P420" i="6" s="1"/>
  <c r="Q420" i="6" s="1"/>
  <c r="J420" i="6"/>
  <c r="K420" i="6" s="1"/>
  <c r="L420" i="6" s="1"/>
  <c r="I420" i="6"/>
  <c r="E418" i="6"/>
  <c r="E417" i="6"/>
  <c r="E416" i="6"/>
  <c r="E415" i="6"/>
  <c r="O414" i="6"/>
  <c r="P414" i="6" s="1"/>
  <c r="Q414" i="6" s="1"/>
  <c r="R414" i="6" s="1"/>
  <c r="L414" i="6"/>
  <c r="M414" i="6" s="1"/>
  <c r="N414" i="6" s="1"/>
  <c r="K414" i="6"/>
  <c r="J414" i="6"/>
  <c r="I414" i="6"/>
  <c r="F412" i="6"/>
  <c r="F432" i="6" s="1"/>
  <c r="E412" i="6"/>
  <c r="L410" i="6"/>
  <c r="M410" i="6" s="1"/>
  <c r="N410" i="6" s="1"/>
  <c r="O410" i="6" s="1"/>
  <c r="P410" i="6" s="1"/>
  <c r="Q410" i="6" s="1"/>
  <c r="R410" i="6" s="1"/>
  <c r="K410" i="6"/>
  <c r="J410" i="6"/>
  <c r="I410" i="6"/>
  <c r="R409" i="6"/>
  <c r="M409" i="6"/>
  <c r="N409" i="6" s="1"/>
  <c r="O409" i="6" s="1"/>
  <c r="P409" i="6" s="1"/>
  <c r="Q409" i="6" s="1"/>
  <c r="J409" i="6"/>
  <c r="K409" i="6" s="1"/>
  <c r="L409" i="6" s="1"/>
  <c r="I409" i="6"/>
  <c r="O407" i="6"/>
  <c r="P407" i="6" s="1"/>
  <c r="Q407" i="6" s="1"/>
  <c r="R407" i="6" s="1"/>
  <c r="L407" i="6"/>
  <c r="M407" i="6" s="1"/>
  <c r="N407" i="6" s="1"/>
  <c r="K407" i="6"/>
  <c r="J407" i="6"/>
  <c r="I407" i="6"/>
  <c r="J405" i="6"/>
  <c r="K405" i="6" s="1"/>
  <c r="L405" i="6" s="1"/>
  <c r="M405" i="6" s="1"/>
  <c r="N405" i="6" s="1"/>
  <c r="O405" i="6" s="1"/>
  <c r="P405" i="6" s="1"/>
  <c r="Q405" i="6" s="1"/>
  <c r="R405" i="6" s="1"/>
  <c r="I405" i="6"/>
  <c r="O404" i="6"/>
  <c r="P404" i="6" s="1"/>
  <c r="Q404" i="6" s="1"/>
  <c r="R404" i="6" s="1"/>
  <c r="L404" i="6"/>
  <c r="M404" i="6" s="1"/>
  <c r="N404" i="6" s="1"/>
  <c r="K404" i="6"/>
  <c r="J404" i="6"/>
  <c r="I404" i="6"/>
  <c r="J403" i="6"/>
  <c r="I403" i="6"/>
  <c r="E403" i="6"/>
  <c r="C403" i="6"/>
  <c r="C432" i="6" s="1"/>
  <c r="H399" i="6"/>
  <c r="G399" i="6"/>
  <c r="F399" i="6"/>
  <c r="F93" i="6" s="1"/>
  <c r="I396" i="6"/>
  <c r="J396" i="6" s="1"/>
  <c r="K396" i="6" s="1"/>
  <c r="L396" i="6" s="1"/>
  <c r="M396" i="6" s="1"/>
  <c r="N396" i="6" s="1"/>
  <c r="O396" i="6" s="1"/>
  <c r="P396" i="6" s="1"/>
  <c r="Q396" i="6" s="1"/>
  <c r="R396" i="6" s="1"/>
  <c r="P395" i="6"/>
  <c r="Q395" i="6" s="1"/>
  <c r="R395" i="6" s="1"/>
  <c r="K395" i="6"/>
  <c r="L395" i="6" s="1"/>
  <c r="M395" i="6" s="1"/>
  <c r="N395" i="6" s="1"/>
  <c r="O395" i="6" s="1"/>
  <c r="J395" i="6"/>
  <c r="I395" i="6"/>
  <c r="I394" i="6"/>
  <c r="J394" i="6" s="1"/>
  <c r="K394" i="6" s="1"/>
  <c r="L394" i="6" s="1"/>
  <c r="M394" i="6" s="1"/>
  <c r="N394" i="6" s="1"/>
  <c r="O394" i="6" s="1"/>
  <c r="P394" i="6" s="1"/>
  <c r="Q394" i="6" s="1"/>
  <c r="R394" i="6" s="1"/>
  <c r="D394" i="6"/>
  <c r="M392" i="6"/>
  <c r="N392" i="6" s="1"/>
  <c r="O392" i="6" s="1"/>
  <c r="P392" i="6" s="1"/>
  <c r="Q392" i="6" s="1"/>
  <c r="R392" i="6" s="1"/>
  <c r="L392" i="6"/>
  <c r="I392" i="6"/>
  <c r="J392" i="6" s="1"/>
  <c r="K392" i="6" s="1"/>
  <c r="E392" i="6"/>
  <c r="E399" i="6" s="1"/>
  <c r="K391" i="6"/>
  <c r="L391" i="6" s="1"/>
  <c r="M391" i="6" s="1"/>
  <c r="N391" i="6" s="1"/>
  <c r="O391" i="6" s="1"/>
  <c r="P391" i="6" s="1"/>
  <c r="Q391" i="6" s="1"/>
  <c r="R391" i="6" s="1"/>
  <c r="J391" i="6"/>
  <c r="I391" i="6"/>
  <c r="I390" i="6"/>
  <c r="J390" i="6" s="1"/>
  <c r="K390" i="6" s="1"/>
  <c r="L390" i="6" s="1"/>
  <c r="M390" i="6" s="1"/>
  <c r="N390" i="6" s="1"/>
  <c r="O390" i="6" s="1"/>
  <c r="P390" i="6" s="1"/>
  <c r="Q390" i="6" s="1"/>
  <c r="R390" i="6" s="1"/>
  <c r="K389" i="6"/>
  <c r="L389" i="6" s="1"/>
  <c r="M389" i="6" s="1"/>
  <c r="N389" i="6" s="1"/>
  <c r="O389" i="6" s="1"/>
  <c r="P389" i="6" s="1"/>
  <c r="Q389" i="6" s="1"/>
  <c r="R389" i="6" s="1"/>
  <c r="J389" i="6"/>
  <c r="I389" i="6"/>
  <c r="C389" i="6"/>
  <c r="N388" i="6"/>
  <c r="O388" i="6" s="1"/>
  <c r="P388" i="6" s="1"/>
  <c r="Q388" i="6" s="1"/>
  <c r="R388" i="6" s="1"/>
  <c r="J388" i="6"/>
  <c r="K388" i="6" s="1"/>
  <c r="L388" i="6" s="1"/>
  <c r="M388" i="6" s="1"/>
  <c r="I388" i="6"/>
  <c r="D388" i="6"/>
  <c r="N387" i="6"/>
  <c r="O387" i="6" s="1"/>
  <c r="P387" i="6" s="1"/>
  <c r="Q387" i="6" s="1"/>
  <c r="R387" i="6" s="1"/>
  <c r="M387" i="6"/>
  <c r="I387" i="6"/>
  <c r="J387" i="6" s="1"/>
  <c r="K387" i="6" s="1"/>
  <c r="L387" i="6" s="1"/>
  <c r="E387" i="6"/>
  <c r="C387" i="6"/>
  <c r="C399" i="6" s="1"/>
  <c r="C93" i="6" s="1"/>
  <c r="C101" i="6" s="1"/>
  <c r="I386" i="6"/>
  <c r="F385" i="6"/>
  <c r="E385" i="6"/>
  <c r="D385" i="6"/>
  <c r="D399" i="6" s="1"/>
  <c r="J384" i="6"/>
  <c r="K384" i="6" s="1"/>
  <c r="H373" i="6"/>
  <c r="R371" i="6"/>
  <c r="Q371" i="6"/>
  <c r="E371" i="6"/>
  <c r="D371" i="6"/>
  <c r="C371" i="6"/>
  <c r="I364" i="6"/>
  <c r="I373" i="6" s="1"/>
  <c r="H364" i="6"/>
  <c r="G364" i="6"/>
  <c r="F364" i="6"/>
  <c r="E364" i="6"/>
  <c r="E373" i="6" s="1"/>
  <c r="D364" i="6"/>
  <c r="C364" i="6"/>
  <c r="Q354" i="6"/>
  <c r="R354" i="6" s="1"/>
  <c r="P354" i="6"/>
  <c r="I354" i="6"/>
  <c r="J354" i="6" s="1"/>
  <c r="K354" i="6" s="1"/>
  <c r="L354" i="6" s="1"/>
  <c r="M354" i="6" s="1"/>
  <c r="N354" i="6" s="1"/>
  <c r="O354" i="6" s="1"/>
  <c r="K353" i="6"/>
  <c r="L353" i="6" s="1"/>
  <c r="M353" i="6" s="1"/>
  <c r="N353" i="6" s="1"/>
  <c r="O353" i="6" s="1"/>
  <c r="P353" i="6" s="1"/>
  <c r="Q353" i="6" s="1"/>
  <c r="R353" i="6" s="1"/>
  <c r="J353" i="6"/>
  <c r="I353" i="6"/>
  <c r="M351" i="6"/>
  <c r="N351" i="6" s="1"/>
  <c r="O351" i="6" s="1"/>
  <c r="P351" i="6" s="1"/>
  <c r="Q351" i="6" s="1"/>
  <c r="R351" i="6" s="1"/>
  <c r="I351" i="6"/>
  <c r="J351" i="6" s="1"/>
  <c r="K351" i="6" s="1"/>
  <c r="L351" i="6" s="1"/>
  <c r="J350" i="6"/>
  <c r="K350" i="6" s="1"/>
  <c r="L350" i="6" s="1"/>
  <c r="M350" i="6" s="1"/>
  <c r="N350" i="6" s="1"/>
  <c r="O350" i="6" s="1"/>
  <c r="P350" i="6" s="1"/>
  <c r="Q350" i="6" s="1"/>
  <c r="R350" i="6" s="1"/>
  <c r="I350" i="6"/>
  <c r="I349" i="6"/>
  <c r="J349" i="6" s="1"/>
  <c r="E349" i="6"/>
  <c r="H345" i="6"/>
  <c r="H58" i="6" s="1"/>
  <c r="G345" i="6"/>
  <c r="G373" i="6" s="1"/>
  <c r="G375" i="6" s="1"/>
  <c r="F345" i="6"/>
  <c r="F373" i="6" s="1"/>
  <c r="E345" i="6"/>
  <c r="D345" i="6"/>
  <c r="D58" i="6" s="1"/>
  <c r="C345" i="6"/>
  <c r="C373" i="6" s="1"/>
  <c r="K341" i="6"/>
  <c r="K345" i="6" s="1"/>
  <c r="K58" i="6" s="1"/>
  <c r="J341" i="6"/>
  <c r="J345" i="6" s="1"/>
  <c r="I341" i="6"/>
  <c r="I345" i="6" s="1"/>
  <c r="H332" i="6"/>
  <c r="G332" i="6"/>
  <c r="G334" i="6" s="1"/>
  <c r="F332" i="6"/>
  <c r="D332" i="6"/>
  <c r="C332" i="6"/>
  <c r="C334" i="6" s="1"/>
  <c r="I330" i="6"/>
  <c r="I332" i="6" s="1"/>
  <c r="I334" i="6" s="1"/>
  <c r="L329" i="6"/>
  <c r="M329" i="6" s="1"/>
  <c r="N329" i="6" s="1"/>
  <c r="O329" i="6" s="1"/>
  <c r="P329" i="6" s="1"/>
  <c r="Q329" i="6" s="1"/>
  <c r="R329" i="6" s="1"/>
  <c r="K329" i="6"/>
  <c r="J329" i="6"/>
  <c r="I329" i="6"/>
  <c r="E329" i="6"/>
  <c r="J328" i="6"/>
  <c r="K328" i="6" s="1"/>
  <c r="L328" i="6" s="1"/>
  <c r="M328" i="6" s="1"/>
  <c r="N328" i="6" s="1"/>
  <c r="O328" i="6" s="1"/>
  <c r="P328" i="6" s="1"/>
  <c r="Q328" i="6" s="1"/>
  <c r="R328" i="6" s="1"/>
  <c r="I328" i="6"/>
  <c r="I327" i="6"/>
  <c r="J327" i="6" s="1"/>
  <c r="K327" i="6" s="1"/>
  <c r="L327" i="6" s="1"/>
  <c r="E327" i="6"/>
  <c r="E332" i="6" s="1"/>
  <c r="E334" i="6" s="1"/>
  <c r="K323" i="6"/>
  <c r="H323" i="6"/>
  <c r="G323" i="6"/>
  <c r="F323" i="6"/>
  <c r="E323" i="6"/>
  <c r="D323" i="6"/>
  <c r="C323" i="6"/>
  <c r="L321" i="6"/>
  <c r="K321" i="6"/>
  <c r="J321" i="6"/>
  <c r="J323" i="6" s="1"/>
  <c r="I321" i="6"/>
  <c r="I323" i="6" s="1"/>
  <c r="H312" i="6"/>
  <c r="H314" i="6" s="1"/>
  <c r="G312" i="6"/>
  <c r="G314" i="6" s="1"/>
  <c r="F312" i="6"/>
  <c r="F314" i="6" s="1"/>
  <c r="Q309" i="6"/>
  <c r="R309" i="6" s="1"/>
  <c r="N309" i="6"/>
  <c r="O309" i="6" s="1"/>
  <c r="P309" i="6" s="1"/>
  <c r="I309" i="6"/>
  <c r="J309" i="6" s="1"/>
  <c r="K309" i="6" s="1"/>
  <c r="L309" i="6" s="1"/>
  <c r="M309" i="6" s="1"/>
  <c r="K308" i="6"/>
  <c r="L308" i="6" s="1"/>
  <c r="M308" i="6" s="1"/>
  <c r="N308" i="6" s="1"/>
  <c r="O308" i="6" s="1"/>
  <c r="P308" i="6" s="1"/>
  <c r="Q308" i="6" s="1"/>
  <c r="R308" i="6" s="1"/>
  <c r="J308" i="6"/>
  <c r="I308" i="6"/>
  <c r="N307" i="6"/>
  <c r="O307" i="6" s="1"/>
  <c r="P307" i="6" s="1"/>
  <c r="Q307" i="6" s="1"/>
  <c r="R307" i="6" s="1"/>
  <c r="I307" i="6"/>
  <c r="J307" i="6" s="1"/>
  <c r="K307" i="6" s="1"/>
  <c r="L307" i="6" s="1"/>
  <c r="M307" i="6" s="1"/>
  <c r="K306" i="6"/>
  <c r="L306" i="6" s="1"/>
  <c r="M306" i="6" s="1"/>
  <c r="N306" i="6" s="1"/>
  <c r="O306" i="6" s="1"/>
  <c r="P306" i="6" s="1"/>
  <c r="Q306" i="6" s="1"/>
  <c r="R306" i="6" s="1"/>
  <c r="J306" i="6"/>
  <c r="I306" i="6"/>
  <c r="F306" i="6"/>
  <c r="E306" i="6"/>
  <c r="P305" i="6"/>
  <c r="Q305" i="6" s="1"/>
  <c r="R305" i="6" s="1"/>
  <c r="K305" i="6"/>
  <c r="L305" i="6" s="1"/>
  <c r="M305" i="6" s="1"/>
  <c r="N305" i="6" s="1"/>
  <c r="O305" i="6" s="1"/>
  <c r="J305" i="6"/>
  <c r="I305" i="6"/>
  <c r="E305" i="6"/>
  <c r="K304" i="6"/>
  <c r="L304" i="6" s="1"/>
  <c r="M304" i="6" s="1"/>
  <c r="N304" i="6" s="1"/>
  <c r="O304" i="6" s="1"/>
  <c r="P304" i="6" s="1"/>
  <c r="Q304" i="6" s="1"/>
  <c r="R304" i="6" s="1"/>
  <c r="E304" i="6"/>
  <c r="P303" i="6"/>
  <c r="Q303" i="6" s="1"/>
  <c r="R303" i="6" s="1"/>
  <c r="K303" i="6"/>
  <c r="L303" i="6" s="1"/>
  <c r="M303" i="6" s="1"/>
  <c r="N303" i="6" s="1"/>
  <c r="O303" i="6" s="1"/>
  <c r="J303" i="6"/>
  <c r="I303" i="6"/>
  <c r="E303" i="6"/>
  <c r="J302" i="6"/>
  <c r="K302" i="6" s="1"/>
  <c r="L302" i="6" s="1"/>
  <c r="M302" i="6" s="1"/>
  <c r="N302" i="6" s="1"/>
  <c r="O302" i="6" s="1"/>
  <c r="P302" i="6" s="1"/>
  <c r="Q302" i="6" s="1"/>
  <c r="R302" i="6" s="1"/>
  <c r="I302" i="6"/>
  <c r="L299" i="6"/>
  <c r="M299" i="6" s="1"/>
  <c r="N299" i="6" s="1"/>
  <c r="O299" i="6" s="1"/>
  <c r="P299" i="6" s="1"/>
  <c r="Q299" i="6" s="1"/>
  <c r="R299" i="6" s="1"/>
  <c r="I299" i="6"/>
  <c r="J299" i="6" s="1"/>
  <c r="K299" i="6" s="1"/>
  <c r="J298" i="6"/>
  <c r="K298" i="6" s="1"/>
  <c r="L298" i="6" s="1"/>
  <c r="M298" i="6" s="1"/>
  <c r="N298" i="6" s="1"/>
  <c r="O298" i="6" s="1"/>
  <c r="P298" i="6" s="1"/>
  <c r="Q298" i="6" s="1"/>
  <c r="R298" i="6" s="1"/>
  <c r="I298" i="6"/>
  <c r="I296" i="6"/>
  <c r="E296" i="6"/>
  <c r="E312" i="6" s="1"/>
  <c r="D296" i="6"/>
  <c r="D312" i="6" s="1"/>
  <c r="C296" i="6"/>
  <c r="C312" i="6" s="1"/>
  <c r="H292" i="6"/>
  <c r="G292" i="6"/>
  <c r="F292" i="6"/>
  <c r="J290" i="6"/>
  <c r="K290" i="6" s="1"/>
  <c r="L290" i="6" s="1"/>
  <c r="M290" i="6" s="1"/>
  <c r="N290" i="6" s="1"/>
  <c r="O290" i="6" s="1"/>
  <c r="P290" i="6" s="1"/>
  <c r="Q290" i="6" s="1"/>
  <c r="R290" i="6" s="1"/>
  <c r="I290" i="6"/>
  <c r="L289" i="6"/>
  <c r="M289" i="6" s="1"/>
  <c r="N289" i="6" s="1"/>
  <c r="O289" i="6" s="1"/>
  <c r="P289" i="6" s="1"/>
  <c r="Q289" i="6" s="1"/>
  <c r="R289" i="6" s="1"/>
  <c r="K289" i="6"/>
  <c r="J289" i="6"/>
  <c r="I289" i="6"/>
  <c r="E289" i="6"/>
  <c r="M288" i="6"/>
  <c r="N288" i="6" s="1"/>
  <c r="O288" i="6" s="1"/>
  <c r="P288" i="6" s="1"/>
  <c r="Q288" i="6" s="1"/>
  <c r="R288" i="6" s="1"/>
  <c r="K288" i="6"/>
  <c r="L288" i="6" s="1"/>
  <c r="I288" i="6"/>
  <c r="J288" i="6" s="1"/>
  <c r="E288" i="6"/>
  <c r="J287" i="6"/>
  <c r="K287" i="6" s="1"/>
  <c r="L287" i="6" s="1"/>
  <c r="M287" i="6" s="1"/>
  <c r="N287" i="6" s="1"/>
  <c r="O287" i="6" s="1"/>
  <c r="P287" i="6" s="1"/>
  <c r="Q287" i="6" s="1"/>
  <c r="R287" i="6" s="1"/>
  <c r="I287" i="6"/>
  <c r="N286" i="6"/>
  <c r="O286" i="6" s="1"/>
  <c r="P286" i="6" s="1"/>
  <c r="Q286" i="6" s="1"/>
  <c r="R286" i="6" s="1"/>
  <c r="L286" i="6"/>
  <c r="M286" i="6" s="1"/>
  <c r="J286" i="6"/>
  <c r="K286" i="6" s="1"/>
  <c r="I286" i="6"/>
  <c r="D286" i="6"/>
  <c r="D292" i="6" s="1"/>
  <c r="D56" i="6" s="1"/>
  <c r="D59" i="6" s="1"/>
  <c r="K285" i="6"/>
  <c r="L285" i="6" s="1"/>
  <c r="M285" i="6" s="1"/>
  <c r="N285" i="6" s="1"/>
  <c r="O285" i="6" s="1"/>
  <c r="P285" i="6" s="1"/>
  <c r="Q285" i="6" s="1"/>
  <c r="R285" i="6" s="1"/>
  <c r="J285" i="6"/>
  <c r="I285" i="6"/>
  <c r="I284" i="6"/>
  <c r="J284" i="6" s="1"/>
  <c r="K284" i="6" s="1"/>
  <c r="L284" i="6" s="1"/>
  <c r="M284" i="6" s="1"/>
  <c r="N284" i="6" s="1"/>
  <c r="O284" i="6" s="1"/>
  <c r="P284" i="6" s="1"/>
  <c r="Q284" i="6" s="1"/>
  <c r="R284" i="6" s="1"/>
  <c r="E284" i="6"/>
  <c r="C284" i="6"/>
  <c r="I283" i="6"/>
  <c r="J283" i="6" s="1"/>
  <c r="K283" i="6" s="1"/>
  <c r="L283" i="6" s="1"/>
  <c r="M283" i="6" s="1"/>
  <c r="N283" i="6" s="1"/>
  <c r="O283" i="6" s="1"/>
  <c r="P283" i="6" s="1"/>
  <c r="Q283" i="6" s="1"/>
  <c r="R283" i="6" s="1"/>
  <c r="E283" i="6"/>
  <c r="E292" i="6" s="1"/>
  <c r="E56" i="6" s="1"/>
  <c r="E59" i="6" s="1"/>
  <c r="C283" i="6"/>
  <c r="C292" i="6" s="1"/>
  <c r="C56" i="6" s="1"/>
  <c r="M282" i="6"/>
  <c r="N282" i="6" s="1"/>
  <c r="O282" i="6" s="1"/>
  <c r="P282" i="6" s="1"/>
  <c r="Q282" i="6" s="1"/>
  <c r="R282" i="6" s="1"/>
  <c r="L282" i="6"/>
  <c r="K282" i="6"/>
  <c r="I282" i="6"/>
  <c r="J282" i="6" s="1"/>
  <c r="K281" i="6"/>
  <c r="L281" i="6" s="1"/>
  <c r="M281" i="6" s="1"/>
  <c r="N281" i="6" s="1"/>
  <c r="O281" i="6" s="1"/>
  <c r="P281" i="6" s="1"/>
  <c r="Q281" i="6" s="1"/>
  <c r="R281" i="6" s="1"/>
  <c r="J281" i="6"/>
  <c r="I281" i="6"/>
  <c r="I280" i="6"/>
  <c r="J280" i="6" s="1"/>
  <c r="K280" i="6" s="1"/>
  <c r="L280" i="6" s="1"/>
  <c r="M280" i="6" s="1"/>
  <c r="N280" i="6" s="1"/>
  <c r="O280" i="6" s="1"/>
  <c r="P280" i="6" s="1"/>
  <c r="Q280" i="6" s="1"/>
  <c r="R280" i="6" s="1"/>
  <c r="K279" i="6"/>
  <c r="L279" i="6" s="1"/>
  <c r="M279" i="6" s="1"/>
  <c r="N279" i="6" s="1"/>
  <c r="O279" i="6" s="1"/>
  <c r="P279" i="6" s="1"/>
  <c r="Q279" i="6" s="1"/>
  <c r="R279" i="6" s="1"/>
  <c r="J279" i="6"/>
  <c r="I279" i="6"/>
  <c r="I278" i="6"/>
  <c r="J278" i="6" s="1"/>
  <c r="K278" i="6" s="1"/>
  <c r="L278" i="6" s="1"/>
  <c r="M278" i="6" s="1"/>
  <c r="N278" i="6" s="1"/>
  <c r="O278" i="6" s="1"/>
  <c r="P278" i="6" s="1"/>
  <c r="Q278" i="6" s="1"/>
  <c r="R278" i="6" s="1"/>
  <c r="J277" i="6"/>
  <c r="I277" i="6"/>
  <c r="E277" i="6"/>
  <c r="F263" i="6"/>
  <c r="E263" i="6"/>
  <c r="E44" i="6" s="1"/>
  <c r="D263" i="6"/>
  <c r="I259" i="6"/>
  <c r="H259" i="6"/>
  <c r="G259" i="6"/>
  <c r="F259" i="6"/>
  <c r="E259" i="6"/>
  <c r="D259" i="6"/>
  <c r="C259" i="6"/>
  <c r="R257" i="6"/>
  <c r="Q257" i="6"/>
  <c r="P257" i="6"/>
  <c r="O257" i="6"/>
  <c r="N257" i="6"/>
  <c r="M257" i="6"/>
  <c r="L257" i="6"/>
  <c r="K257" i="6"/>
  <c r="J257" i="6"/>
  <c r="I257" i="6"/>
  <c r="H257" i="6"/>
  <c r="G257" i="6"/>
  <c r="F257" i="6"/>
  <c r="E257" i="6"/>
  <c r="D257" i="6"/>
  <c r="C257" i="6"/>
  <c r="C263" i="6" s="1"/>
  <c r="C44" i="6" s="1"/>
  <c r="R256" i="6"/>
  <c r="Q256" i="6"/>
  <c r="P256" i="6"/>
  <c r="O256" i="6"/>
  <c r="N256" i="6"/>
  <c r="M256" i="6"/>
  <c r="L256" i="6"/>
  <c r="K256" i="6"/>
  <c r="J256" i="6"/>
  <c r="I256" i="6"/>
  <c r="I263" i="6" s="1"/>
  <c r="I265" i="6" s="1"/>
  <c r="H256" i="6"/>
  <c r="H263" i="6" s="1"/>
  <c r="H44" i="6" s="1"/>
  <c r="G256" i="6"/>
  <c r="G263" i="6" s="1"/>
  <c r="G44" i="6" s="1"/>
  <c r="F256" i="6"/>
  <c r="E256" i="6"/>
  <c r="D256" i="6"/>
  <c r="Q253" i="6"/>
  <c r="L253" i="6"/>
  <c r="I253" i="6"/>
  <c r="E253" i="6"/>
  <c r="E265" i="6" s="1"/>
  <c r="Q249" i="6"/>
  <c r="M249" i="6"/>
  <c r="M253" i="6" s="1"/>
  <c r="L249" i="6"/>
  <c r="K249" i="6"/>
  <c r="K253" i="6" s="1"/>
  <c r="J249" i="6"/>
  <c r="J253" i="6" s="1"/>
  <c r="J36" i="6" s="1"/>
  <c r="I249" i="6"/>
  <c r="H249" i="6"/>
  <c r="H253" i="6" s="1"/>
  <c r="G249" i="6"/>
  <c r="G253" i="6" s="1"/>
  <c r="F249" i="6"/>
  <c r="F253" i="6" s="1"/>
  <c r="E249" i="6"/>
  <c r="C249" i="6"/>
  <c r="C253" i="6" s="1"/>
  <c r="C265" i="6" s="1"/>
  <c r="I238" i="6"/>
  <c r="H238" i="6"/>
  <c r="G238" i="6"/>
  <c r="F238" i="6"/>
  <c r="E238" i="6"/>
  <c r="D238" i="6"/>
  <c r="C238" i="6"/>
  <c r="I237" i="6"/>
  <c r="H237" i="6"/>
  <c r="G237" i="6"/>
  <c r="F237" i="6"/>
  <c r="E237" i="6"/>
  <c r="D237" i="6"/>
  <c r="C237" i="6"/>
  <c r="I236" i="6"/>
  <c r="H236" i="6"/>
  <c r="G236" i="6"/>
  <c r="F236" i="6"/>
  <c r="E236" i="6"/>
  <c r="D236" i="6"/>
  <c r="C236" i="6"/>
  <c r="I235" i="6"/>
  <c r="H235" i="6"/>
  <c r="G235" i="6"/>
  <c r="F235" i="6"/>
  <c r="E235" i="6"/>
  <c r="D235" i="6"/>
  <c r="C235" i="6"/>
  <c r="I234" i="6"/>
  <c r="H234" i="6"/>
  <c r="G234" i="6"/>
  <c r="F234" i="6"/>
  <c r="E234" i="6"/>
  <c r="C234" i="6"/>
  <c r="I233" i="6"/>
  <c r="H233" i="6"/>
  <c r="G233" i="6"/>
  <c r="F233" i="6"/>
  <c r="E233" i="6"/>
  <c r="D233" i="6"/>
  <c r="C233" i="6"/>
  <c r="G232" i="6"/>
  <c r="G239" i="6" s="1"/>
  <c r="G24" i="6" s="1"/>
  <c r="F232" i="6"/>
  <c r="F239" i="6" s="1"/>
  <c r="C232" i="6"/>
  <c r="C239" i="6" s="1"/>
  <c r="C24" i="6" s="1"/>
  <c r="G226" i="6"/>
  <c r="F226" i="6"/>
  <c r="E226" i="6"/>
  <c r="D226" i="6"/>
  <c r="I224" i="6"/>
  <c r="H224" i="6"/>
  <c r="G224" i="6"/>
  <c r="F224" i="6"/>
  <c r="E224" i="6"/>
  <c r="E229" i="6" s="1"/>
  <c r="D224" i="6"/>
  <c r="D229" i="6" s="1"/>
  <c r="C224" i="6"/>
  <c r="G223" i="6"/>
  <c r="F223" i="6"/>
  <c r="R222" i="6"/>
  <c r="Q222" i="6"/>
  <c r="P222" i="6"/>
  <c r="O222" i="6"/>
  <c r="N222" i="6"/>
  <c r="M222" i="6"/>
  <c r="L222" i="6"/>
  <c r="K222" i="6"/>
  <c r="J222" i="6"/>
  <c r="I222" i="6"/>
  <c r="H222" i="6"/>
  <c r="G222" i="6"/>
  <c r="G229" i="6" s="1"/>
  <c r="F222" i="6"/>
  <c r="E222" i="6"/>
  <c r="D222" i="6"/>
  <c r="C222" i="6"/>
  <c r="I211" i="6"/>
  <c r="R210" i="6"/>
  <c r="Q210" i="6"/>
  <c r="P210" i="6"/>
  <c r="O210" i="6"/>
  <c r="N210" i="6"/>
  <c r="M210" i="6"/>
  <c r="L210" i="6"/>
  <c r="K210" i="6"/>
  <c r="J210" i="6"/>
  <c r="I210" i="6"/>
  <c r="H210" i="6"/>
  <c r="G210" i="6"/>
  <c r="F210" i="6"/>
  <c r="F211" i="6" s="1"/>
  <c r="F43" i="6" s="1"/>
  <c r="E210" i="6"/>
  <c r="D210" i="6"/>
  <c r="C210" i="6"/>
  <c r="J209" i="6"/>
  <c r="I209" i="6"/>
  <c r="H209" i="6"/>
  <c r="H211" i="6" s="1"/>
  <c r="G209" i="6"/>
  <c r="G211" i="6" s="1"/>
  <c r="G43" i="6" s="1"/>
  <c r="F209" i="6"/>
  <c r="E209" i="6"/>
  <c r="D209" i="6"/>
  <c r="D211" i="6" s="1"/>
  <c r="C209" i="6"/>
  <c r="C211" i="6" s="1"/>
  <c r="C43" i="6" s="1"/>
  <c r="N206" i="6"/>
  <c r="K206" i="6"/>
  <c r="J206" i="6"/>
  <c r="F206" i="6"/>
  <c r="F213" i="6" s="1"/>
  <c r="E206" i="6"/>
  <c r="R205" i="6"/>
  <c r="Q205" i="6"/>
  <c r="P205" i="6"/>
  <c r="O205" i="6"/>
  <c r="N205" i="6"/>
  <c r="M205" i="6"/>
  <c r="L205" i="6"/>
  <c r="K205" i="6"/>
  <c r="J205" i="6"/>
  <c r="I205" i="6"/>
  <c r="H205" i="6"/>
  <c r="G205" i="6"/>
  <c r="F205" i="6"/>
  <c r="E205" i="6"/>
  <c r="D205" i="6"/>
  <c r="C205" i="6"/>
  <c r="R204" i="6"/>
  <c r="R206" i="6" s="1"/>
  <c r="Q204" i="6"/>
  <c r="Q206" i="6" s="1"/>
  <c r="P204" i="6"/>
  <c r="P206" i="6" s="1"/>
  <c r="O204" i="6"/>
  <c r="O206" i="6" s="1"/>
  <c r="N204" i="6"/>
  <c r="M204" i="6"/>
  <c r="M206" i="6" s="1"/>
  <c r="L204" i="6"/>
  <c r="L206" i="6" s="1"/>
  <c r="K204" i="6"/>
  <c r="J204" i="6"/>
  <c r="I204" i="6"/>
  <c r="I206" i="6" s="1"/>
  <c r="I213" i="6" s="1"/>
  <c r="H204" i="6"/>
  <c r="H206" i="6" s="1"/>
  <c r="G204" i="6"/>
  <c r="G206" i="6" s="1"/>
  <c r="G35" i="6" s="1"/>
  <c r="F204" i="6"/>
  <c r="E204" i="6"/>
  <c r="D204" i="6"/>
  <c r="D206" i="6" s="1"/>
  <c r="C204" i="6"/>
  <c r="C206" i="6" s="1"/>
  <c r="F199" i="6"/>
  <c r="F215" i="6" s="1"/>
  <c r="L196" i="6"/>
  <c r="J196" i="6"/>
  <c r="I196" i="6"/>
  <c r="H196" i="6"/>
  <c r="G196" i="6"/>
  <c r="F196" i="6"/>
  <c r="F197" i="6" s="1"/>
  <c r="D196" i="6"/>
  <c r="C196" i="6"/>
  <c r="C197" i="6" s="1"/>
  <c r="C23" i="6" s="1"/>
  <c r="G195" i="6"/>
  <c r="F195" i="6"/>
  <c r="C195" i="6"/>
  <c r="G192" i="6"/>
  <c r="H191" i="6"/>
  <c r="G191" i="6"/>
  <c r="F191" i="6"/>
  <c r="E191" i="6"/>
  <c r="E192" i="6" s="1"/>
  <c r="D191" i="6"/>
  <c r="C191" i="6"/>
  <c r="I190" i="6"/>
  <c r="H190" i="6"/>
  <c r="H192" i="6" s="1"/>
  <c r="G190" i="6"/>
  <c r="F190" i="6"/>
  <c r="F192" i="6" s="1"/>
  <c r="E190" i="6"/>
  <c r="D190" i="6"/>
  <c r="D192" i="6" s="1"/>
  <c r="D199" i="6" s="1"/>
  <c r="C190" i="6"/>
  <c r="C192" i="6" s="1"/>
  <c r="C181" i="6"/>
  <c r="O179" i="6"/>
  <c r="O181" i="6" s="1"/>
  <c r="N179" i="6"/>
  <c r="N42" i="6" s="1"/>
  <c r="G179" i="6"/>
  <c r="C179" i="6"/>
  <c r="R178" i="6"/>
  <c r="Q178" i="6"/>
  <c r="P178" i="6"/>
  <c r="O178" i="6"/>
  <c r="N178" i="6"/>
  <c r="M178" i="6"/>
  <c r="L178" i="6"/>
  <c r="K178" i="6"/>
  <c r="J178" i="6"/>
  <c r="I178" i="6"/>
  <c r="H178" i="6"/>
  <c r="G178" i="6"/>
  <c r="F178" i="6"/>
  <c r="E178" i="6"/>
  <c r="D178" i="6"/>
  <c r="R177" i="6"/>
  <c r="Q177" i="6"/>
  <c r="P177" i="6"/>
  <c r="O177" i="6"/>
  <c r="N177" i="6"/>
  <c r="M177" i="6"/>
  <c r="M179" i="6" s="1"/>
  <c r="L177" i="6"/>
  <c r="K177" i="6"/>
  <c r="J177" i="6"/>
  <c r="I177" i="6"/>
  <c r="I179" i="6" s="1"/>
  <c r="H177" i="6"/>
  <c r="G177" i="6"/>
  <c r="F177" i="6"/>
  <c r="E177" i="6"/>
  <c r="E179" i="6" s="1"/>
  <c r="E42" i="6" s="1"/>
  <c r="D177" i="6"/>
  <c r="C177" i="6"/>
  <c r="D176" i="6"/>
  <c r="R175" i="6"/>
  <c r="R179" i="6" s="1"/>
  <c r="R42" i="6" s="1"/>
  <c r="Q175" i="6"/>
  <c r="Q179" i="6" s="1"/>
  <c r="Q42" i="6" s="1"/>
  <c r="P175" i="6"/>
  <c r="P179" i="6" s="1"/>
  <c r="O175" i="6"/>
  <c r="N175" i="6"/>
  <c r="M175" i="6"/>
  <c r="L175" i="6"/>
  <c r="L179" i="6" s="1"/>
  <c r="K175" i="6"/>
  <c r="K179" i="6" s="1"/>
  <c r="J175" i="6"/>
  <c r="J179" i="6" s="1"/>
  <c r="J42" i="6" s="1"/>
  <c r="I175" i="6"/>
  <c r="H175" i="6"/>
  <c r="H179" i="6" s="1"/>
  <c r="G175" i="6"/>
  <c r="F175" i="6"/>
  <c r="F179" i="6" s="1"/>
  <c r="E175" i="6"/>
  <c r="D175" i="6"/>
  <c r="D179" i="6" s="1"/>
  <c r="N172" i="6"/>
  <c r="H172" i="6"/>
  <c r="R171" i="6"/>
  <c r="R172" i="6" s="1"/>
  <c r="Q171" i="6"/>
  <c r="P171" i="6"/>
  <c r="O171" i="6"/>
  <c r="N171" i="6"/>
  <c r="M171" i="6"/>
  <c r="L171" i="6"/>
  <c r="K171" i="6"/>
  <c r="J171" i="6"/>
  <c r="J172" i="6" s="1"/>
  <c r="J181" i="6" s="1"/>
  <c r="I171" i="6"/>
  <c r="H171" i="6"/>
  <c r="G171" i="6"/>
  <c r="F171" i="6"/>
  <c r="F172" i="6" s="1"/>
  <c r="E171" i="6"/>
  <c r="D171" i="6"/>
  <c r="R170" i="6"/>
  <c r="Q170" i="6"/>
  <c r="Q172" i="6" s="1"/>
  <c r="Q181" i="6" s="1"/>
  <c r="P170" i="6"/>
  <c r="P172" i="6" s="1"/>
  <c r="O170" i="6"/>
  <c r="O172" i="6" s="1"/>
  <c r="N170" i="6"/>
  <c r="M170" i="6"/>
  <c r="M172" i="6" s="1"/>
  <c r="M181" i="6" s="1"/>
  <c r="L170" i="6"/>
  <c r="L172" i="6" s="1"/>
  <c r="K170" i="6"/>
  <c r="K172" i="6" s="1"/>
  <c r="K181" i="6" s="1"/>
  <c r="J170" i="6"/>
  <c r="I170" i="6"/>
  <c r="I172" i="6" s="1"/>
  <c r="I181" i="6" s="1"/>
  <c r="H170" i="6"/>
  <c r="G170" i="6"/>
  <c r="G172" i="6" s="1"/>
  <c r="F170" i="6"/>
  <c r="E170" i="6"/>
  <c r="D170" i="6"/>
  <c r="D172" i="6" s="1"/>
  <c r="C170" i="6"/>
  <c r="C172" i="6" s="1"/>
  <c r="I160" i="6"/>
  <c r="H160" i="6"/>
  <c r="G160" i="6"/>
  <c r="F160" i="6"/>
  <c r="E160" i="6"/>
  <c r="D160" i="6"/>
  <c r="C160" i="6"/>
  <c r="J159" i="6"/>
  <c r="H159" i="6"/>
  <c r="G159" i="6"/>
  <c r="F159" i="6"/>
  <c r="C159" i="6"/>
  <c r="G158" i="6"/>
  <c r="E158" i="6"/>
  <c r="D158" i="6"/>
  <c r="C158" i="6"/>
  <c r="H157" i="6"/>
  <c r="E157" i="6"/>
  <c r="D157" i="6"/>
  <c r="C157" i="6"/>
  <c r="H154" i="6"/>
  <c r="C154" i="6"/>
  <c r="I153" i="6"/>
  <c r="H153" i="6"/>
  <c r="G153" i="6"/>
  <c r="F153" i="6"/>
  <c r="E153" i="6"/>
  <c r="D153" i="6"/>
  <c r="C153" i="6"/>
  <c r="R152" i="6"/>
  <c r="Q152" i="6"/>
  <c r="P152" i="6"/>
  <c r="O152" i="6"/>
  <c r="N152" i="6"/>
  <c r="M152" i="6"/>
  <c r="L152" i="6"/>
  <c r="K152" i="6"/>
  <c r="J152" i="6"/>
  <c r="I152" i="6"/>
  <c r="H152" i="6"/>
  <c r="G152" i="6"/>
  <c r="F152" i="6"/>
  <c r="E152" i="6"/>
  <c r="D152" i="6"/>
  <c r="C152" i="6"/>
  <c r="H151" i="6"/>
  <c r="G151" i="6"/>
  <c r="D151" i="6"/>
  <c r="C151" i="6"/>
  <c r="G150" i="6"/>
  <c r="D150" i="6"/>
  <c r="D154" i="6" s="1"/>
  <c r="G138" i="6"/>
  <c r="G41" i="6" s="1"/>
  <c r="R136" i="6"/>
  <c r="Q136" i="6"/>
  <c r="P136" i="6"/>
  <c r="O136" i="6"/>
  <c r="N136" i="6"/>
  <c r="M136" i="6"/>
  <c r="L136" i="6"/>
  <c r="K136" i="6"/>
  <c r="J136" i="6"/>
  <c r="I136" i="6"/>
  <c r="H136" i="6"/>
  <c r="G136" i="6"/>
  <c r="F136" i="6"/>
  <c r="E136" i="6"/>
  <c r="D136" i="6"/>
  <c r="C136" i="6"/>
  <c r="I135" i="6"/>
  <c r="G135" i="6"/>
  <c r="F135" i="6"/>
  <c r="E135" i="6"/>
  <c r="C135" i="6"/>
  <c r="R133" i="6"/>
  <c r="Q133" i="6"/>
  <c r="O133" i="6"/>
  <c r="N133" i="6"/>
  <c r="M133" i="6"/>
  <c r="K133" i="6"/>
  <c r="J133" i="6"/>
  <c r="I133" i="6"/>
  <c r="I138" i="6" s="1"/>
  <c r="I41" i="6" s="1"/>
  <c r="I45" i="6" s="1"/>
  <c r="G133" i="6"/>
  <c r="F133" i="6"/>
  <c r="E133" i="6"/>
  <c r="C133" i="6"/>
  <c r="Q132" i="6"/>
  <c r="P132" i="6"/>
  <c r="O132" i="6"/>
  <c r="N132" i="6"/>
  <c r="M132" i="6"/>
  <c r="L132" i="6"/>
  <c r="K132" i="6"/>
  <c r="J132" i="6"/>
  <c r="I132" i="6"/>
  <c r="H132" i="6"/>
  <c r="G132" i="6"/>
  <c r="F132" i="6"/>
  <c r="Q131" i="6"/>
  <c r="P131" i="6"/>
  <c r="O131" i="6"/>
  <c r="M131" i="6"/>
  <c r="L131" i="6"/>
  <c r="K131" i="6"/>
  <c r="I131" i="6"/>
  <c r="H131" i="6"/>
  <c r="G131" i="6"/>
  <c r="E131" i="6"/>
  <c r="D131" i="6"/>
  <c r="C131" i="6"/>
  <c r="P127" i="6"/>
  <c r="R125" i="6"/>
  <c r="Q125" i="6"/>
  <c r="P125" i="6"/>
  <c r="O125" i="6"/>
  <c r="N125" i="6"/>
  <c r="M125" i="6"/>
  <c r="L125" i="6"/>
  <c r="K125" i="6"/>
  <c r="J125" i="6"/>
  <c r="I125" i="6"/>
  <c r="H125" i="6"/>
  <c r="G125" i="6"/>
  <c r="F125" i="6"/>
  <c r="E125" i="6"/>
  <c r="D125" i="6"/>
  <c r="C125" i="6"/>
  <c r="R124" i="6"/>
  <c r="Q124" i="6"/>
  <c r="P124" i="6"/>
  <c r="O124" i="6"/>
  <c r="N124" i="6"/>
  <c r="M124" i="6"/>
  <c r="L124" i="6"/>
  <c r="K124" i="6"/>
  <c r="J124" i="6"/>
  <c r="I124" i="6"/>
  <c r="H124" i="6"/>
  <c r="G124" i="6"/>
  <c r="F124" i="6"/>
  <c r="E124" i="6"/>
  <c r="D124" i="6"/>
  <c r="C124" i="6"/>
  <c r="P122" i="6"/>
  <c r="O122" i="6"/>
  <c r="N122" i="6"/>
  <c r="M122" i="6"/>
  <c r="L122" i="6"/>
  <c r="K122" i="6"/>
  <c r="J122" i="6"/>
  <c r="I122" i="6"/>
  <c r="I127" i="6" s="1"/>
  <c r="H122" i="6"/>
  <c r="G122" i="6"/>
  <c r="F122" i="6"/>
  <c r="C122" i="6"/>
  <c r="P121" i="6"/>
  <c r="O121" i="6"/>
  <c r="O127" i="6" s="1"/>
  <c r="N121" i="6"/>
  <c r="M121" i="6"/>
  <c r="L121" i="6"/>
  <c r="L127" i="6" s="1"/>
  <c r="L33" i="6" s="1"/>
  <c r="K121" i="6"/>
  <c r="K127" i="6" s="1"/>
  <c r="J121" i="6"/>
  <c r="I121" i="6"/>
  <c r="H121" i="6"/>
  <c r="G121" i="6"/>
  <c r="G127" i="6" s="1"/>
  <c r="F121" i="6"/>
  <c r="C121" i="6"/>
  <c r="Q120" i="6"/>
  <c r="P120" i="6"/>
  <c r="O120" i="6"/>
  <c r="N120" i="6"/>
  <c r="N127" i="6" s="1"/>
  <c r="M120" i="6"/>
  <c r="L120" i="6"/>
  <c r="K120" i="6"/>
  <c r="J120" i="6"/>
  <c r="J127" i="6" s="1"/>
  <c r="I120" i="6"/>
  <c r="H120" i="6"/>
  <c r="G120" i="6"/>
  <c r="F120" i="6"/>
  <c r="F127" i="6" s="1"/>
  <c r="F140" i="6" s="1"/>
  <c r="E120" i="6"/>
  <c r="D120" i="6"/>
  <c r="C120" i="6"/>
  <c r="I111" i="6"/>
  <c r="H111" i="6"/>
  <c r="G111" i="6"/>
  <c r="F111" i="6"/>
  <c r="C111" i="6"/>
  <c r="H110" i="6"/>
  <c r="G110" i="6"/>
  <c r="E110" i="6"/>
  <c r="D110" i="6"/>
  <c r="C110" i="6"/>
  <c r="I109" i="6"/>
  <c r="H109" i="6"/>
  <c r="G109" i="6"/>
  <c r="E109" i="6"/>
  <c r="D109" i="6"/>
  <c r="I108" i="6"/>
  <c r="H108" i="6"/>
  <c r="E108" i="6"/>
  <c r="D108" i="6"/>
  <c r="C108" i="6"/>
  <c r="H107" i="6"/>
  <c r="G107" i="6"/>
  <c r="F107" i="6"/>
  <c r="E107" i="6"/>
  <c r="D107" i="6"/>
  <c r="C107" i="6"/>
  <c r="J106" i="6"/>
  <c r="I106" i="6"/>
  <c r="H106" i="6"/>
  <c r="G106" i="6"/>
  <c r="F106" i="6"/>
  <c r="E106" i="6"/>
  <c r="D106" i="6"/>
  <c r="C106" i="6"/>
  <c r="H105" i="6"/>
  <c r="G105" i="6"/>
  <c r="E105" i="6"/>
  <c r="D105" i="6"/>
  <c r="C105" i="6"/>
  <c r="H104" i="6"/>
  <c r="H112" i="6" s="1"/>
  <c r="H21" i="6" s="1"/>
  <c r="G104" i="6"/>
  <c r="D104" i="6"/>
  <c r="C104" i="6"/>
  <c r="I100" i="6"/>
  <c r="H100" i="6"/>
  <c r="G100" i="6"/>
  <c r="F100" i="6"/>
  <c r="E100" i="6"/>
  <c r="D100" i="6"/>
  <c r="C100" i="6"/>
  <c r="I99" i="6"/>
  <c r="H99" i="6"/>
  <c r="G99" i="6"/>
  <c r="F99" i="6"/>
  <c r="E99" i="6"/>
  <c r="D99" i="6"/>
  <c r="C99" i="6"/>
  <c r="I98" i="6"/>
  <c r="H98" i="6"/>
  <c r="G98" i="6"/>
  <c r="F98" i="6"/>
  <c r="E98" i="6"/>
  <c r="D98" i="6"/>
  <c r="C98" i="6"/>
  <c r="I97" i="6"/>
  <c r="H97" i="6"/>
  <c r="G97" i="6"/>
  <c r="E97" i="6"/>
  <c r="D97" i="6"/>
  <c r="C97" i="6"/>
  <c r="H96" i="6"/>
  <c r="G96" i="6"/>
  <c r="E96" i="6"/>
  <c r="D96" i="6"/>
  <c r="C96" i="6"/>
  <c r="L95" i="6"/>
  <c r="K95" i="6"/>
  <c r="J95" i="6"/>
  <c r="I95" i="6"/>
  <c r="H95" i="6"/>
  <c r="G95" i="6"/>
  <c r="F95" i="6"/>
  <c r="E95" i="6"/>
  <c r="D95" i="6"/>
  <c r="C95" i="6"/>
  <c r="G94" i="6"/>
  <c r="F94" i="6"/>
  <c r="E94" i="6"/>
  <c r="C94" i="6"/>
  <c r="H93" i="6"/>
  <c r="G93" i="6"/>
  <c r="E93" i="6"/>
  <c r="E101" i="6" s="1"/>
  <c r="D93" i="6"/>
  <c r="R81" i="6"/>
  <c r="Q81" i="6"/>
  <c r="P81" i="6"/>
  <c r="O81" i="6"/>
  <c r="N81" i="6"/>
  <c r="M81" i="6"/>
  <c r="L81" i="6"/>
  <c r="K81" i="6"/>
  <c r="J81" i="6"/>
  <c r="I81" i="6"/>
  <c r="H81" i="6"/>
  <c r="G81" i="6"/>
  <c r="F81" i="6"/>
  <c r="E81" i="6"/>
  <c r="D81" i="6"/>
  <c r="C81" i="6"/>
  <c r="P75" i="6"/>
  <c r="P32" i="6" s="1"/>
  <c r="O75" i="6"/>
  <c r="O83" i="6" s="1"/>
  <c r="L75" i="6"/>
  <c r="L83" i="6" s="1"/>
  <c r="K75" i="6"/>
  <c r="K32" i="6" s="1"/>
  <c r="G75" i="6"/>
  <c r="G32" i="6" s="1"/>
  <c r="R74" i="6"/>
  <c r="R75" i="6" s="1"/>
  <c r="R83" i="6" s="1"/>
  <c r="Q74" i="6"/>
  <c r="Q75" i="6" s="1"/>
  <c r="Q83" i="6" s="1"/>
  <c r="P74" i="6"/>
  <c r="O74" i="6"/>
  <c r="N74" i="6"/>
  <c r="N75" i="6" s="1"/>
  <c r="N83" i="6" s="1"/>
  <c r="M74" i="6"/>
  <c r="M75" i="6" s="1"/>
  <c r="M83" i="6" s="1"/>
  <c r="L74" i="6"/>
  <c r="K74" i="6"/>
  <c r="J74" i="6"/>
  <c r="J75" i="6" s="1"/>
  <c r="J83" i="6" s="1"/>
  <c r="I74" i="6"/>
  <c r="I75" i="6" s="1"/>
  <c r="I83" i="6" s="1"/>
  <c r="H74" i="6"/>
  <c r="H75" i="6" s="1"/>
  <c r="G74" i="6"/>
  <c r="F74" i="6"/>
  <c r="F75" i="6" s="1"/>
  <c r="F83" i="6" s="1"/>
  <c r="E74" i="6"/>
  <c r="E75" i="6" s="1"/>
  <c r="D74" i="6"/>
  <c r="D75" i="6" s="1"/>
  <c r="C74" i="6"/>
  <c r="C75" i="6" s="1"/>
  <c r="I64" i="6"/>
  <c r="H64" i="6"/>
  <c r="G64" i="6"/>
  <c r="G65" i="6" s="1"/>
  <c r="G20" i="6" s="1"/>
  <c r="F64" i="6"/>
  <c r="E64" i="6"/>
  <c r="D64" i="6"/>
  <c r="C64" i="6"/>
  <c r="I63" i="6"/>
  <c r="H63" i="6"/>
  <c r="G63" i="6"/>
  <c r="D63" i="6"/>
  <c r="C63" i="6"/>
  <c r="H62" i="6"/>
  <c r="H65" i="6" s="1"/>
  <c r="H20" i="6" s="1"/>
  <c r="G62" i="6"/>
  <c r="F62" i="6"/>
  <c r="D62" i="6"/>
  <c r="D65" i="6" s="1"/>
  <c r="D20" i="6" s="1"/>
  <c r="C62" i="6"/>
  <c r="C65" i="6" s="1"/>
  <c r="C20" i="6" s="1"/>
  <c r="J58" i="6"/>
  <c r="I58" i="6"/>
  <c r="F58" i="6"/>
  <c r="E58" i="6"/>
  <c r="K57" i="6"/>
  <c r="J57" i="6"/>
  <c r="I57" i="6"/>
  <c r="H57" i="6"/>
  <c r="G57" i="6"/>
  <c r="F57" i="6"/>
  <c r="E57" i="6"/>
  <c r="D57" i="6"/>
  <c r="C57" i="6"/>
  <c r="H56" i="6"/>
  <c r="H59" i="6" s="1"/>
  <c r="G56" i="6"/>
  <c r="F56" i="6"/>
  <c r="F59" i="6" s="1"/>
  <c r="F12" i="6" s="1"/>
  <c r="I44" i="6"/>
  <c r="F44" i="6"/>
  <c r="D44" i="6"/>
  <c r="I43" i="6"/>
  <c r="H43" i="6"/>
  <c r="D43" i="6"/>
  <c r="P42" i="6"/>
  <c r="M42" i="6"/>
  <c r="L42" i="6"/>
  <c r="K42" i="6"/>
  <c r="I42" i="6"/>
  <c r="H42" i="6"/>
  <c r="F42" i="6"/>
  <c r="D42" i="6"/>
  <c r="C42" i="6"/>
  <c r="F41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C40" i="6"/>
  <c r="Q36" i="6"/>
  <c r="M36" i="6"/>
  <c r="I36" i="6"/>
  <c r="H36" i="6"/>
  <c r="R35" i="6"/>
  <c r="Q35" i="6"/>
  <c r="N35" i="6"/>
  <c r="M35" i="6"/>
  <c r="J35" i="6"/>
  <c r="I35" i="6"/>
  <c r="F35" i="6"/>
  <c r="E35" i="6"/>
  <c r="O34" i="6"/>
  <c r="K34" i="6"/>
  <c r="J34" i="6"/>
  <c r="I34" i="6"/>
  <c r="G34" i="6"/>
  <c r="C34" i="6"/>
  <c r="N33" i="6"/>
  <c r="J33" i="6"/>
  <c r="F33" i="6"/>
  <c r="R32" i="6"/>
  <c r="Q32" i="6"/>
  <c r="N32" i="6"/>
  <c r="L32" i="6"/>
  <c r="J32" i="6"/>
  <c r="J37" i="6" s="1"/>
  <c r="F32" i="6"/>
  <c r="F24" i="6"/>
  <c r="F23" i="6"/>
  <c r="D23" i="6"/>
  <c r="D16" i="6"/>
  <c r="H15" i="6"/>
  <c r="F15" i="6"/>
  <c r="E15" i="6"/>
  <c r="D15" i="6"/>
  <c r="H14" i="6"/>
  <c r="E83" i="6" l="1"/>
  <c r="E32" i="6"/>
  <c r="I140" i="6"/>
  <c r="I33" i="6"/>
  <c r="E12" i="6"/>
  <c r="C13" i="6"/>
  <c r="Q34" i="6"/>
  <c r="G59" i="6"/>
  <c r="D14" i="6"/>
  <c r="G15" i="6"/>
  <c r="L559" i="6"/>
  <c r="K566" i="6"/>
  <c r="K630" i="6"/>
  <c r="L612" i="6"/>
  <c r="G1155" i="6"/>
  <c r="G157" i="6"/>
  <c r="G161" i="6" s="1"/>
  <c r="G22" i="6" s="1"/>
  <c r="R1274" i="6"/>
  <c r="E36" i="6"/>
  <c r="F45" i="6"/>
  <c r="I32" i="6"/>
  <c r="M34" i="6"/>
  <c r="G45" i="6"/>
  <c r="C83" i="6"/>
  <c r="C32" i="6"/>
  <c r="P83" i="6"/>
  <c r="E127" i="6"/>
  <c r="M127" i="6"/>
  <c r="P33" i="6"/>
  <c r="D181" i="6"/>
  <c r="D34" i="6"/>
  <c r="L181" i="6"/>
  <c r="L34" i="6"/>
  <c r="L37" i="6" s="1"/>
  <c r="P181" i="6"/>
  <c r="P34" i="6"/>
  <c r="G42" i="6"/>
  <c r="G181" i="6"/>
  <c r="C213" i="6"/>
  <c r="C35" i="6"/>
  <c r="O35" i="6"/>
  <c r="G265" i="6"/>
  <c r="G267" i="6" s="1"/>
  <c r="G36" i="6"/>
  <c r="K36" i="6"/>
  <c r="C59" i="6"/>
  <c r="C109" i="6"/>
  <c r="C112" i="6" s="1"/>
  <c r="C962" i="6"/>
  <c r="D83" i="6"/>
  <c r="D85" i="6" s="1"/>
  <c r="D32" i="6"/>
  <c r="H32" i="6"/>
  <c r="H83" i="6"/>
  <c r="H85" i="6" s="1"/>
  <c r="G37" i="6"/>
  <c r="G47" i="6" s="1"/>
  <c r="C14" i="6"/>
  <c r="F181" i="6"/>
  <c r="F34" i="6"/>
  <c r="F37" i="6" s="1"/>
  <c r="F47" i="6" s="1"/>
  <c r="R181" i="6"/>
  <c r="R34" i="6"/>
  <c r="C199" i="6"/>
  <c r="C215" i="6" s="1"/>
  <c r="C15" i="6"/>
  <c r="D213" i="6"/>
  <c r="D35" i="6"/>
  <c r="H213" i="6"/>
  <c r="H35" i="6"/>
  <c r="L35" i="6"/>
  <c r="P35" i="6"/>
  <c r="G213" i="6"/>
  <c r="G241" i="6"/>
  <c r="G16" i="6"/>
  <c r="E314" i="6"/>
  <c r="E375" i="6" s="1"/>
  <c r="J432" i="6"/>
  <c r="K403" i="6"/>
  <c r="D33" i="6"/>
  <c r="D578" i="6"/>
  <c r="E576" i="6"/>
  <c r="E578" i="6" s="1"/>
  <c r="K690" i="6"/>
  <c r="K108" i="6"/>
  <c r="E13" i="6"/>
  <c r="E16" i="6"/>
  <c r="E62" i="6"/>
  <c r="G101" i="6"/>
  <c r="H181" i="6"/>
  <c r="H34" i="6"/>
  <c r="N1081" i="6"/>
  <c r="M1086" i="6"/>
  <c r="L1144" i="6"/>
  <c r="K1151" i="6"/>
  <c r="L1286" i="6"/>
  <c r="K1312" i="6"/>
  <c r="K159" i="6" s="1"/>
  <c r="M32" i="6"/>
  <c r="H12" i="6"/>
  <c r="H67" i="6"/>
  <c r="E63" i="6"/>
  <c r="K83" i="6"/>
  <c r="G33" i="6"/>
  <c r="G140" i="6"/>
  <c r="K33" i="6"/>
  <c r="K37" i="6" s="1"/>
  <c r="O33" i="6"/>
  <c r="E161" i="6"/>
  <c r="E22" i="6" s="1"/>
  <c r="N34" i="6"/>
  <c r="N181" i="6"/>
  <c r="K35" i="6"/>
  <c r="F265" i="6"/>
  <c r="F36" i="6"/>
  <c r="L36" i="6"/>
  <c r="K277" i="6"/>
  <c r="J292" i="6"/>
  <c r="J56" i="6" s="1"/>
  <c r="J59" i="6" s="1"/>
  <c r="D67" i="6"/>
  <c r="D12" i="6"/>
  <c r="F334" i="6"/>
  <c r="F375" i="6" s="1"/>
  <c r="F63" i="6"/>
  <c r="F65" i="6" s="1"/>
  <c r="D542" i="6"/>
  <c r="D94" i="6"/>
  <c r="D101" i="6" s="1"/>
  <c r="H542" i="6"/>
  <c r="H1090" i="6" s="1"/>
  <c r="H94" i="6"/>
  <c r="H101" i="6" s="1"/>
  <c r="D133" i="6"/>
  <c r="D669" i="6"/>
  <c r="H669" i="6"/>
  <c r="H133" i="6"/>
  <c r="H138" i="6" s="1"/>
  <c r="H41" i="6" s="1"/>
  <c r="H45" i="6" s="1"/>
  <c r="L133" i="6"/>
  <c r="P133" i="6"/>
  <c r="M772" i="6"/>
  <c r="M109" i="6" s="1"/>
  <c r="N723" i="6"/>
  <c r="O723" i="6" s="1"/>
  <c r="P723" i="6" s="1"/>
  <c r="Q723" i="6" s="1"/>
  <c r="R723" i="6" s="1"/>
  <c r="J1107" i="6"/>
  <c r="J1118" i="6" s="1"/>
  <c r="J150" i="6" s="1"/>
  <c r="K1100" i="6"/>
  <c r="G83" i="6"/>
  <c r="C161" i="6"/>
  <c r="C22" i="6" s="1"/>
  <c r="E172" i="6"/>
  <c r="J296" i="6"/>
  <c r="I312" i="6"/>
  <c r="I399" i="6"/>
  <c r="I93" i="6" s="1"/>
  <c r="I454" i="6"/>
  <c r="E1155" i="6"/>
  <c r="C1155" i="6"/>
  <c r="O32" i="6"/>
  <c r="C36" i="6"/>
  <c r="O42" i="6"/>
  <c r="C58" i="6"/>
  <c r="G58" i="6"/>
  <c r="G108" i="6"/>
  <c r="G112" i="6" s="1"/>
  <c r="G21" i="6" s="1"/>
  <c r="G25" i="6" s="1"/>
  <c r="C127" i="6"/>
  <c r="D215" i="6"/>
  <c r="H199" i="6"/>
  <c r="G197" i="6"/>
  <c r="G23" i="6" s="1"/>
  <c r="E211" i="6"/>
  <c r="E43" i="6" s="1"/>
  <c r="H265" i="6"/>
  <c r="C314" i="6"/>
  <c r="C375" i="6" s="1"/>
  <c r="M321" i="6"/>
  <c r="L323" i="6"/>
  <c r="L57" i="6" s="1"/>
  <c r="M327" i="6"/>
  <c r="J330" i="6"/>
  <c r="L341" i="6"/>
  <c r="D373" i="6"/>
  <c r="M441" i="6"/>
  <c r="L454" i="6"/>
  <c r="J618" i="6"/>
  <c r="K618" i="6" s="1"/>
  <c r="L618" i="6" s="1"/>
  <c r="M618" i="6" s="1"/>
  <c r="N618" i="6" s="1"/>
  <c r="O618" i="6" s="1"/>
  <c r="P618" i="6" s="1"/>
  <c r="Q618" i="6" s="1"/>
  <c r="R618" i="6" s="1"/>
  <c r="I630" i="6"/>
  <c r="I107" i="6" s="1"/>
  <c r="L684" i="6"/>
  <c r="J108" i="6"/>
  <c r="J690" i="6"/>
  <c r="K697" i="6"/>
  <c r="J717" i="6"/>
  <c r="J98" i="6" s="1"/>
  <c r="O722" i="6"/>
  <c r="N772" i="6"/>
  <c r="N109" i="6" s="1"/>
  <c r="D962" i="6"/>
  <c r="J1076" i="6"/>
  <c r="J100" i="6" s="1"/>
  <c r="K1072" i="6"/>
  <c r="K1141" i="6"/>
  <c r="K1153" i="6" s="1"/>
  <c r="L1123" i="6"/>
  <c r="J1133" i="6"/>
  <c r="K1133" i="6" s="1"/>
  <c r="L1133" i="6" s="1"/>
  <c r="M1133" i="6" s="1"/>
  <c r="N1133" i="6" s="1"/>
  <c r="O1133" i="6" s="1"/>
  <c r="P1133" i="6" s="1"/>
  <c r="Q1133" i="6" s="1"/>
  <c r="R1133" i="6" s="1"/>
  <c r="I1141" i="6"/>
  <c r="H127" i="6"/>
  <c r="G154" i="6"/>
  <c r="J211" i="6"/>
  <c r="J43" i="6" s="1"/>
  <c r="F229" i="6"/>
  <c r="I292" i="6"/>
  <c r="I56" i="6" s="1"/>
  <c r="I59" i="6" s="1"/>
  <c r="L384" i="6"/>
  <c r="F101" i="6"/>
  <c r="F104" i="6"/>
  <c r="F112" i="6" s="1"/>
  <c r="F21" i="6" s="1"/>
  <c r="F434" i="6"/>
  <c r="N549" i="6"/>
  <c r="M555" i="6"/>
  <c r="M95" i="6" s="1"/>
  <c r="C580" i="6"/>
  <c r="C132" i="6"/>
  <c r="C138" i="6" s="1"/>
  <c r="C41" i="6" s="1"/>
  <c r="C45" i="6" s="1"/>
  <c r="J630" i="6"/>
  <c r="J772" i="6"/>
  <c r="J109" i="6" s="1"/>
  <c r="H962" i="6"/>
  <c r="H135" i="6"/>
  <c r="L1086" i="6"/>
  <c r="L1084" i="6"/>
  <c r="M1084" i="6" s="1"/>
  <c r="N1084" i="6" s="1"/>
  <c r="O1084" i="6" s="1"/>
  <c r="P1084" i="6" s="1"/>
  <c r="Q1084" i="6" s="1"/>
  <c r="R1084" i="6" s="1"/>
  <c r="K1086" i="6"/>
  <c r="I1118" i="6"/>
  <c r="I150" i="6" s="1"/>
  <c r="I154" i="6" s="1"/>
  <c r="K1110" i="6"/>
  <c r="J1116" i="6"/>
  <c r="F157" i="6"/>
  <c r="F161" i="6" s="1"/>
  <c r="F22" i="6" s="1"/>
  <c r="F1155" i="6"/>
  <c r="D334" i="6"/>
  <c r="H334" i="6"/>
  <c r="H375" i="6" s="1"/>
  <c r="K349" i="6"/>
  <c r="J364" i="6"/>
  <c r="J386" i="6"/>
  <c r="I432" i="6"/>
  <c r="D434" i="6"/>
  <c r="E634" i="6"/>
  <c r="E636" i="6" s="1"/>
  <c r="E122" i="6" s="1"/>
  <c r="K679" i="6"/>
  <c r="K97" i="6" s="1"/>
  <c r="L676" i="6"/>
  <c r="L706" i="6"/>
  <c r="L772" i="6"/>
  <c r="L109" i="6" s="1"/>
  <c r="I962" i="6"/>
  <c r="J958" i="6"/>
  <c r="J960" i="6" s="1"/>
  <c r="G962" i="6"/>
  <c r="G1090" i="6" s="1"/>
  <c r="J970" i="6"/>
  <c r="I1003" i="6"/>
  <c r="J981" i="6"/>
  <c r="H1066" i="6"/>
  <c r="D1086" i="6"/>
  <c r="E1082" i="6"/>
  <c r="E1086" i="6" s="1"/>
  <c r="D1155" i="6"/>
  <c r="F1231" i="6"/>
  <c r="F1399" i="6" s="1"/>
  <c r="F158" i="6"/>
  <c r="H1396" i="6"/>
  <c r="D314" i="6"/>
  <c r="D375" i="6" s="1"/>
  <c r="E432" i="6"/>
  <c r="K454" i="6"/>
  <c r="Q572" i="6"/>
  <c r="Q121" i="6" s="1"/>
  <c r="Q127" i="6" s="1"/>
  <c r="R570" i="6"/>
  <c r="R572" i="6" s="1"/>
  <c r="J588" i="6"/>
  <c r="I599" i="6"/>
  <c r="I96" i="6" s="1"/>
  <c r="E669" i="6"/>
  <c r="K960" i="6"/>
  <c r="K772" i="6"/>
  <c r="K109" i="6" s="1"/>
  <c r="F962" i="6"/>
  <c r="C1066" i="6"/>
  <c r="G1066" i="6"/>
  <c r="F154" i="6"/>
  <c r="H1155" i="6"/>
  <c r="I1177" i="6"/>
  <c r="I151" i="6" s="1"/>
  <c r="J1162" i="6"/>
  <c r="C434" i="6"/>
  <c r="I481" i="6"/>
  <c r="I105" i="6" s="1"/>
  <c r="J473" i="6"/>
  <c r="H580" i="6"/>
  <c r="Q636" i="6"/>
  <c r="Q122" i="6" s="1"/>
  <c r="R634" i="6"/>
  <c r="R636" i="6" s="1"/>
  <c r="R122" i="6" s="1"/>
  <c r="J1086" i="6"/>
  <c r="I1151" i="6"/>
  <c r="K1351" i="6"/>
  <c r="J1353" i="6"/>
  <c r="J153" i="6" s="1"/>
  <c r="F1542" i="6"/>
  <c r="J454" i="6"/>
  <c r="E690" i="6"/>
  <c r="I690" i="6"/>
  <c r="J1151" i="6"/>
  <c r="E1177" i="6"/>
  <c r="I1221" i="6"/>
  <c r="J1182" i="6"/>
  <c r="C1231" i="6"/>
  <c r="H1221" i="6"/>
  <c r="C1344" i="6"/>
  <c r="C1399" i="6" s="1"/>
  <c r="G1344" i="6"/>
  <c r="G1399" i="6" s="1"/>
  <c r="K1359" i="6"/>
  <c r="J1381" i="6"/>
  <c r="H1484" i="6"/>
  <c r="H195" i="6" s="1"/>
  <c r="H197" i="6" s="1"/>
  <c r="H23" i="6" s="1"/>
  <c r="I1451" i="6"/>
  <c r="J1451" i="6" s="1"/>
  <c r="K1451" i="6" s="1"/>
  <c r="L1451" i="6" s="1"/>
  <c r="M1451" i="6" s="1"/>
  <c r="N1451" i="6" s="1"/>
  <c r="O1451" i="6" s="1"/>
  <c r="P1451" i="6" s="1"/>
  <c r="Q1451" i="6" s="1"/>
  <c r="R1451" i="6" s="1"/>
  <c r="C1615" i="6"/>
  <c r="C1617" i="6" s="1"/>
  <c r="D1312" i="6"/>
  <c r="D159" i="6" s="1"/>
  <c r="D161" i="6" s="1"/>
  <c r="D22" i="6" s="1"/>
  <c r="E1274" i="6"/>
  <c r="E1312" i="6" s="1"/>
  <c r="E159" i="6" s="1"/>
  <c r="C2195" i="6"/>
  <c r="J1645" i="6"/>
  <c r="K1645" i="6" s="1"/>
  <c r="L1645" i="6" s="1"/>
  <c r="M1645" i="6" s="1"/>
  <c r="N1645" i="6" s="1"/>
  <c r="O1645" i="6" s="1"/>
  <c r="P1645" i="6" s="1"/>
  <c r="Q1645" i="6" s="1"/>
  <c r="R1645" i="6" s="1"/>
  <c r="L1565" i="6"/>
  <c r="L191" i="6" s="1"/>
  <c r="J1774" i="6"/>
  <c r="K1754" i="6"/>
  <c r="I1312" i="6"/>
  <c r="I159" i="6" s="1"/>
  <c r="E1344" i="6"/>
  <c r="I1344" i="6"/>
  <c r="E1396" i="6"/>
  <c r="J1433" i="6"/>
  <c r="J190" i="6" s="1"/>
  <c r="K1409" i="6"/>
  <c r="I1484" i="6"/>
  <c r="I195" i="6" s="1"/>
  <c r="I197" i="6" s="1"/>
  <c r="I23" i="6" s="1"/>
  <c r="E1484" i="6"/>
  <c r="E195" i="6" s="1"/>
  <c r="E197" i="6" s="1"/>
  <c r="E23" i="6" s="1"/>
  <c r="H1542" i="6"/>
  <c r="H1617" i="6" s="1"/>
  <c r="E1585" i="6"/>
  <c r="E196" i="6" s="1"/>
  <c r="K2115" i="6"/>
  <c r="J2142" i="6"/>
  <c r="J226" i="6" s="1"/>
  <c r="J1438" i="6"/>
  <c r="K1498" i="6"/>
  <c r="D1542" i="6"/>
  <c r="D1617" i="6" s="1"/>
  <c r="M1548" i="6"/>
  <c r="M1572" i="6"/>
  <c r="E1583" i="6"/>
  <c r="K1585" i="6"/>
  <c r="K196" i="6" s="1"/>
  <c r="F1617" i="6"/>
  <c r="K1640" i="6"/>
  <c r="J1750" i="6"/>
  <c r="J224" i="6" s="1"/>
  <c r="J229" i="6" s="1"/>
  <c r="K1747" i="6"/>
  <c r="I2108" i="6"/>
  <c r="I1542" i="6"/>
  <c r="J1565" i="6"/>
  <c r="I1565" i="6"/>
  <c r="I191" i="6" s="1"/>
  <c r="I192" i="6" s="1"/>
  <c r="D1740" i="6"/>
  <c r="H1740" i="6"/>
  <c r="M1783" i="6"/>
  <c r="L1796" i="6"/>
  <c r="L235" i="6" s="1"/>
  <c r="N2028" i="6"/>
  <c r="K1565" i="6"/>
  <c r="K191" i="6" s="1"/>
  <c r="H1685" i="6"/>
  <c r="I1655" i="6"/>
  <c r="J1655" i="6" s="1"/>
  <c r="K1655" i="6" s="1"/>
  <c r="L1655" i="6" s="1"/>
  <c r="M1655" i="6" s="1"/>
  <c r="N1655" i="6" s="1"/>
  <c r="O1655" i="6" s="1"/>
  <c r="P1655" i="6" s="1"/>
  <c r="Q1655" i="6" s="1"/>
  <c r="R1655" i="6" s="1"/>
  <c r="L1707" i="6"/>
  <c r="K1717" i="6"/>
  <c r="N2023" i="6"/>
  <c r="N249" i="6" s="1"/>
  <c r="N253" i="6" s="1"/>
  <c r="R2023" i="6"/>
  <c r="R249" i="6" s="1"/>
  <c r="R253" i="6" s="1"/>
  <c r="I1615" i="6"/>
  <c r="D1685" i="6"/>
  <c r="E1661" i="6"/>
  <c r="E1685" i="6" s="1"/>
  <c r="G1695" i="6"/>
  <c r="G2195" i="6" s="1"/>
  <c r="I1740" i="6"/>
  <c r="C1776" i="6"/>
  <c r="J1796" i="6"/>
  <c r="J235" i="6" s="1"/>
  <c r="E2108" i="6"/>
  <c r="I2135" i="6"/>
  <c r="J2135" i="6" s="1"/>
  <c r="K2135" i="6" s="1"/>
  <c r="L2135" i="6" s="1"/>
  <c r="M2135" i="6" s="1"/>
  <c r="N2135" i="6" s="1"/>
  <c r="O2135" i="6" s="1"/>
  <c r="P2135" i="6" s="1"/>
  <c r="Q2135" i="6" s="1"/>
  <c r="R2135" i="6" s="1"/>
  <c r="H2142" i="6"/>
  <c r="H226" i="6" s="1"/>
  <c r="H229" i="6" s="1"/>
  <c r="J1717" i="6"/>
  <c r="J233" i="6" s="1"/>
  <c r="K1796" i="6"/>
  <c r="K235" i="6" s="1"/>
  <c r="D2023" i="6"/>
  <c r="D249" i="6" s="1"/>
  <c r="D253" i="6" s="1"/>
  <c r="P2023" i="6"/>
  <c r="P249" i="6" s="1"/>
  <c r="P253" i="6" s="1"/>
  <c r="F2108" i="6"/>
  <c r="D2162" i="6"/>
  <c r="F2162" i="6"/>
  <c r="F1740" i="6"/>
  <c r="F2195" i="6" s="1"/>
  <c r="D1774" i="6"/>
  <c r="O2023" i="6"/>
  <c r="O249" i="6" s="1"/>
  <c r="O253" i="6" s="1"/>
  <c r="J2188" i="6"/>
  <c r="K2181" i="6"/>
  <c r="J2034" i="6"/>
  <c r="C2142" i="6"/>
  <c r="C226" i="6" s="1"/>
  <c r="C229" i="6" s="1"/>
  <c r="C2162" i="6"/>
  <c r="H2162" i="6"/>
  <c r="W2127" i="6"/>
  <c r="Y2127" i="6" s="1"/>
  <c r="Y2129" i="6" s="1"/>
  <c r="Y2125" i="6"/>
  <c r="J2160" i="6"/>
  <c r="K2146" i="6"/>
  <c r="J2168" i="6"/>
  <c r="E1695" i="6" l="1"/>
  <c r="E2195" i="6" s="1"/>
  <c r="E232" i="6"/>
  <c r="E239" i="6" s="1"/>
  <c r="J16" i="6"/>
  <c r="H16" i="6"/>
  <c r="Q33" i="6"/>
  <c r="Q37" i="6" s="1"/>
  <c r="C16" i="6"/>
  <c r="C241" i="6"/>
  <c r="C267" i="6" s="1"/>
  <c r="F20" i="6"/>
  <c r="F25" i="6" s="1"/>
  <c r="F67" i="6"/>
  <c r="F85" i="6" s="1"/>
  <c r="C21" i="6"/>
  <c r="C25" i="6" s="1"/>
  <c r="C114" i="6"/>
  <c r="C142" i="6" s="1"/>
  <c r="D1776" i="6"/>
  <c r="D234" i="6"/>
  <c r="K1740" i="6"/>
  <c r="K233" i="6"/>
  <c r="J1615" i="6"/>
  <c r="J191" i="6"/>
  <c r="K1685" i="6"/>
  <c r="L1640" i="6"/>
  <c r="J1484" i="6"/>
  <c r="K1438" i="6"/>
  <c r="K1615" i="6"/>
  <c r="J1396" i="6"/>
  <c r="J160" i="6"/>
  <c r="H1231" i="6"/>
  <c r="H1399" i="6" s="1"/>
  <c r="H158" i="6"/>
  <c r="H161" i="6" s="1"/>
  <c r="K135" i="6"/>
  <c r="K138" i="6" s="1"/>
  <c r="K970" i="6"/>
  <c r="J977" i="6"/>
  <c r="J99" i="6" s="1"/>
  <c r="J373" i="6"/>
  <c r="J64" i="6"/>
  <c r="K1116" i="6"/>
  <c r="L1110" i="6"/>
  <c r="L111" i="6"/>
  <c r="I67" i="6"/>
  <c r="I85" i="6" s="1"/>
  <c r="I12" i="6"/>
  <c r="M1123" i="6"/>
  <c r="L1141" i="6"/>
  <c r="L1153" i="6" s="1"/>
  <c r="L688" i="6"/>
  <c r="M684" i="6"/>
  <c r="I314" i="6"/>
  <c r="I375" i="6" s="1"/>
  <c r="I62" i="6"/>
  <c r="I65" i="6" s="1"/>
  <c r="I20" i="6" s="1"/>
  <c r="L1100" i="6"/>
  <c r="K1107" i="6"/>
  <c r="H13" i="6"/>
  <c r="H17" i="6" s="1"/>
  <c r="H114" i="6"/>
  <c r="H142" i="6" s="1"/>
  <c r="M111" i="6"/>
  <c r="E33" i="6"/>
  <c r="G12" i="6"/>
  <c r="G67" i="6"/>
  <c r="K2160" i="6"/>
  <c r="L2146" i="6"/>
  <c r="N36" i="6"/>
  <c r="N37" i="6" s="1"/>
  <c r="C67" i="6"/>
  <c r="C85" i="6" s="1"/>
  <c r="C12" i="6"/>
  <c r="C17" i="6" s="1"/>
  <c r="C27" i="6" s="1"/>
  <c r="K107" i="6"/>
  <c r="J2162" i="6"/>
  <c r="J236" i="6"/>
  <c r="J2191" i="6"/>
  <c r="J238" i="6"/>
  <c r="I1617" i="6"/>
  <c r="O2028" i="6"/>
  <c r="J1221" i="6"/>
  <c r="K1182" i="6"/>
  <c r="K1162" i="6"/>
  <c r="J1177" i="6"/>
  <c r="J151" i="6" s="1"/>
  <c r="J154" i="6" s="1"/>
  <c r="K588" i="6"/>
  <c r="J599" i="6"/>
  <c r="J96" i="6" s="1"/>
  <c r="J135" i="6"/>
  <c r="J138" i="6" s="1"/>
  <c r="J962" i="6"/>
  <c r="I434" i="6"/>
  <c r="I1090" i="6" s="1"/>
  <c r="I104" i="6"/>
  <c r="I1153" i="6"/>
  <c r="H215" i="6"/>
  <c r="D114" i="6"/>
  <c r="D13" i="6"/>
  <c r="O36" i="6"/>
  <c r="O37" i="6" s="1"/>
  <c r="J1740" i="6"/>
  <c r="I2142" i="6"/>
  <c r="D1695" i="6"/>
  <c r="D232" i="6"/>
  <c r="D239" i="6" s="1"/>
  <c r="E1615" i="6"/>
  <c r="E1617" i="6" s="1"/>
  <c r="H1695" i="6"/>
  <c r="H2195" i="6" s="1"/>
  <c r="H232" i="6"/>
  <c r="H239" i="6" s="1"/>
  <c r="H24" i="6" s="1"/>
  <c r="I199" i="6"/>
  <c r="I215" i="6" s="1"/>
  <c r="I15" i="6"/>
  <c r="L1747" i="6"/>
  <c r="K1750" i="6"/>
  <c r="K224" i="6" s="1"/>
  <c r="J1685" i="6"/>
  <c r="K1540" i="6"/>
  <c r="L1498" i="6"/>
  <c r="E1542" i="6"/>
  <c r="J192" i="6"/>
  <c r="K1774" i="6"/>
  <c r="L1754" i="6"/>
  <c r="K1344" i="6"/>
  <c r="D1344" i="6"/>
  <c r="D1399" i="6" s="1"/>
  <c r="I1231" i="6"/>
  <c r="I158" i="6"/>
  <c r="K1353" i="6"/>
  <c r="K153" i="6" s="1"/>
  <c r="L1351" i="6"/>
  <c r="C1090" i="6"/>
  <c r="I669" i="6"/>
  <c r="R121" i="6"/>
  <c r="R127" i="6" s="1"/>
  <c r="D1088" i="6"/>
  <c r="D1090" i="6" s="1"/>
  <c r="D111" i="6"/>
  <c r="D112" i="6" s="1"/>
  <c r="D21" i="6" s="1"/>
  <c r="I1066" i="6"/>
  <c r="I110" i="6"/>
  <c r="K386" i="6"/>
  <c r="J399" i="6"/>
  <c r="J93" i="6" s="1"/>
  <c r="F1090" i="6"/>
  <c r="F241" i="6"/>
  <c r="F267" i="6" s="1"/>
  <c r="F16" i="6"/>
  <c r="P722" i="6"/>
  <c r="O772" i="6"/>
  <c r="O109" i="6" s="1"/>
  <c r="L94" i="6"/>
  <c r="M341" i="6"/>
  <c r="L345" i="6"/>
  <c r="L58" i="6" s="1"/>
  <c r="N321" i="6"/>
  <c r="M323" i="6"/>
  <c r="M57" i="6" s="1"/>
  <c r="C140" i="6"/>
  <c r="C33" i="6"/>
  <c r="J1141" i="6"/>
  <c r="J1153" i="6" s="1"/>
  <c r="M37" i="6"/>
  <c r="M1144" i="6"/>
  <c r="L1151" i="6"/>
  <c r="G114" i="6"/>
  <c r="G142" i="6" s="1"/>
  <c r="G13" i="6"/>
  <c r="D580" i="6"/>
  <c r="D132" i="6"/>
  <c r="D138" i="6" s="1"/>
  <c r="K432" i="6"/>
  <c r="L403" i="6"/>
  <c r="E213" i="6"/>
  <c r="M33" i="6"/>
  <c r="L566" i="6"/>
  <c r="M559" i="6"/>
  <c r="J2173" i="6"/>
  <c r="K2168" i="6"/>
  <c r="J2106" i="6"/>
  <c r="K2034" i="6"/>
  <c r="R36" i="6"/>
  <c r="N1572" i="6"/>
  <c r="M1585" i="6"/>
  <c r="J1776" i="6"/>
  <c r="J234" i="6"/>
  <c r="E1231" i="6"/>
  <c r="E1399" i="6" s="1"/>
  <c r="E151" i="6"/>
  <c r="E154" i="6" s="1"/>
  <c r="J94" i="6"/>
  <c r="G14" i="6"/>
  <c r="G163" i="6"/>
  <c r="G183" i="6" s="1"/>
  <c r="N441" i="6"/>
  <c r="M454" i="6"/>
  <c r="K330" i="6"/>
  <c r="J332" i="6"/>
  <c r="I542" i="6"/>
  <c r="I94" i="6"/>
  <c r="E181" i="6"/>
  <c r="E34" i="6"/>
  <c r="E37" i="6" s="1"/>
  <c r="E47" i="6" s="1"/>
  <c r="J12" i="6"/>
  <c r="J434" i="6"/>
  <c r="J104" i="6"/>
  <c r="E199" i="6"/>
  <c r="C37" i="6"/>
  <c r="C47" i="6" s="1"/>
  <c r="C49" i="6" s="1"/>
  <c r="M612" i="6"/>
  <c r="L630" i="6"/>
  <c r="D163" i="6"/>
  <c r="D183" i="6" s="1"/>
  <c r="L2181" i="6"/>
  <c r="K2188" i="6"/>
  <c r="P36" i="6"/>
  <c r="P37" i="6" s="1"/>
  <c r="L1717" i="6"/>
  <c r="M1707" i="6"/>
  <c r="N1783" i="6"/>
  <c r="M1796" i="6"/>
  <c r="M235" i="6" s="1"/>
  <c r="M1565" i="6"/>
  <c r="M191" i="6" s="1"/>
  <c r="N1548" i="6"/>
  <c r="L1615" i="6"/>
  <c r="K1381" i="6"/>
  <c r="L1359" i="6"/>
  <c r="J1088" i="6"/>
  <c r="J111" i="6"/>
  <c r="J481" i="6"/>
  <c r="J105" i="6" s="1"/>
  <c r="K473" i="6"/>
  <c r="F163" i="6"/>
  <c r="F14" i="6"/>
  <c r="K94" i="6"/>
  <c r="L958" i="6"/>
  <c r="L957" i="6"/>
  <c r="L960" i="6" s="1"/>
  <c r="M706" i="6"/>
  <c r="K364" i="6"/>
  <c r="L349" i="6"/>
  <c r="I14" i="6"/>
  <c r="J107" i="6"/>
  <c r="J669" i="6"/>
  <c r="N555" i="6"/>
  <c r="N95" i="6" s="1"/>
  <c r="O549" i="6"/>
  <c r="F114" i="6"/>
  <c r="F142" i="6" s="1"/>
  <c r="F13" i="6"/>
  <c r="J213" i="6"/>
  <c r="H140" i="6"/>
  <c r="H33" i="6"/>
  <c r="K157" i="6"/>
  <c r="L697" i="6"/>
  <c r="K717" i="6"/>
  <c r="K98" i="6" s="1"/>
  <c r="N327" i="6"/>
  <c r="I101" i="6"/>
  <c r="K296" i="6"/>
  <c r="J312" i="6"/>
  <c r="G85" i="6"/>
  <c r="K292" i="6"/>
  <c r="K56" i="6" s="1"/>
  <c r="K59" i="6" s="1"/>
  <c r="L277" i="6"/>
  <c r="L1312" i="6"/>
  <c r="M1286" i="6"/>
  <c r="N1086" i="6"/>
  <c r="O1081" i="6"/>
  <c r="F183" i="6"/>
  <c r="C163" i="6"/>
  <c r="C183" i="6" s="1"/>
  <c r="I37" i="6"/>
  <c r="I47" i="6" s="1"/>
  <c r="D36" i="6"/>
  <c r="D37" i="6" s="1"/>
  <c r="D265" i="6"/>
  <c r="D2108" i="6"/>
  <c r="K2142" i="6"/>
  <c r="K226" i="6" s="1"/>
  <c r="L2115" i="6"/>
  <c r="L1409" i="6"/>
  <c r="K1433" i="6"/>
  <c r="K190" i="6" s="1"/>
  <c r="K192" i="6" s="1"/>
  <c r="I1685" i="6"/>
  <c r="E434" i="6"/>
  <c r="E1090" i="6" s="1"/>
  <c r="E104" i="6"/>
  <c r="E1088" i="6"/>
  <c r="E111" i="6"/>
  <c r="K981" i="6"/>
  <c r="J1003" i="6"/>
  <c r="L679" i="6"/>
  <c r="L97" i="6" s="1"/>
  <c r="M676" i="6"/>
  <c r="K111" i="6"/>
  <c r="M384" i="6"/>
  <c r="K1076" i="6"/>
  <c r="K100" i="6" s="1"/>
  <c r="L1072" i="6"/>
  <c r="D17" i="6"/>
  <c r="E65" i="6"/>
  <c r="E580" i="6"/>
  <c r="E132" i="6"/>
  <c r="E138" i="6" s="1"/>
  <c r="E41" i="6" s="1"/>
  <c r="E45" i="6" s="1"/>
  <c r="H37" i="6"/>
  <c r="H47" i="6" s="1"/>
  <c r="K580" i="6"/>
  <c r="K106" i="6"/>
  <c r="G199" i="6"/>
  <c r="G215" i="6" s="1"/>
  <c r="I1399" i="6" l="1"/>
  <c r="J14" i="6"/>
  <c r="K1695" i="6"/>
  <c r="K232" i="6"/>
  <c r="E20" i="6"/>
  <c r="E67" i="6"/>
  <c r="E85" i="6" s="1"/>
  <c r="K1088" i="6"/>
  <c r="L981" i="6"/>
  <c r="K1003" i="6"/>
  <c r="L2142" i="6"/>
  <c r="L226" i="6" s="1"/>
  <c r="M2115" i="6"/>
  <c r="N111" i="6"/>
  <c r="L292" i="6"/>
  <c r="L56" i="6" s="1"/>
  <c r="L59" i="6" s="1"/>
  <c r="M277" i="6"/>
  <c r="J62" i="6"/>
  <c r="J65" i="6" s="1"/>
  <c r="J314" i="6"/>
  <c r="M958" i="6"/>
  <c r="M957" i="6"/>
  <c r="M960" i="6" s="1"/>
  <c r="N706" i="6"/>
  <c r="L473" i="6"/>
  <c r="K481" i="6"/>
  <c r="M1359" i="6"/>
  <c r="L1381" i="6"/>
  <c r="L233" i="6"/>
  <c r="L1740" i="6"/>
  <c r="M2181" i="6"/>
  <c r="L2188" i="6"/>
  <c r="J63" i="6"/>
  <c r="J334" i="6"/>
  <c r="E163" i="6"/>
  <c r="E14" i="6"/>
  <c r="E17" i="6" s="1"/>
  <c r="M196" i="6"/>
  <c r="M1615" i="6"/>
  <c r="L2034" i="6"/>
  <c r="K2106" i="6"/>
  <c r="L432" i="6"/>
  <c r="M403" i="6"/>
  <c r="L386" i="6"/>
  <c r="K399" i="6"/>
  <c r="K93" i="6" s="1"/>
  <c r="K1776" i="6"/>
  <c r="K234" i="6"/>
  <c r="K209" i="6"/>
  <c r="K211" i="6" s="1"/>
  <c r="D142" i="6"/>
  <c r="K599" i="6"/>
  <c r="L588" i="6"/>
  <c r="J1231" i="6"/>
  <c r="J1399" i="6" s="1"/>
  <c r="J158" i="6"/>
  <c r="G17" i="6"/>
  <c r="G27" i="6" s="1"/>
  <c r="G49" i="6" s="1"/>
  <c r="M1100" i="6"/>
  <c r="L1107" i="6"/>
  <c r="L690" i="6"/>
  <c r="L108" i="6"/>
  <c r="K977" i="6"/>
  <c r="K99" i="6" s="1"/>
  <c r="L970" i="6"/>
  <c r="N384" i="6"/>
  <c r="M679" i="6"/>
  <c r="M97" i="6" s="1"/>
  <c r="N676" i="6"/>
  <c r="I1695" i="6"/>
  <c r="I232" i="6"/>
  <c r="I239" i="6" s="1"/>
  <c r="I24" i="6" s="1"/>
  <c r="N1286" i="6"/>
  <c r="M1312" i="6"/>
  <c r="K12" i="6"/>
  <c r="K312" i="6"/>
  <c r="L296" i="6"/>
  <c r="O327" i="6"/>
  <c r="F17" i="6"/>
  <c r="F27" i="6" s="1"/>
  <c r="F49" i="6" s="1"/>
  <c r="M349" i="6"/>
  <c r="L364" i="6"/>
  <c r="L962" i="6"/>
  <c r="L135" i="6"/>
  <c r="L138" i="6" s="1"/>
  <c r="K1396" i="6"/>
  <c r="K160" i="6"/>
  <c r="E183" i="6"/>
  <c r="L330" i="6"/>
  <c r="K332" i="6"/>
  <c r="N1585" i="6"/>
  <c r="O1572" i="6"/>
  <c r="J2108" i="6"/>
  <c r="J259" i="6"/>
  <c r="J263" i="6" s="1"/>
  <c r="M566" i="6"/>
  <c r="N559" i="6"/>
  <c r="K104" i="6"/>
  <c r="J1155" i="6"/>
  <c r="J157" i="6"/>
  <c r="J161" i="6" s="1"/>
  <c r="J22" i="6" s="1"/>
  <c r="N323" i="6"/>
  <c r="N57" i="6" s="1"/>
  <c r="O321" i="6"/>
  <c r="M1351" i="6"/>
  <c r="L1353" i="6"/>
  <c r="L153" i="6" s="1"/>
  <c r="J15" i="6"/>
  <c r="J1695" i="6"/>
  <c r="J2195" i="6" s="1"/>
  <c r="J232" i="6"/>
  <c r="J239" i="6" s="1"/>
  <c r="D24" i="6"/>
  <c r="D241" i="6"/>
  <c r="P2028" i="6"/>
  <c r="M2146" i="6"/>
  <c r="L2160" i="6"/>
  <c r="L157" i="6"/>
  <c r="K41" i="6"/>
  <c r="K140" i="6"/>
  <c r="K1484" i="6"/>
  <c r="K195" i="6" s="1"/>
  <c r="K197" i="6" s="1"/>
  <c r="K23" i="6" s="1"/>
  <c r="L1438" i="6"/>
  <c r="K15" i="6"/>
  <c r="L159" i="6"/>
  <c r="L1344" i="6"/>
  <c r="I13" i="6"/>
  <c r="K373" i="6"/>
  <c r="K64" i="6"/>
  <c r="N1796" i="6"/>
  <c r="N235" i="6" s="1"/>
  <c r="O1783" i="6"/>
  <c r="L107" i="6"/>
  <c r="E215" i="6"/>
  <c r="M94" i="6"/>
  <c r="L2168" i="6"/>
  <c r="K2173" i="6"/>
  <c r="L580" i="6"/>
  <c r="L106" i="6"/>
  <c r="D41" i="6"/>
  <c r="D45" i="6" s="1"/>
  <c r="D47" i="6" s="1"/>
  <c r="D140" i="6"/>
  <c r="R33" i="6"/>
  <c r="R37" i="6" s="1"/>
  <c r="K229" i="6"/>
  <c r="D2195" i="6"/>
  <c r="I1155" i="6"/>
  <c r="I157" i="6"/>
  <c r="I161" i="6" s="1"/>
  <c r="J41" i="6"/>
  <c r="J140" i="6"/>
  <c r="K1177" i="6"/>
  <c r="K151" i="6" s="1"/>
  <c r="L1162" i="6"/>
  <c r="K2162" i="6"/>
  <c r="K236" i="6"/>
  <c r="E140" i="6"/>
  <c r="M1141" i="6"/>
  <c r="N1123" i="6"/>
  <c r="K962" i="6"/>
  <c r="J195" i="6"/>
  <c r="J197" i="6" s="1"/>
  <c r="J23" i="6" s="1"/>
  <c r="J1542" i="6"/>
  <c r="J1617" i="6" s="1"/>
  <c r="E24" i="6"/>
  <c r="E241" i="6"/>
  <c r="E267" i="6" s="1"/>
  <c r="M1072" i="6"/>
  <c r="L1076" i="6"/>
  <c r="J110" i="6"/>
  <c r="J1066" i="6"/>
  <c r="E112" i="6"/>
  <c r="M1409" i="6"/>
  <c r="L1433" i="6"/>
  <c r="L190" i="6" s="1"/>
  <c r="L192" i="6" s="1"/>
  <c r="D267" i="6"/>
  <c r="P1081" i="6"/>
  <c r="O1086" i="6"/>
  <c r="L717" i="6"/>
  <c r="L98" i="6" s="1"/>
  <c r="M697" i="6"/>
  <c r="O555" i="6"/>
  <c r="O95" i="6" s="1"/>
  <c r="P549" i="6"/>
  <c r="N1565" i="6"/>
  <c r="N191" i="6" s="1"/>
  <c r="O1548" i="6"/>
  <c r="N1707" i="6"/>
  <c r="M1717" i="6"/>
  <c r="K2191" i="6"/>
  <c r="K238" i="6"/>
  <c r="N612" i="6"/>
  <c r="M630" i="6"/>
  <c r="J112" i="6"/>
  <c r="J21" i="6" s="1"/>
  <c r="N454" i="6"/>
  <c r="O441" i="6"/>
  <c r="J542" i="6"/>
  <c r="J1090" i="6" s="1"/>
  <c r="J2175" i="6"/>
  <c r="J237" i="6"/>
  <c r="M1151" i="6"/>
  <c r="N1144" i="6"/>
  <c r="N341" i="6"/>
  <c r="M345" i="6"/>
  <c r="M58" i="6" s="1"/>
  <c r="P772" i="6"/>
  <c r="P109" i="6" s="1"/>
  <c r="Q722" i="6"/>
  <c r="J101" i="6"/>
  <c r="D25" i="6"/>
  <c r="D27" i="6" s="1"/>
  <c r="L1774" i="6"/>
  <c r="M1754" i="6"/>
  <c r="M1498" i="6"/>
  <c r="L1540" i="6"/>
  <c r="L1750" i="6"/>
  <c r="L224" i="6" s="1"/>
  <c r="L229" i="6" s="1"/>
  <c r="M1747" i="6"/>
  <c r="I226" i="6"/>
  <c r="I229" i="6" s="1"/>
  <c r="I2162" i="6"/>
  <c r="I112" i="6"/>
  <c r="I21" i="6" s="1"/>
  <c r="K1221" i="6"/>
  <c r="L1182" i="6"/>
  <c r="K1118" i="6"/>
  <c r="M688" i="6"/>
  <c r="N684" i="6"/>
  <c r="L1116" i="6"/>
  <c r="M1110" i="6"/>
  <c r="H22" i="6"/>
  <c r="H25" i="6" s="1"/>
  <c r="H27" i="6" s="1"/>
  <c r="H49" i="6" s="1"/>
  <c r="H163" i="6"/>
  <c r="H183" i="6" s="1"/>
  <c r="L1685" i="6"/>
  <c r="M1640" i="6"/>
  <c r="H241" i="6"/>
  <c r="H267" i="6" s="1"/>
  <c r="D49" i="6" l="1"/>
  <c r="I17" i="6"/>
  <c r="N1717" i="6"/>
  <c r="O1707" i="6"/>
  <c r="Q1081" i="6"/>
  <c r="P1086" i="6"/>
  <c r="N1072" i="6"/>
  <c r="M1076" i="6"/>
  <c r="J45" i="6"/>
  <c r="J47" i="6" s="1"/>
  <c r="N566" i="6"/>
  <c r="O559" i="6"/>
  <c r="O384" i="6"/>
  <c r="N403" i="6"/>
  <c r="M432" i="6"/>
  <c r="M2188" i="6"/>
  <c r="N2181" i="6"/>
  <c r="M1381" i="6"/>
  <c r="N1359" i="6"/>
  <c r="J20" i="6"/>
  <c r="J25" i="6" s="1"/>
  <c r="J67" i="6"/>
  <c r="J85" i="6" s="1"/>
  <c r="M981" i="6"/>
  <c r="L1003" i="6"/>
  <c r="N697" i="6"/>
  <c r="M717" i="6"/>
  <c r="M98" i="6" s="1"/>
  <c r="M1153" i="6"/>
  <c r="M580" i="6"/>
  <c r="M106" i="6"/>
  <c r="I2195" i="6"/>
  <c r="L1118" i="6"/>
  <c r="K43" i="6"/>
  <c r="K213" i="6"/>
  <c r="L104" i="6"/>
  <c r="M2142" i="6"/>
  <c r="M226" i="6" s="1"/>
  <c r="N2115" i="6"/>
  <c r="N688" i="6"/>
  <c r="O684" i="6"/>
  <c r="I16" i="6"/>
  <c r="I241" i="6"/>
  <c r="I267" i="6" s="1"/>
  <c r="J114" i="6"/>
  <c r="J142" i="6" s="1"/>
  <c r="J13" i="6"/>
  <c r="J17" i="6" s="1"/>
  <c r="M1685" i="6"/>
  <c r="N1640" i="6"/>
  <c r="M1116" i="6"/>
  <c r="N1110" i="6"/>
  <c r="M690" i="6"/>
  <c r="M108" i="6"/>
  <c r="K1231" i="6"/>
  <c r="K158" i="6"/>
  <c r="K161" i="6" s="1"/>
  <c r="K22" i="6" s="1"/>
  <c r="N1747" i="6"/>
  <c r="M1750" i="6"/>
  <c r="M224" i="6" s="1"/>
  <c r="M229" i="6" s="1"/>
  <c r="N1754" i="6"/>
  <c r="M1774" i="6"/>
  <c r="R722" i="6"/>
  <c r="R772" i="6" s="1"/>
  <c r="Q772" i="6"/>
  <c r="Q109" i="6" s="1"/>
  <c r="O1144" i="6"/>
  <c r="N1151" i="6"/>
  <c r="M107" i="6"/>
  <c r="M1740" i="6"/>
  <c r="M233" i="6"/>
  <c r="Q549" i="6"/>
  <c r="P555" i="6"/>
  <c r="P95" i="6" s="1"/>
  <c r="O111" i="6"/>
  <c r="M1433" i="6"/>
  <c r="M190" i="6" s="1"/>
  <c r="M192" i="6" s="1"/>
  <c r="N1409" i="6"/>
  <c r="L100" i="6"/>
  <c r="L1088" i="6"/>
  <c r="K2175" i="6"/>
  <c r="K237" i="6"/>
  <c r="K239" i="6" s="1"/>
  <c r="O1796" i="6"/>
  <c r="O235" i="6" s="1"/>
  <c r="P1783" i="6"/>
  <c r="L1484" i="6"/>
  <c r="L195" i="6" s="1"/>
  <c r="L197" i="6" s="1"/>
  <c r="L23" i="6" s="1"/>
  <c r="M1438" i="6"/>
  <c r="M2160" i="6"/>
  <c r="N2146" i="6"/>
  <c r="J199" i="6"/>
  <c r="J215" i="6" s="1"/>
  <c r="K434" i="6"/>
  <c r="K1090" i="6" s="1"/>
  <c r="M330" i="6"/>
  <c r="L332" i="6"/>
  <c r="L41" i="6"/>
  <c r="L140" i="6"/>
  <c r="K314" i="6"/>
  <c r="K62" i="6"/>
  <c r="N1312" i="6"/>
  <c r="O1286" i="6"/>
  <c r="K96" i="6"/>
  <c r="K669" i="6"/>
  <c r="M2034" i="6"/>
  <c r="L2106" i="6"/>
  <c r="L2191" i="6"/>
  <c r="L238" i="6"/>
  <c r="L1396" i="6"/>
  <c r="L160" i="6"/>
  <c r="O706" i="6"/>
  <c r="N958" i="6"/>
  <c r="N957" i="6"/>
  <c r="N960" i="6" s="1"/>
  <c r="J375" i="6"/>
  <c r="K110" i="6"/>
  <c r="K1066" i="6"/>
  <c r="E25" i="6"/>
  <c r="J163" i="6"/>
  <c r="J183" i="6" s="1"/>
  <c r="L1695" i="6"/>
  <c r="L232" i="6"/>
  <c r="K150" i="6"/>
  <c r="K154" i="6" s="1"/>
  <c r="K1155" i="6"/>
  <c r="K1399" i="6" s="1"/>
  <c r="L16" i="6"/>
  <c r="L1776" i="6"/>
  <c r="L234" i="6"/>
  <c r="O454" i="6"/>
  <c r="P441" i="6"/>
  <c r="N630" i="6"/>
  <c r="O612" i="6"/>
  <c r="E21" i="6"/>
  <c r="E114" i="6"/>
  <c r="E142" i="6" s="1"/>
  <c r="N1141" i="6"/>
  <c r="N1153" i="6" s="1"/>
  <c r="O1123" i="6"/>
  <c r="K16" i="6"/>
  <c r="M2168" i="6"/>
  <c r="L2173" i="6"/>
  <c r="J24" i="6"/>
  <c r="J241" i="6"/>
  <c r="O1585" i="6"/>
  <c r="P1572" i="6"/>
  <c r="M135" i="6"/>
  <c r="M138" i="6" s="1"/>
  <c r="L1542" i="6"/>
  <c r="L1617" i="6" s="1"/>
  <c r="L209" i="6"/>
  <c r="L211" i="6" s="1"/>
  <c r="N94" i="6"/>
  <c r="P1548" i="6"/>
  <c r="O1565" i="6"/>
  <c r="O191" i="6" s="1"/>
  <c r="L1177" i="6"/>
  <c r="L151" i="6" s="1"/>
  <c r="M1162" i="6"/>
  <c r="I22" i="6"/>
  <c r="I25" i="6" s="1"/>
  <c r="I163" i="6"/>
  <c r="I183" i="6" s="1"/>
  <c r="I114" i="6"/>
  <c r="I142" i="6" s="1"/>
  <c r="Q2028" i="6"/>
  <c r="M1353" i="6"/>
  <c r="M153" i="6" s="1"/>
  <c r="N1351" i="6"/>
  <c r="N1615" i="6"/>
  <c r="N196" i="6"/>
  <c r="L373" i="6"/>
  <c r="L64" i="6"/>
  <c r="P327" i="6"/>
  <c r="M970" i="6"/>
  <c r="L977" i="6"/>
  <c r="L99" i="6" s="1"/>
  <c r="K101" i="6"/>
  <c r="K105" i="6"/>
  <c r="K542" i="6"/>
  <c r="M292" i="6"/>
  <c r="M56" i="6" s="1"/>
  <c r="M59" i="6" s="1"/>
  <c r="N277" i="6"/>
  <c r="L1221" i="6"/>
  <c r="M1182" i="6"/>
  <c r="N1498" i="6"/>
  <c r="M1540" i="6"/>
  <c r="N345" i="6"/>
  <c r="N58" i="6" s="1"/>
  <c r="O341" i="6"/>
  <c r="L199" i="6"/>
  <c r="L15" i="6"/>
  <c r="K199" i="6"/>
  <c r="L2162" i="6"/>
  <c r="L236" i="6"/>
  <c r="P321" i="6"/>
  <c r="O323" i="6"/>
  <c r="O57" i="6" s="1"/>
  <c r="K112" i="6"/>
  <c r="K21" i="6" s="1"/>
  <c r="J44" i="6"/>
  <c r="J265" i="6"/>
  <c r="K334" i="6"/>
  <c r="K63" i="6"/>
  <c r="N349" i="6"/>
  <c r="M364" i="6"/>
  <c r="L312" i="6"/>
  <c r="M296" i="6"/>
  <c r="M159" i="6"/>
  <c r="M1344" i="6"/>
  <c r="N679" i="6"/>
  <c r="N97" i="6" s="1"/>
  <c r="O676" i="6"/>
  <c r="N1100" i="6"/>
  <c r="M1107" i="6"/>
  <c r="M1118" i="6" s="1"/>
  <c r="M150" i="6" s="1"/>
  <c r="M588" i="6"/>
  <c r="L599" i="6"/>
  <c r="K1542" i="6"/>
  <c r="K1617" i="6" s="1"/>
  <c r="M386" i="6"/>
  <c r="L399" i="6"/>
  <c r="L93" i="6" s="1"/>
  <c r="K2108" i="6"/>
  <c r="K259" i="6"/>
  <c r="K263" i="6" s="1"/>
  <c r="E27" i="6"/>
  <c r="E49" i="6" s="1"/>
  <c r="M473" i="6"/>
  <c r="L481" i="6"/>
  <c r="L12" i="6"/>
  <c r="K2195" i="6"/>
  <c r="K24" i="6" l="1"/>
  <c r="K241" i="6"/>
  <c r="M481" i="6"/>
  <c r="N473" i="6"/>
  <c r="N588" i="6"/>
  <c r="M599" i="6"/>
  <c r="L314" i="6"/>
  <c r="L375" i="6" s="1"/>
  <c r="L62" i="6"/>
  <c r="K13" i="6"/>
  <c r="K17" i="6" s="1"/>
  <c r="K114" i="6"/>
  <c r="K142" i="6" s="1"/>
  <c r="L2175" i="6"/>
  <c r="L237" i="6"/>
  <c r="O1141" i="6"/>
  <c r="O1153" i="6" s="1"/>
  <c r="P1123" i="6"/>
  <c r="N1433" i="6"/>
  <c r="N190" i="6" s="1"/>
  <c r="N192" i="6" s="1"/>
  <c r="O1409" i="6"/>
  <c r="N106" i="6"/>
  <c r="N580" i="6"/>
  <c r="I27" i="6"/>
  <c r="I49" i="6" s="1"/>
  <c r="N386" i="6"/>
  <c r="M399" i="6"/>
  <c r="M93" i="6" s="1"/>
  <c r="M12" i="6"/>
  <c r="M1177" i="6"/>
  <c r="M151" i="6" s="1"/>
  <c r="M154" i="6" s="1"/>
  <c r="N1162" i="6"/>
  <c r="N157" i="6"/>
  <c r="N135" i="6"/>
  <c r="N138" i="6" s="1"/>
  <c r="N962" i="6"/>
  <c r="N2034" i="6"/>
  <c r="M2106" i="6"/>
  <c r="N159" i="6"/>
  <c r="N1344" i="6"/>
  <c r="R109" i="6"/>
  <c r="T772" i="6"/>
  <c r="M1695" i="6"/>
  <c r="M232" i="6"/>
  <c r="M2191" i="6"/>
  <c r="M238" i="6"/>
  <c r="P384" i="6"/>
  <c r="R1081" i="6"/>
  <c r="R1086" i="6" s="1"/>
  <c r="Q1086" i="6"/>
  <c r="L105" i="6"/>
  <c r="L542" i="6"/>
  <c r="L96" i="6"/>
  <c r="L669" i="6"/>
  <c r="O679" i="6"/>
  <c r="O97" i="6" s="1"/>
  <c r="P676" i="6"/>
  <c r="N296" i="6"/>
  <c r="M312" i="6"/>
  <c r="M209" i="6"/>
  <c r="M211" i="6" s="1"/>
  <c r="L43" i="6"/>
  <c r="L213" i="6"/>
  <c r="L215" i="6" s="1"/>
  <c r="Q1572" i="6"/>
  <c r="P1585" i="6"/>
  <c r="O94" i="6"/>
  <c r="O957" i="6"/>
  <c r="O958" i="6"/>
  <c r="P706" i="6"/>
  <c r="K375" i="6"/>
  <c r="N330" i="6"/>
  <c r="M332" i="6"/>
  <c r="M2162" i="6"/>
  <c r="M236" i="6"/>
  <c r="O1151" i="6"/>
  <c r="P1144" i="6"/>
  <c r="N1774" i="6"/>
  <c r="O1754" i="6"/>
  <c r="N690" i="6"/>
  <c r="N108" i="6"/>
  <c r="L112" i="6"/>
  <c r="L21" i="6" s="1"/>
  <c r="M1155" i="6"/>
  <c r="M157" i="6"/>
  <c r="M1003" i="6"/>
  <c r="N981" i="6"/>
  <c r="M1396" i="6"/>
  <c r="M160" i="6"/>
  <c r="M434" i="6"/>
  <c r="M104" i="6"/>
  <c r="P559" i="6"/>
  <c r="O566" i="6"/>
  <c r="N1076" i="6"/>
  <c r="O1072" i="6"/>
  <c r="N233" i="6"/>
  <c r="N1740" i="6"/>
  <c r="L101" i="6"/>
  <c r="N1540" i="6"/>
  <c r="O1498" i="6"/>
  <c r="O277" i="6"/>
  <c r="N292" i="6"/>
  <c r="N56" i="6" s="1"/>
  <c r="N59" i="6" s="1"/>
  <c r="Q327" i="6"/>
  <c r="P1565" i="6"/>
  <c r="P191" i="6" s="1"/>
  <c r="Q1548" i="6"/>
  <c r="O196" i="6"/>
  <c r="O1615" i="6"/>
  <c r="P612" i="6"/>
  <c r="O630" i="6"/>
  <c r="L2108" i="6"/>
  <c r="L2195" i="6" s="1"/>
  <c r="L259" i="6"/>
  <c r="L263" i="6" s="1"/>
  <c r="P1286" i="6"/>
  <c r="O1312" i="6"/>
  <c r="M1484" i="6"/>
  <c r="M195" i="6" s="1"/>
  <c r="M197" i="6" s="1"/>
  <c r="M23" i="6" s="1"/>
  <c r="N1438" i="6"/>
  <c r="M16" i="6"/>
  <c r="O1640" i="6"/>
  <c r="N1685" i="6"/>
  <c r="N2142" i="6"/>
  <c r="N226" i="6" s="1"/>
  <c r="O2115" i="6"/>
  <c r="N2188" i="6"/>
  <c r="O2181" i="6"/>
  <c r="N432" i="6"/>
  <c r="O403" i="6"/>
  <c r="P111" i="6"/>
  <c r="M373" i="6"/>
  <c r="M64" i="6"/>
  <c r="P341" i="6"/>
  <c r="O345" i="6"/>
  <c r="O58" i="6" s="1"/>
  <c r="N1182" i="6"/>
  <c r="M1221" i="6"/>
  <c r="R2028" i="6"/>
  <c r="M41" i="6"/>
  <c r="M140" i="6"/>
  <c r="M2173" i="6"/>
  <c r="N2168" i="6"/>
  <c r="N107" i="6"/>
  <c r="K163" i="6"/>
  <c r="K183" i="6" s="1"/>
  <c r="K14" i="6"/>
  <c r="M199" i="6"/>
  <c r="M15" i="6"/>
  <c r="R549" i="6"/>
  <c r="R555" i="6" s="1"/>
  <c r="R95" i="6" s="1"/>
  <c r="Q555" i="6"/>
  <c r="Q95" i="6" s="1"/>
  <c r="N1750" i="6"/>
  <c r="N224" i="6" s="1"/>
  <c r="N229" i="6" s="1"/>
  <c r="O1747" i="6"/>
  <c r="O697" i="6"/>
  <c r="N717" i="6"/>
  <c r="N98" i="6" s="1"/>
  <c r="K44" i="6"/>
  <c r="K45" i="6" s="1"/>
  <c r="K47" i="6" s="1"/>
  <c r="K265" i="6"/>
  <c r="N1107" i="6"/>
  <c r="O1100" i="6"/>
  <c r="O349" i="6"/>
  <c r="N364" i="6"/>
  <c r="J267" i="6"/>
  <c r="Q321" i="6"/>
  <c r="P323" i="6"/>
  <c r="P57" i="6" s="1"/>
  <c r="K215" i="6"/>
  <c r="L1231" i="6"/>
  <c r="L1399" i="6" s="1"/>
  <c r="L158" i="6"/>
  <c r="L161" i="6" s="1"/>
  <c r="L22" i="6" s="1"/>
  <c r="M977" i="6"/>
  <c r="M99" i="6" s="1"/>
  <c r="N970" i="6"/>
  <c r="O1351" i="6"/>
  <c r="N1353" i="6"/>
  <c r="N153" i="6" s="1"/>
  <c r="M962" i="6"/>
  <c r="Q441" i="6"/>
  <c r="P454" i="6"/>
  <c r="L239" i="6"/>
  <c r="K65" i="6"/>
  <c r="L334" i="6"/>
  <c r="L63" i="6"/>
  <c r="N2160" i="6"/>
  <c r="O2146" i="6"/>
  <c r="Q1783" i="6"/>
  <c r="P1796" i="6"/>
  <c r="P235" i="6" s="1"/>
  <c r="M1776" i="6"/>
  <c r="M234" i="6"/>
  <c r="O1110" i="6"/>
  <c r="N1116" i="6"/>
  <c r="J27" i="6"/>
  <c r="J49" i="6" s="1"/>
  <c r="O688" i="6"/>
  <c r="P684" i="6"/>
  <c r="L434" i="6"/>
  <c r="L150" i="6"/>
  <c r="L154" i="6" s="1"/>
  <c r="L1155" i="6"/>
  <c r="L110" i="6"/>
  <c r="L1066" i="6"/>
  <c r="O1359" i="6"/>
  <c r="N1381" i="6"/>
  <c r="M100" i="6"/>
  <c r="M1088" i="6"/>
  <c r="P1707" i="6"/>
  <c r="O1717" i="6"/>
  <c r="M14" i="6" l="1"/>
  <c r="L45" i="6"/>
  <c r="L47" i="6" s="1"/>
  <c r="O1381" i="6"/>
  <c r="P1359" i="6"/>
  <c r="N2162" i="6"/>
  <c r="N236" i="6"/>
  <c r="L24" i="6"/>
  <c r="L241" i="6"/>
  <c r="R321" i="6"/>
  <c r="R323" i="6" s="1"/>
  <c r="R57" i="6" s="1"/>
  <c r="Q323" i="6"/>
  <c r="Q57" i="6" s="1"/>
  <c r="N16" i="6"/>
  <c r="N209" i="6"/>
  <c r="N211" i="6" s="1"/>
  <c r="M314" i="6"/>
  <c r="M62" i="6"/>
  <c r="Q111" i="6"/>
  <c r="L1090" i="6"/>
  <c r="P94" i="6"/>
  <c r="N1118" i="6"/>
  <c r="N1221" i="6"/>
  <c r="O1182" i="6"/>
  <c r="O2142" i="6"/>
  <c r="O226" i="6" s="1"/>
  <c r="P2115" i="6"/>
  <c r="O159" i="6"/>
  <c r="O1344" i="6"/>
  <c r="N12" i="6"/>
  <c r="N100" i="6"/>
  <c r="N1088" i="6"/>
  <c r="M334" i="6"/>
  <c r="M63" i="6"/>
  <c r="O296" i="6"/>
  <c r="N312" i="6"/>
  <c r="O157" i="6"/>
  <c r="O233" i="6"/>
  <c r="O1740" i="6"/>
  <c r="N1396" i="6"/>
  <c r="N160" i="6"/>
  <c r="O690" i="6"/>
  <c r="O108" i="6"/>
  <c r="O2160" i="6"/>
  <c r="P2146" i="6"/>
  <c r="K20" i="6"/>
  <c r="K25" i="6" s="1"/>
  <c r="K27" i="6" s="1"/>
  <c r="K49" i="6" s="1"/>
  <c r="K67" i="6"/>
  <c r="K85" i="6" s="1"/>
  <c r="O364" i="6"/>
  <c r="P349" i="6"/>
  <c r="P1747" i="6"/>
  <c r="O1750" i="6"/>
  <c r="O224" i="6" s="1"/>
  <c r="O229" i="6" s="1"/>
  <c r="M2175" i="6"/>
  <c r="M237" i="6"/>
  <c r="M239" i="6" s="1"/>
  <c r="Q341" i="6"/>
  <c r="P345" i="6"/>
  <c r="P58" i="6" s="1"/>
  <c r="P2181" i="6"/>
  <c r="O2188" i="6"/>
  <c r="N1695" i="6"/>
  <c r="N232" i="6"/>
  <c r="N1484" i="6"/>
  <c r="N195" i="6" s="1"/>
  <c r="N197" i="6" s="1"/>
  <c r="N23" i="6" s="1"/>
  <c r="O1438" i="6"/>
  <c r="L44" i="6"/>
  <c r="L265" i="6"/>
  <c r="L267" i="6" s="1"/>
  <c r="R327" i="6"/>
  <c r="O1540" i="6"/>
  <c r="P1498" i="6"/>
  <c r="P566" i="6"/>
  <c r="Q559" i="6"/>
  <c r="O1774" i="6"/>
  <c r="P1754" i="6"/>
  <c r="R1572" i="6"/>
  <c r="R1585" i="6" s="1"/>
  <c r="Q1585" i="6"/>
  <c r="M1542" i="6"/>
  <c r="M1617" i="6" s="1"/>
  <c r="Q384" i="6"/>
  <c r="O2034" i="6"/>
  <c r="N2106" i="6"/>
  <c r="N15" i="6"/>
  <c r="L65" i="6"/>
  <c r="N481" i="6"/>
  <c r="O473" i="6"/>
  <c r="P1717" i="6"/>
  <c r="Q1707" i="6"/>
  <c r="L163" i="6"/>
  <c r="L183" i="6" s="1"/>
  <c r="L14" i="6"/>
  <c r="P1100" i="6"/>
  <c r="O1107" i="6"/>
  <c r="M1231" i="6"/>
  <c r="M1399" i="6" s="1"/>
  <c r="M158" i="6"/>
  <c r="M161" i="6" s="1"/>
  <c r="N2191" i="6"/>
  <c r="N238" i="6"/>
  <c r="P1640" i="6"/>
  <c r="O1685" i="6"/>
  <c r="O1076" i="6"/>
  <c r="P1072" i="6"/>
  <c r="O981" i="6"/>
  <c r="N1003" i="6"/>
  <c r="N1776" i="6"/>
  <c r="N234" i="6"/>
  <c r="P958" i="6"/>
  <c r="P957" i="6"/>
  <c r="P960" i="6" s="1"/>
  <c r="Q706" i="6"/>
  <c r="O1162" i="6"/>
  <c r="N1177" i="6"/>
  <c r="N151" i="6" s="1"/>
  <c r="Q1123" i="6"/>
  <c r="P1141" i="6"/>
  <c r="P1153" i="6" s="1"/>
  <c r="M105" i="6"/>
  <c r="M112" i="6" s="1"/>
  <c r="M21" i="6" s="1"/>
  <c r="M542" i="6"/>
  <c r="M1090" i="6" s="1"/>
  <c r="O1353" i="6"/>
  <c r="O153" i="6" s="1"/>
  <c r="P1351" i="6"/>
  <c r="O432" i="6"/>
  <c r="P403" i="6"/>
  <c r="O107" i="6"/>
  <c r="Q1565" i="6"/>
  <c r="Q191" i="6" s="1"/>
  <c r="R1548" i="6"/>
  <c r="R1565" i="6" s="1"/>
  <c r="R191" i="6" s="1"/>
  <c r="L13" i="6"/>
  <c r="L17" i="6" s="1"/>
  <c r="L114" i="6"/>
  <c r="L142" i="6" s="1"/>
  <c r="M1066" i="6"/>
  <c r="M110" i="6"/>
  <c r="Q1144" i="6"/>
  <c r="P1151" i="6"/>
  <c r="R111" i="6"/>
  <c r="N41" i="6"/>
  <c r="N140" i="6"/>
  <c r="M96" i="6"/>
  <c r="M101" i="6" s="1"/>
  <c r="M669" i="6"/>
  <c r="P688" i="6"/>
  <c r="Q684" i="6"/>
  <c r="O1116" i="6"/>
  <c r="P1110" i="6"/>
  <c r="R1783" i="6"/>
  <c r="R1796" i="6" s="1"/>
  <c r="R235" i="6" s="1"/>
  <c r="Q1796" i="6"/>
  <c r="Q235" i="6" s="1"/>
  <c r="Q454" i="6"/>
  <c r="R441" i="6"/>
  <c r="R454" i="6" s="1"/>
  <c r="O970" i="6"/>
  <c r="N977" i="6"/>
  <c r="N99" i="6" s="1"/>
  <c r="N373" i="6"/>
  <c r="N64" i="6"/>
  <c r="K267" i="6"/>
  <c r="O717" i="6"/>
  <c r="O98" i="6" s="1"/>
  <c r="P697" i="6"/>
  <c r="N2173" i="6"/>
  <c r="O2168" i="6"/>
  <c r="N104" i="6"/>
  <c r="P1312" i="6"/>
  <c r="Q1286" i="6"/>
  <c r="Q612" i="6"/>
  <c r="P630" i="6"/>
  <c r="O292" i="6"/>
  <c r="O56" i="6" s="1"/>
  <c r="O59" i="6" s="1"/>
  <c r="P277" i="6"/>
  <c r="O580" i="6"/>
  <c r="O106" i="6"/>
  <c r="O330" i="6"/>
  <c r="N332" i="6"/>
  <c r="O960" i="6"/>
  <c r="P196" i="6"/>
  <c r="P1615" i="6"/>
  <c r="M43" i="6"/>
  <c r="M213" i="6"/>
  <c r="M215" i="6" s="1"/>
  <c r="P679" i="6"/>
  <c r="P97" i="6" s="1"/>
  <c r="Q676" i="6"/>
  <c r="M2108" i="6"/>
  <c r="M2195" i="6" s="1"/>
  <c r="M259" i="6"/>
  <c r="M263" i="6" s="1"/>
  <c r="O386" i="6"/>
  <c r="N399" i="6"/>
  <c r="N93" i="6" s="1"/>
  <c r="P1409" i="6"/>
  <c r="O1433" i="6"/>
  <c r="O190" i="6" s="1"/>
  <c r="O192" i="6" s="1"/>
  <c r="N599" i="6"/>
  <c r="O588" i="6"/>
  <c r="M114" i="6" l="1"/>
  <c r="M142" i="6" s="1"/>
  <c r="M13" i="6"/>
  <c r="M17" i="6" s="1"/>
  <c r="M22" i="6"/>
  <c r="M163" i="6"/>
  <c r="M183" i="6" s="1"/>
  <c r="M24" i="6"/>
  <c r="M241" i="6"/>
  <c r="O599" i="6"/>
  <c r="P588" i="6"/>
  <c r="N101" i="6"/>
  <c r="N334" i="6"/>
  <c r="N63" i="6"/>
  <c r="Q630" i="6"/>
  <c r="R612" i="6"/>
  <c r="R630" i="6" s="1"/>
  <c r="N434" i="6"/>
  <c r="P717" i="6"/>
  <c r="P98" i="6" s="1"/>
  <c r="Q697" i="6"/>
  <c r="Q94" i="6"/>
  <c r="Q1151" i="6"/>
  <c r="R1144" i="6"/>
  <c r="R1151" i="6" s="1"/>
  <c r="L27" i="6"/>
  <c r="Q1351" i="6"/>
  <c r="P1353" i="6"/>
  <c r="P153" i="6" s="1"/>
  <c r="P157" i="6"/>
  <c r="Q958" i="6"/>
  <c r="Q957" i="6"/>
  <c r="Q960" i="6" s="1"/>
  <c r="R706" i="6"/>
  <c r="O100" i="6"/>
  <c r="O1088" i="6"/>
  <c r="O1118" i="6"/>
  <c r="Q1717" i="6"/>
  <c r="R1707" i="6"/>
  <c r="R1717" i="6" s="1"/>
  <c r="L20" i="6"/>
  <c r="L25" i="6" s="1"/>
  <c r="L67" i="6"/>
  <c r="L85" i="6" s="1"/>
  <c r="N2108" i="6"/>
  <c r="N259" i="6"/>
  <c r="N263" i="6" s="1"/>
  <c r="P1774" i="6"/>
  <c r="Q1754" i="6"/>
  <c r="P580" i="6"/>
  <c r="P106" i="6"/>
  <c r="O1484" i="6"/>
  <c r="O195" i="6" s="1"/>
  <c r="O197" i="6" s="1"/>
  <c r="O23" i="6" s="1"/>
  <c r="P1438" i="6"/>
  <c r="O2191" i="6"/>
  <c r="O238" i="6"/>
  <c r="O312" i="6"/>
  <c r="P296" i="6"/>
  <c r="O1221" i="6"/>
  <c r="P1182" i="6"/>
  <c r="N43" i="6"/>
  <c r="N213" i="6"/>
  <c r="L49" i="6"/>
  <c r="N96" i="6"/>
  <c r="N669" i="6"/>
  <c r="P386" i="6"/>
  <c r="O399" i="6"/>
  <c r="O93" i="6" s="1"/>
  <c r="Q679" i="6"/>
  <c r="Q97" i="6" s="1"/>
  <c r="R676" i="6"/>
  <c r="R679" i="6" s="1"/>
  <c r="R97" i="6" s="1"/>
  <c r="P330" i="6"/>
  <c r="O332" i="6"/>
  <c r="P292" i="6"/>
  <c r="P56" i="6" s="1"/>
  <c r="P59" i="6" s="1"/>
  <c r="Q277" i="6"/>
  <c r="R1286" i="6"/>
  <c r="R1312" i="6" s="1"/>
  <c r="Q1312" i="6"/>
  <c r="Q688" i="6"/>
  <c r="R684" i="6"/>
  <c r="R688" i="6" s="1"/>
  <c r="P432" i="6"/>
  <c r="Q403" i="6"/>
  <c r="R1123" i="6"/>
  <c r="R1141" i="6" s="1"/>
  <c r="Q1141" i="6"/>
  <c r="Q1153" i="6" s="1"/>
  <c r="P962" i="6"/>
  <c r="P135" i="6"/>
  <c r="P138" i="6" s="1"/>
  <c r="N110" i="6"/>
  <c r="N1066" i="6"/>
  <c r="O1695" i="6"/>
  <c r="O232" i="6"/>
  <c r="Q1100" i="6"/>
  <c r="P1107" i="6"/>
  <c r="P1118" i="6" s="1"/>
  <c r="P150" i="6" s="1"/>
  <c r="P233" i="6"/>
  <c r="P1740" i="6"/>
  <c r="P2034" i="6"/>
  <c r="O2106" i="6"/>
  <c r="O1776" i="6"/>
  <c r="O234" i="6"/>
  <c r="P1540" i="6"/>
  <c r="Q1498" i="6"/>
  <c r="Q2181" i="6"/>
  <c r="P2188" i="6"/>
  <c r="P364" i="6"/>
  <c r="Q349" i="6"/>
  <c r="Q2146" i="6"/>
  <c r="P2160" i="6"/>
  <c r="N1231" i="6"/>
  <c r="N158" i="6"/>
  <c r="N161" i="6" s="1"/>
  <c r="N22" i="6" s="1"/>
  <c r="M65" i="6"/>
  <c r="N1542" i="6"/>
  <c r="N1617" i="6" s="1"/>
  <c r="O15" i="6"/>
  <c r="O199" i="6"/>
  <c r="O12" i="6"/>
  <c r="P159" i="6"/>
  <c r="P1344" i="6"/>
  <c r="P2168" i="6"/>
  <c r="O2173" i="6"/>
  <c r="O977" i="6"/>
  <c r="O99" i="6" s="1"/>
  <c r="P970" i="6"/>
  <c r="P690" i="6"/>
  <c r="P108" i="6"/>
  <c r="O104" i="6"/>
  <c r="O1003" i="6"/>
  <c r="P981" i="6"/>
  <c r="P1685" i="6"/>
  <c r="Q1640" i="6"/>
  <c r="O481" i="6"/>
  <c r="P473" i="6"/>
  <c r="N199" i="6"/>
  <c r="N215" i="6" s="1"/>
  <c r="Q196" i="6"/>
  <c r="Q1615" i="6"/>
  <c r="O1542" i="6"/>
  <c r="O1617" i="6" s="1"/>
  <c r="O209" i="6"/>
  <c r="O211" i="6" s="1"/>
  <c r="N239" i="6"/>
  <c r="O16" i="6"/>
  <c r="O64" i="6"/>
  <c r="O373" i="6"/>
  <c r="O2162" i="6"/>
  <c r="O236" i="6"/>
  <c r="P2142" i="6"/>
  <c r="P226" i="6" s="1"/>
  <c r="Q2115" i="6"/>
  <c r="N150" i="6"/>
  <c r="N154" i="6" s="1"/>
  <c r="N1155" i="6"/>
  <c r="N1399" i="6" s="1"/>
  <c r="M375" i="6"/>
  <c r="Q1359" i="6"/>
  <c r="P1381" i="6"/>
  <c r="Q1409" i="6"/>
  <c r="P1433" i="6"/>
  <c r="P190" i="6" s="1"/>
  <c r="P192" i="6" s="1"/>
  <c r="M44" i="6"/>
  <c r="M45" i="6" s="1"/>
  <c r="M47" i="6" s="1"/>
  <c r="M265" i="6"/>
  <c r="O135" i="6"/>
  <c r="O138" i="6" s="1"/>
  <c r="O962" i="6"/>
  <c r="P107" i="6"/>
  <c r="N112" i="6"/>
  <c r="N21" i="6" s="1"/>
  <c r="N2175" i="6"/>
  <c r="N237" i="6"/>
  <c r="R94" i="6"/>
  <c r="Q1110" i="6"/>
  <c r="P1116" i="6"/>
  <c r="O1177" i="6"/>
  <c r="O151" i="6" s="1"/>
  <c r="P1162" i="6"/>
  <c r="Q1072" i="6"/>
  <c r="P1076" i="6"/>
  <c r="N105" i="6"/>
  <c r="N542" i="6"/>
  <c r="R384" i="6"/>
  <c r="R1615" i="6"/>
  <c r="R196" i="6"/>
  <c r="Q566" i="6"/>
  <c r="R559" i="6"/>
  <c r="R566" i="6" s="1"/>
  <c r="N2195" i="6"/>
  <c r="R341" i="6"/>
  <c r="R345" i="6" s="1"/>
  <c r="R58" i="6" s="1"/>
  <c r="Q345" i="6"/>
  <c r="Q58" i="6" s="1"/>
  <c r="P1750" i="6"/>
  <c r="P224" i="6" s="1"/>
  <c r="P229" i="6" s="1"/>
  <c r="Q1747" i="6"/>
  <c r="N314" i="6"/>
  <c r="N375" i="6" s="1"/>
  <c r="N62" i="6"/>
  <c r="N65" i="6" s="1"/>
  <c r="O1396" i="6"/>
  <c r="O160" i="6"/>
  <c r="Q1162" i="6" l="1"/>
  <c r="P1177" i="6"/>
  <c r="P151" i="6" s="1"/>
  <c r="Q1433" i="6"/>
  <c r="Q190" i="6" s="1"/>
  <c r="Q192" i="6" s="1"/>
  <c r="R1409" i="6"/>
  <c r="R1433" i="6" s="1"/>
  <c r="R190" i="6" s="1"/>
  <c r="R192" i="6" s="1"/>
  <c r="Q1685" i="6"/>
  <c r="R1640" i="6"/>
  <c r="R1685" i="6" s="1"/>
  <c r="Q2188" i="6"/>
  <c r="R2181" i="6"/>
  <c r="R2188" i="6" s="1"/>
  <c r="R159" i="6"/>
  <c r="R1344" i="6"/>
  <c r="O101" i="6"/>
  <c r="R233" i="6"/>
  <c r="R1740" i="6"/>
  <c r="P160" i="6"/>
  <c r="P1396" i="6"/>
  <c r="O43" i="6"/>
  <c r="O213" i="6"/>
  <c r="O215" i="6" s="1"/>
  <c r="R349" i="6"/>
  <c r="R364" i="6" s="1"/>
  <c r="Q364" i="6"/>
  <c r="P154" i="6"/>
  <c r="Q1155" i="6"/>
  <c r="Q157" i="6"/>
  <c r="Q292" i="6"/>
  <c r="Q56" i="6" s="1"/>
  <c r="Q59" i="6" s="1"/>
  <c r="R277" i="6"/>
  <c r="R292" i="6" s="1"/>
  <c r="R56" i="6" s="1"/>
  <c r="R59" i="6" s="1"/>
  <c r="Q233" i="6"/>
  <c r="Q1740" i="6"/>
  <c r="P1155" i="6"/>
  <c r="R107" i="6"/>
  <c r="N20" i="6"/>
  <c r="N25" i="6" s="1"/>
  <c r="N67" i="6"/>
  <c r="N85" i="6" s="1"/>
  <c r="Q106" i="6"/>
  <c r="Q580" i="6"/>
  <c r="R1072" i="6"/>
  <c r="R1076" i="6" s="1"/>
  <c r="Q1076" i="6"/>
  <c r="Q1116" i="6"/>
  <c r="R1110" i="6"/>
  <c r="R1116" i="6" s="1"/>
  <c r="P15" i="6"/>
  <c r="O105" i="6"/>
  <c r="O542" i="6"/>
  <c r="O110" i="6"/>
  <c r="O112" i="6" s="1"/>
  <c r="O21" i="6" s="1"/>
  <c r="O1066" i="6"/>
  <c r="Q2168" i="6"/>
  <c r="P2173" i="6"/>
  <c r="M20" i="6"/>
  <c r="M25" i="6" s="1"/>
  <c r="M27" i="6" s="1"/>
  <c r="M49" i="6" s="1"/>
  <c r="M67" i="6"/>
  <c r="M85" i="6" s="1"/>
  <c r="P2162" i="6"/>
  <c r="P236" i="6"/>
  <c r="P2191" i="6"/>
  <c r="P238" i="6"/>
  <c r="O239" i="6"/>
  <c r="P41" i="6"/>
  <c r="P140" i="6"/>
  <c r="R403" i="6"/>
  <c r="R432" i="6" s="1"/>
  <c r="Q432" i="6"/>
  <c r="Q159" i="6"/>
  <c r="Q1344" i="6"/>
  <c r="O334" i="6"/>
  <c r="O63" i="6"/>
  <c r="P1221" i="6"/>
  <c r="Q1182" i="6"/>
  <c r="P1776" i="6"/>
  <c r="P234" i="6"/>
  <c r="Q1353" i="6"/>
  <c r="Q153" i="6" s="1"/>
  <c r="R1351" i="6"/>
  <c r="R1353" i="6" s="1"/>
  <c r="R153" i="6" s="1"/>
  <c r="O96" i="6"/>
  <c r="O669" i="6"/>
  <c r="O41" i="6"/>
  <c r="O140" i="6"/>
  <c r="N24" i="6"/>
  <c r="N241" i="6"/>
  <c r="P977" i="6"/>
  <c r="P99" i="6" s="1"/>
  <c r="Q970" i="6"/>
  <c r="Q2160" i="6"/>
  <c r="R2146" i="6"/>
  <c r="R2160" i="6" s="1"/>
  <c r="P104" i="6"/>
  <c r="Q330" i="6"/>
  <c r="P332" i="6"/>
  <c r="O1231" i="6"/>
  <c r="O1399" i="6" s="1"/>
  <c r="O158" i="6"/>
  <c r="O161" i="6" s="1"/>
  <c r="O22" i="6" s="1"/>
  <c r="N44" i="6"/>
  <c r="N45" i="6" s="1"/>
  <c r="N47" i="6" s="1"/>
  <c r="N49" i="6" s="1"/>
  <c r="N265" i="6"/>
  <c r="N1090" i="6"/>
  <c r="R1747" i="6"/>
  <c r="R1750" i="6" s="1"/>
  <c r="R224" i="6" s="1"/>
  <c r="R229" i="6" s="1"/>
  <c r="Q1750" i="6"/>
  <c r="Q224" i="6" s="1"/>
  <c r="M267" i="6"/>
  <c r="N163" i="6"/>
  <c r="N183" i="6" s="1"/>
  <c r="N14" i="6"/>
  <c r="P1695" i="6"/>
  <c r="P232" i="6"/>
  <c r="O434" i="6"/>
  <c r="O1090" i="6" s="1"/>
  <c r="R1498" i="6"/>
  <c r="R1540" i="6" s="1"/>
  <c r="Q1540" i="6"/>
  <c r="O2108" i="6"/>
  <c r="O2195" i="6" s="1"/>
  <c r="O259" i="6"/>
  <c r="O263" i="6" s="1"/>
  <c r="R690" i="6"/>
  <c r="R108" i="6"/>
  <c r="Q386" i="6"/>
  <c r="P399" i="6"/>
  <c r="P93" i="6" s="1"/>
  <c r="P312" i="6"/>
  <c r="Q296" i="6"/>
  <c r="P1484" i="6"/>
  <c r="P195" i="6" s="1"/>
  <c r="P197" i="6" s="1"/>
  <c r="P23" i="6" s="1"/>
  <c r="Q1438" i="6"/>
  <c r="R957" i="6"/>
  <c r="R958" i="6"/>
  <c r="N114" i="6"/>
  <c r="N142" i="6" s="1"/>
  <c r="N13" i="6"/>
  <c r="N17" i="6" s="1"/>
  <c r="N27" i="6" s="1"/>
  <c r="P16" i="6"/>
  <c r="R106" i="6"/>
  <c r="R580" i="6"/>
  <c r="P100" i="6"/>
  <c r="P1088" i="6"/>
  <c r="Q1381" i="6"/>
  <c r="R1359" i="6"/>
  <c r="R1381" i="6" s="1"/>
  <c r="Q2142" i="6"/>
  <c r="Q226" i="6" s="1"/>
  <c r="R2115" i="6"/>
  <c r="R2142" i="6" s="1"/>
  <c r="R226" i="6" s="1"/>
  <c r="P481" i="6"/>
  <c r="Q473" i="6"/>
  <c r="Q981" i="6"/>
  <c r="P1003" i="6"/>
  <c r="O2175" i="6"/>
  <c r="O237" i="6"/>
  <c r="P373" i="6"/>
  <c r="P64" i="6"/>
  <c r="P209" i="6"/>
  <c r="P211" i="6" s="1"/>
  <c r="Q2034" i="6"/>
  <c r="P2106" i="6"/>
  <c r="R1100" i="6"/>
  <c r="R1107" i="6" s="1"/>
  <c r="Q1107" i="6"/>
  <c r="Q1118" i="6" s="1"/>
  <c r="Q150" i="6" s="1"/>
  <c r="R1153" i="6"/>
  <c r="Q690" i="6"/>
  <c r="Q108" i="6"/>
  <c r="P12" i="6"/>
  <c r="O314" i="6"/>
  <c r="O375" i="6" s="1"/>
  <c r="O62" i="6"/>
  <c r="R1754" i="6"/>
  <c r="R1774" i="6" s="1"/>
  <c r="Q1774" i="6"/>
  <c r="O150" i="6"/>
  <c r="O154" i="6" s="1"/>
  <c r="O1155" i="6"/>
  <c r="Q962" i="6"/>
  <c r="Q135" i="6"/>
  <c r="Q138" i="6" s="1"/>
  <c r="R697" i="6"/>
  <c r="R717" i="6" s="1"/>
  <c r="R98" i="6" s="1"/>
  <c r="Q717" i="6"/>
  <c r="Q98" i="6" s="1"/>
  <c r="Q107" i="6"/>
  <c r="Q588" i="6"/>
  <c r="P599" i="6"/>
  <c r="P105" i="6" l="1"/>
  <c r="P542" i="6"/>
  <c r="P101" i="6"/>
  <c r="O44" i="6"/>
  <c r="O265" i="6"/>
  <c r="R330" i="6"/>
  <c r="R332" i="6" s="1"/>
  <c r="Q332" i="6"/>
  <c r="Q1695" i="6"/>
  <c r="Q232" i="6"/>
  <c r="Q41" i="6"/>
  <c r="Q140" i="6"/>
  <c r="R2034" i="6"/>
  <c r="R2106" i="6" s="1"/>
  <c r="Q2106" i="6"/>
  <c r="P110" i="6"/>
  <c r="P112" i="6" s="1"/>
  <c r="P21" i="6" s="1"/>
  <c r="P1066" i="6"/>
  <c r="P1231" i="6"/>
  <c r="P158" i="6"/>
  <c r="P161" i="6" s="1"/>
  <c r="P22" i="6" s="1"/>
  <c r="R100" i="6"/>
  <c r="R1088" i="6"/>
  <c r="P14" i="6"/>
  <c r="R2191" i="6"/>
  <c r="R238" i="6"/>
  <c r="R1776" i="6"/>
  <c r="R234" i="6"/>
  <c r="P43" i="6"/>
  <c r="P213" i="6"/>
  <c r="R296" i="6"/>
  <c r="R312" i="6" s="1"/>
  <c r="Q312" i="6"/>
  <c r="Q209" i="6"/>
  <c r="Q211" i="6" s="1"/>
  <c r="P2195" i="6"/>
  <c r="P434" i="6"/>
  <c r="Q104" i="6"/>
  <c r="Q2173" i="6"/>
  <c r="R2168" i="6"/>
  <c r="R2173" i="6" s="1"/>
  <c r="O114" i="6"/>
  <c r="O142" i="6" s="1"/>
  <c r="O13" i="6"/>
  <c r="Q2191" i="6"/>
  <c r="Q238" i="6"/>
  <c r="Q15" i="6"/>
  <c r="P96" i="6"/>
  <c r="P669" i="6"/>
  <c r="O65" i="6"/>
  <c r="R1118" i="6"/>
  <c r="R150" i="6" s="1"/>
  <c r="P1542" i="6"/>
  <c r="P1617" i="6" s="1"/>
  <c r="Q481" i="6"/>
  <c r="R473" i="6"/>
  <c r="R481" i="6" s="1"/>
  <c r="R1396" i="6"/>
  <c r="R160" i="6"/>
  <c r="R960" i="6"/>
  <c r="P314" i="6"/>
  <c r="P62" i="6"/>
  <c r="R209" i="6"/>
  <c r="R211" i="6" s="1"/>
  <c r="Q229" i="6"/>
  <c r="N267" i="6"/>
  <c r="P334" i="6"/>
  <c r="P63" i="6"/>
  <c r="Q977" i="6"/>
  <c r="Q99" i="6" s="1"/>
  <c r="R970" i="6"/>
  <c r="R977" i="6" s="1"/>
  <c r="R99" i="6" s="1"/>
  <c r="R104" i="6"/>
  <c r="R434" i="6"/>
  <c r="R373" i="6"/>
  <c r="R64" i="6"/>
  <c r="R1695" i="6"/>
  <c r="R232" i="6"/>
  <c r="R588" i="6"/>
  <c r="R599" i="6" s="1"/>
  <c r="Q599" i="6"/>
  <c r="O14" i="6"/>
  <c r="O163" i="6"/>
  <c r="O183" i="6" s="1"/>
  <c r="P2108" i="6"/>
  <c r="P259" i="6"/>
  <c r="P263" i="6" s="1"/>
  <c r="Q1396" i="6"/>
  <c r="Q160" i="6"/>
  <c r="Q1484" i="6"/>
  <c r="Q195" i="6" s="1"/>
  <c r="Q197" i="6" s="1"/>
  <c r="Q23" i="6" s="1"/>
  <c r="R1438" i="6"/>
  <c r="R1484" i="6" s="1"/>
  <c r="R195" i="6" s="1"/>
  <c r="R197" i="6" s="1"/>
  <c r="R23" i="6" s="1"/>
  <c r="R16" i="6"/>
  <c r="R2162" i="6"/>
  <c r="R236" i="6"/>
  <c r="R1182" i="6"/>
  <c r="R1221" i="6" s="1"/>
  <c r="Q1221" i="6"/>
  <c r="Q100" i="6"/>
  <c r="Q1088" i="6"/>
  <c r="Q1177" i="6"/>
  <c r="Q151" i="6" s="1"/>
  <c r="R1162" i="6"/>
  <c r="R1177" i="6" s="1"/>
  <c r="R151" i="6" s="1"/>
  <c r="Q1776" i="6"/>
  <c r="Q234" i="6"/>
  <c r="R157" i="6"/>
  <c r="R1155" i="6"/>
  <c r="R386" i="6"/>
  <c r="R399" i="6" s="1"/>
  <c r="R93" i="6" s="1"/>
  <c r="Q399" i="6"/>
  <c r="Q93" i="6" s="1"/>
  <c r="P239" i="6"/>
  <c r="Q2162" i="6"/>
  <c r="Q236" i="6"/>
  <c r="O45" i="6"/>
  <c r="O47" i="6" s="1"/>
  <c r="P2175" i="6"/>
  <c r="P237" i="6"/>
  <c r="P199" i="6"/>
  <c r="P215" i="6" s="1"/>
  <c r="R12" i="6"/>
  <c r="R15" i="6"/>
  <c r="Q154" i="6"/>
  <c r="Q1003" i="6"/>
  <c r="R981" i="6"/>
  <c r="R1003" i="6" s="1"/>
  <c r="O24" i="6"/>
  <c r="O241" i="6"/>
  <c r="Q12" i="6"/>
  <c r="Q373" i="6"/>
  <c r="Q64" i="6"/>
  <c r="P1399" i="6"/>
  <c r="Q14" i="6" l="1"/>
  <c r="R161" i="6"/>
  <c r="R22" i="6" s="1"/>
  <c r="R1231" i="6"/>
  <c r="R158" i="6"/>
  <c r="R962" i="6"/>
  <c r="R135" i="6"/>
  <c r="R138" i="6" s="1"/>
  <c r="P1090" i="6"/>
  <c r="Q334" i="6"/>
  <c r="Q63" i="6"/>
  <c r="Q96" i="6"/>
  <c r="Q101" i="6" s="1"/>
  <c r="Q669" i="6"/>
  <c r="R1542" i="6"/>
  <c r="R1617" i="6" s="1"/>
  <c r="Q110" i="6"/>
  <c r="Q1066" i="6"/>
  <c r="Q1231" i="6"/>
  <c r="Q158" i="6"/>
  <c r="Q161" i="6" s="1"/>
  <c r="Q22" i="6" s="1"/>
  <c r="Q241" i="6"/>
  <c r="Q16" i="6"/>
  <c r="P375" i="6"/>
  <c r="R105" i="6"/>
  <c r="R112" i="6" s="1"/>
  <c r="R21" i="6" s="1"/>
  <c r="R542" i="6"/>
  <c r="R1090" i="6" s="1"/>
  <c r="O20" i="6"/>
  <c r="O25" i="6" s="1"/>
  <c r="O67" i="6"/>
  <c r="O85" i="6" s="1"/>
  <c r="Q199" i="6"/>
  <c r="Q434" i="6"/>
  <c r="Q1090" i="6" s="1"/>
  <c r="Q1542" i="6"/>
  <c r="Q1617" i="6" s="1"/>
  <c r="R2108" i="6"/>
  <c r="R259" i="6"/>
  <c r="R263" i="6" s="1"/>
  <c r="P24" i="6"/>
  <c r="P241" i="6"/>
  <c r="Q1399" i="6"/>
  <c r="R2195" i="6"/>
  <c r="R43" i="6"/>
  <c r="R213" i="6"/>
  <c r="Q105" i="6"/>
  <c r="Q112" i="6" s="1"/>
  <c r="Q21" i="6" s="1"/>
  <c r="Q542" i="6"/>
  <c r="R2175" i="6"/>
  <c r="R237" i="6"/>
  <c r="R239" i="6" s="1"/>
  <c r="Q314" i="6"/>
  <c r="Q375" i="6" s="1"/>
  <c r="Q62" i="6"/>
  <c r="P13" i="6"/>
  <c r="P17" i="6" s="1"/>
  <c r="P114" i="6"/>
  <c r="P142" i="6" s="1"/>
  <c r="P44" i="6"/>
  <c r="P45" i="6" s="1"/>
  <c r="P47" i="6" s="1"/>
  <c r="P265" i="6"/>
  <c r="P267" i="6" s="1"/>
  <c r="Q2175" i="6"/>
  <c r="Q237" i="6"/>
  <c r="R314" i="6"/>
  <c r="R62" i="6"/>
  <c r="R65" i="6" s="1"/>
  <c r="P163" i="6"/>
  <c r="P183" i="6" s="1"/>
  <c r="R63" i="6"/>
  <c r="R334" i="6"/>
  <c r="R110" i="6"/>
  <c r="R1066" i="6"/>
  <c r="R199" i="6"/>
  <c r="R96" i="6"/>
  <c r="R101" i="6" s="1"/>
  <c r="R669" i="6"/>
  <c r="P65" i="6"/>
  <c r="R1399" i="6"/>
  <c r="R154" i="6"/>
  <c r="O17" i="6"/>
  <c r="O27" i="6" s="1"/>
  <c r="O49" i="6" s="1"/>
  <c r="Q43" i="6"/>
  <c r="Q213" i="6"/>
  <c r="Q2108" i="6"/>
  <c r="Q2195" i="6" s="1"/>
  <c r="Q259" i="6"/>
  <c r="Q263" i="6" s="1"/>
  <c r="Q239" i="6"/>
  <c r="Q24" i="6" s="1"/>
  <c r="O267" i="6"/>
  <c r="R114" i="6" l="1"/>
  <c r="R13" i="6"/>
  <c r="R24" i="6"/>
  <c r="R241" i="6"/>
  <c r="Q114" i="6"/>
  <c r="Q142" i="6" s="1"/>
  <c r="Q13" i="6"/>
  <c r="Q17" i="6" s="1"/>
  <c r="R41" i="6"/>
  <c r="R140" i="6"/>
  <c r="R163" i="6"/>
  <c r="R183" i="6" s="1"/>
  <c r="R14" i="6"/>
  <c r="R20" i="6"/>
  <c r="R25" i="6" s="1"/>
  <c r="R67" i="6"/>
  <c r="R85" i="6" s="1"/>
  <c r="R44" i="6"/>
  <c r="R265" i="6"/>
  <c r="R267" i="6" s="1"/>
  <c r="Q44" i="6"/>
  <c r="Q45" i="6" s="1"/>
  <c r="Q47" i="6" s="1"/>
  <c r="Q265" i="6"/>
  <c r="Q267" i="6" s="1"/>
  <c r="P20" i="6"/>
  <c r="P25" i="6" s="1"/>
  <c r="P27" i="6" s="1"/>
  <c r="P49" i="6" s="1"/>
  <c r="P67" i="6"/>
  <c r="P85" i="6" s="1"/>
  <c r="R215" i="6"/>
  <c r="Q65" i="6"/>
  <c r="Q215" i="6"/>
  <c r="R375" i="6"/>
  <c r="Q163" i="6"/>
  <c r="Q183" i="6" s="1"/>
  <c r="R45" i="6" l="1"/>
  <c r="R47" i="6" s="1"/>
  <c r="R49" i="6" s="1"/>
  <c r="Q27" i="6"/>
  <c r="Q49" i="6" s="1"/>
  <c r="R17" i="6"/>
  <c r="R27" i="6" s="1"/>
  <c r="Q20" i="6"/>
  <c r="Q25" i="6" s="1"/>
  <c r="Q67" i="6"/>
  <c r="Q85" i="6" s="1"/>
  <c r="R142" i="6"/>
  <c r="G2191" i="5" l="1"/>
  <c r="I2188" i="5"/>
  <c r="I2191" i="5" s="1"/>
  <c r="H2188" i="5"/>
  <c r="H2191" i="5" s="1"/>
  <c r="G2188" i="5"/>
  <c r="F2188" i="5"/>
  <c r="F2191" i="5" s="1"/>
  <c r="E2188" i="5"/>
  <c r="E2191" i="5" s="1"/>
  <c r="D2188" i="5"/>
  <c r="D2191" i="5" s="1"/>
  <c r="C2188" i="5"/>
  <c r="C2191" i="5" s="1"/>
  <c r="Q2186" i="5"/>
  <c r="R2186" i="5" s="1"/>
  <c r="K2186" i="5"/>
  <c r="L2186" i="5" s="1"/>
  <c r="M2186" i="5" s="1"/>
  <c r="N2186" i="5" s="1"/>
  <c r="O2186" i="5" s="1"/>
  <c r="P2186" i="5" s="1"/>
  <c r="I2186" i="5"/>
  <c r="J2186" i="5" s="1"/>
  <c r="J2188" i="5" s="1"/>
  <c r="J2191" i="5" s="1"/>
  <c r="L2181" i="5"/>
  <c r="K2181" i="5"/>
  <c r="I2181" i="5"/>
  <c r="J2181" i="5" s="1"/>
  <c r="E2175" i="5"/>
  <c r="H2173" i="5"/>
  <c r="H2175" i="5" s="1"/>
  <c r="G2173" i="5"/>
  <c r="G2175" i="5" s="1"/>
  <c r="F2173" i="5"/>
  <c r="F2175" i="5" s="1"/>
  <c r="E2173" i="5"/>
  <c r="C2173" i="5"/>
  <c r="C2175" i="5" s="1"/>
  <c r="R2171" i="5"/>
  <c r="I2171" i="5"/>
  <c r="J2171" i="5" s="1"/>
  <c r="K2171" i="5" s="1"/>
  <c r="L2171" i="5" s="1"/>
  <c r="M2171" i="5" s="1"/>
  <c r="N2171" i="5" s="1"/>
  <c r="O2171" i="5" s="1"/>
  <c r="P2171" i="5" s="1"/>
  <c r="Q2171" i="5" s="1"/>
  <c r="K2170" i="5"/>
  <c r="L2170" i="5" s="1"/>
  <c r="M2170" i="5" s="1"/>
  <c r="N2170" i="5" s="1"/>
  <c r="O2170" i="5" s="1"/>
  <c r="P2170" i="5" s="1"/>
  <c r="Q2170" i="5" s="1"/>
  <c r="R2170" i="5" s="1"/>
  <c r="I2170" i="5"/>
  <c r="J2170" i="5" s="1"/>
  <c r="K2169" i="5"/>
  <c r="L2169" i="5" s="1"/>
  <c r="M2169" i="5" s="1"/>
  <c r="N2169" i="5" s="1"/>
  <c r="O2169" i="5" s="1"/>
  <c r="P2169" i="5" s="1"/>
  <c r="Q2169" i="5" s="1"/>
  <c r="R2169" i="5" s="1"/>
  <c r="J2169" i="5"/>
  <c r="I2169" i="5"/>
  <c r="D2169" i="5"/>
  <c r="D2173" i="5" s="1"/>
  <c r="D2175" i="5" s="1"/>
  <c r="I2168" i="5"/>
  <c r="I2173" i="5" s="1"/>
  <c r="I2175" i="5" s="1"/>
  <c r="F2162" i="5"/>
  <c r="H2160" i="5"/>
  <c r="G2160" i="5"/>
  <c r="G2162" i="5" s="1"/>
  <c r="F2160" i="5"/>
  <c r="R2157" i="5"/>
  <c r="Q2157" i="5"/>
  <c r="D2157" i="5"/>
  <c r="D2160" i="5" s="1"/>
  <c r="D2162" i="5" s="1"/>
  <c r="J2156" i="5"/>
  <c r="K2156" i="5" s="1"/>
  <c r="L2156" i="5" s="1"/>
  <c r="M2156" i="5" s="1"/>
  <c r="N2156" i="5" s="1"/>
  <c r="O2156" i="5" s="1"/>
  <c r="P2156" i="5" s="1"/>
  <c r="Q2156" i="5" s="1"/>
  <c r="R2156" i="5" s="1"/>
  <c r="I2156" i="5"/>
  <c r="Q2154" i="5"/>
  <c r="R2154" i="5" s="1"/>
  <c r="K2152" i="5"/>
  <c r="L2152" i="5" s="1"/>
  <c r="M2152" i="5" s="1"/>
  <c r="N2152" i="5" s="1"/>
  <c r="O2152" i="5" s="1"/>
  <c r="P2152" i="5" s="1"/>
  <c r="Q2152" i="5" s="1"/>
  <c r="R2152" i="5" s="1"/>
  <c r="I2152" i="5"/>
  <c r="J2152" i="5" s="1"/>
  <c r="Q2151" i="5"/>
  <c r="R2151" i="5" s="1"/>
  <c r="L2151" i="5"/>
  <c r="M2151" i="5" s="1"/>
  <c r="N2151" i="5" s="1"/>
  <c r="O2151" i="5" s="1"/>
  <c r="P2151" i="5" s="1"/>
  <c r="K2151" i="5"/>
  <c r="I2151" i="5"/>
  <c r="J2151" i="5" s="1"/>
  <c r="O2150" i="5"/>
  <c r="P2150" i="5" s="1"/>
  <c r="Q2150" i="5" s="1"/>
  <c r="R2150" i="5" s="1"/>
  <c r="J2150" i="5"/>
  <c r="K2150" i="5" s="1"/>
  <c r="L2150" i="5" s="1"/>
  <c r="M2150" i="5" s="1"/>
  <c r="N2150" i="5" s="1"/>
  <c r="I2150" i="5"/>
  <c r="E2150" i="5"/>
  <c r="E2160" i="5" s="1"/>
  <c r="C2150" i="5"/>
  <c r="C2160" i="5" s="1"/>
  <c r="M2148" i="5"/>
  <c r="N2148" i="5" s="1"/>
  <c r="O2148" i="5" s="1"/>
  <c r="P2148" i="5" s="1"/>
  <c r="Q2148" i="5" s="1"/>
  <c r="R2148" i="5" s="1"/>
  <c r="I2148" i="5"/>
  <c r="J2148" i="5" s="1"/>
  <c r="K2148" i="5" s="1"/>
  <c r="L2148" i="5" s="1"/>
  <c r="Q2147" i="5"/>
  <c r="R2147" i="5" s="1"/>
  <c r="L2147" i="5"/>
  <c r="M2147" i="5" s="1"/>
  <c r="N2147" i="5" s="1"/>
  <c r="O2147" i="5" s="1"/>
  <c r="P2147" i="5" s="1"/>
  <c r="I2147" i="5"/>
  <c r="J2147" i="5" s="1"/>
  <c r="K2147" i="5" s="1"/>
  <c r="I2146" i="5"/>
  <c r="J2146" i="5" s="1"/>
  <c r="G2142" i="5"/>
  <c r="E2142" i="5"/>
  <c r="D2142" i="5"/>
  <c r="L2136" i="5"/>
  <c r="M2136" i="5" s="1"/>
  <c r="N2136" i="5" s="1"/>
  <c r="O2136" i="5" s="1"/>
  <c r="P2136" i="5" s="1"/>
  <c r="Q2136" i="5" s="1"/>
  <c r="R2136" i="5" s="1"/>
  <c r="K2136" i="5"/>
  <c r="I2136" i="5"/>
  <c r="J2136" i="5" s="1"/>
  <c r="J2135" i="5"/>
  <c r="K2135" i="5" s="1"/>
  <c r="L2135" i="5" s="1"/>
  <c r="M2135" i="5" s="1"/>
  <c r="N2135" i="5" s="1"/>
  <c r="O2135" i="5" s="1"/>
  <c r="P2135" i="5" s="1"/>
  <c r="Q2135" i="5" s="1"/>
  <c r="R2135" i="5" s="1"/>
  <c r="I2135" i="5"/>
  <c r="H2135" i="5"/>
  <c r="R2134" i="5"/>
  <c r="Q2134" i="5"/>
  <c r="P2134" i="5"/>
  <c r="O2134" i="5"/>
  <c r="N2134" i="5"/>
  <c r="M2134" i="5"/>
  <c r="L2134" i="5"/>
  <c r="K2134" i="5"/>
  <c r="J2134" i="5"/>
  <c r="I2134" i="5"/>
  <c r="H2134" i="5"/>
  <c r="K2133" i="5"/>
  <c r="L2133" i="5" s="1"/>
  <c r="M2133" i="5" s="1"/>
  <c r="N2133" i="5" s="1"/>
  <c r="O2133" i="5" s="1"/>
  <c r="P2133" i="5" s="1"/>
  <c r="Q2133" i="5" s="1"/>
  <c r="R2133" i="5" s="1"/>
  <c r="I2133" i="5"/>
  <c r="J2133" i="5" s="1"/>
  <c r="J2132" i="5"/>
  <c r="K2132" i="5" s="1"/>
  <c r="L2132" i="5" s="1"/>
  <c r="M2132" i="5" s="1"/>
  <c r="N2132" i="5" s="1"/>
  <c r="O2132" i="5" s="1"/>
  <c r="P2132" i="5" s="1"/>
  <c r="Q2132" i="5" s="1"/>
  <c r="R2132" i="5" s="1"/>
  <c r="N2131" i="5"/>
  <c r="O2131" i="5" s="1"/>
  <c r="P2131" i="5" s="1"/>
  <c r="Q2131" i="5" s="1"/>
  <c r="R2131" i="5" s="1"/>
  <c r="J2131" i="5"/>
  <c r="K2131" i="5" s="1"/>
  <c r="L2131" i="5" s="1"/>
  <c r="M2131" i="5" s="1"/>
  <c r="K2130" i="5"/>
  <c r="L2130" i="5" s="1"/>
  <c r="M2130" i="5" s="1"/>
  <c r="N2130" i="5" s="1"/>
  <c r="O2130" i="5" s="1"/>
  <c r="P2130" i="5" s="1"/>
  <c r="Q2130" i="5" s="1"/>
  <c r="R2130" i="5" s="1"/>
  <c r="J2130" i="5"/>
  <c r="Q2129" i="5"/>
  <c r="R2129" i="5" s="1"/>
  <c r="L2129" i="5"/>
  <c r="M2129" i="5" s="1"/>
  <c r="N2129" i="5" s="1"/>
  <c r="O2129" i="5" s="1"/>
  <c r="P2129" i="5" s="1"/>
  <c r="J2129" i="5"/>
  <c r="K2129" i="5" s="1"/>
  <c r="J2128" i="5"/>
  <c r="K2128" i="5" s="1"/>
  <c r="L2128" i="5" s="1"/>
  <c r="M2128" i="5" s="1"/>
  <c r="N2128" i="5" s="1"/>
  <c r="O2128" i="5" s="1"/>
  <c r="P2128" i="5" s="1"/>
  <c r="Q2128" i="5" s="1"/>
  <c r="R2128" i="5" s="1"/>
  <c r="F2128" i="5"/>
  <c r="F2142" i="5" s="1"/>
  <c r="K2127" i="5"/>
  <c r="L2127" i="5" s="1"/>
  <c r="M2127" i="5" s="1"/>
  <c r="N2127" i="5" s="1"/>
  <c r="O2127" i="5" s="1"/>
  <c r="P2127" i="5" s="1"/>
  <c r="Q2127" i="5" s="1"/>
  <c r="R2127" i="5" s="1"/>
  <c r="J2127" i="5"/>
  <c r="R2126" i="5"/>
  <c r="Q2126" i="5"/>
  <c r="C2126" i="5"/>
  <c r="P2125" i="5"/>
  <c r="Q2125" i="5" s="1"/>
  <c r="R2125" i="5" s="1"/>
  <c r="K2125" i="5"/>
  <c r="L2125" i="5" s="1"/>
  <c r="M2125" i="5" s="1"/>
  <c r="N2125" i="5" s="1"/>
  <c r="O2125" i="5" s="1"/>
  <c r="J2125" i="5"/>
  <c r="C2125" i="5"/>
  <c r="Q2124" i="5"/>
  <c r="R2124" i="5" s="1"/>
  <c r="M2123" i="5"/>
  <c r="N2123" i="5" s="1"/>
  <c r="O2123" i="5" s="1"/>
  <c r="P2123" i="5" s="1"/>
  <c r="Q2123" i="5" s="1"/>
  <c r="R2123" i="5" s="1"/>
  <c r="I2123" i="5"/>
  <c r="J2123" i="5" s="1"/>
  <c r="K2123" i="5" s="1"/>
  <c r="L2123" i="5" s="1"/>
  <c r="H2123" i="5"/>
  <c r="H2142" i="5" s="1"/>
  <c r="O2122" i="5"/>
  <c r="P2122" i="5" s="1"/>
  <c r="Q2122" i="5" s="1"/>
  <c r="R2122" i="5" s="1"/>
  <c r="K2122" i="5"/>
  <c r="L2122" i="5" s="1"/>
  <c r="M2122" i="5" s="1"/>
  <c r="N2122" i="5" s="1"/>
  <c r="I2122" i="5"/>
  <c r="J2122" i="5" s="1"/>
  <c r="C2122" i="5"/>
  <c r="O2121" i="5"/>
  <c r="P2121" i="5" s="1"/>
  <c r="Q2121" i="5" s="1"/>
  <c r="R2121" i="5" s="1"/>
  <c r="K2121" i="5"/>
  <c r="L2121" i="5" s="1"/>
  <c r="M2121" i="5" s="1"/>
  <c r="N2121" i="5" s="1"/>
  <c r="J2121" i="5"/>
  <c r="I2121" i="5"/>
  <c r="E2121" i="5"/>
  <c r="C2121" i="5"/>
  <c r="K2118" i="5"/>
  <c r="L2118" i="5" s="1"/>
  <c r="M2118" i="5" s="1"/>
  <c r="N2118" i="5" s="1"/>
  <c r="O2118" i="5" s="1"/>
  <c r="P2118" i="5" s="1"/>
  <c r="Q2118" i="5" s="1"/>
  <c r="R2118" i="5" s="1"/>
  <c r="J2118" i="5"/>
  <c r="I2118" i="5"/>
  <c r="L2117" i="5"/>
  <c r="M2117" i="5" s="1"/>
  <c r="N2117" i="5" s="1"/>
  <c r="O2117" i="5" s="1"/>
  <c r="P2117" i="5" s="1"/>
  <c r="Q2117" i="5" s="1"/>
  <c r="R2117" i="5" s="1"/>
  <c r="I2117" i="5"/>
  <c r="J2117" i="5" s="1"/>
  <c r="K2117" i="5" s="1"/>
  <c r="J2116" i="5"/>
  <c r="K2116" i="5" s="1"/>
  <c r="L2116" i="5" s="1"/>
  <c r="M2116" i="5" s="1"/>
  <c r="N2116" i="5" s="1"/>
  <c r="O2116" i="5" s="1"/>
  <c r="P2116" i="5" s="1"/>
  <c r="Q2116" i="5" s="1"/>
  <c r="R2116" i="5" s="1"/>
  <c r="I2116" i="5"/>
  <c r="I2115" i="5"/>
  <c r="J2106" i="5"/>
  <c r="H2106" i="5"/>
  <c r="H2108" i="5" s="1"/>
  <c r="G2106" i="5"/>
  <c r="F2106" i="5"/>
  <c r="E2106" i="5"/>
  <c r="C2106" i="5"/>
  <c r="C2108" i="5" s="1"/>
  <c r="K2034" i="5"/>
  <c r="L2034" i="5" s="1"/>
  <c r="J2034" i="5"/>
  <c r="I2034" i="5"/>
  <c r="I2106" i="5" s="1"/>
  <c r="D2034" i="5"/>
  <c r="D2106" i="5" s="1"/>
  <c r="M2028" i="5"/>
  <c r="L2028" i="5"/>
  <c r="M2023" i="5"/>
  <c r="G2023" i="5"/>
  <c r="F2023" i="5"/>
  <c r="C2023" i="5"/>
  <c r="D1902" i="5"/>
  <c r="D1829" i="5"/>
  <c r="R1823" i="5"/>
  <c r="L1823" i="5"/>
  <c r="M1823" i="5" s="1"/>
  <c r="N1823" i="5" s="1"/>
  <c r="O1823" i="5" s="1"/>
  <c r="P1823" i="5" s="1"/>
  <c r="Q1823" i="5" s="1"/>
  <c r="Q1818" i="5"/>
  <c r="R1818" i="5" s="1"/>
  <c r="N1818" i="5"/>
  <c r="O1818" i="5" s="1"/>
  <c r="P1818" i="5" s="1"/>
  <c r="M1818" i="5"/>
  <c r="L1818" i="5"/>
  <c r="E1816" i="5"/>
  <c r="D1816" i="5"/>
  <c r="E1815" i="5"/>
  <c r="D1815" i="5"/>
  <c r="Q1811" i="5"/>
  <c r="N1811" i="5"/>
  <c r="O1811" i="5" s="1"/>
  <c r="P1811" i="5" s="1"/>
  <c r="M1811" i="5"/>
  <c r="E1810" i="5"/>
  <c r="D1810" i="5"/>
  <c r="R1809" i="5"/>
  <c r="Q1809" i="5"/>
  <c r="P1809" i="5"/>
  <c r="O1809" i="5"/>
  <c r="N1809" i="5"/>
  <c r="N2023" i="5" s="1"/>
  <c r="M1809" i="5"/>
  <c r="L1809" i="5"/>
  <c r="L2023" i="5" s="1"/>
  <c r="K1809" i="5"/>
  <c r="K2023" i="5" s="1"/>
  <c r="J1809" i="5"/>
  <c r="J2023" i="5" s="1"/>
  <c r="I1809" i="5"/>
  <c r="I2023" i="5" s="1"/>
  <c r="H1809" i="5"/>
  <c r="H2023" i="5" s="1"/>
  <c r="E1809" i="5"/>
  <c r="D1809" i="5"/>
  <c r="E1808" i="5"/>
  <c r="D1808" i="5"/>
  <c r="E1806" i="5"/>
  <c r="D1806" i="5"/>
  <c r="D2023" i="5" s="1"/>
  <c r="E1805" i="5"/>
  <c r="D1805" i="5"/>
  <c r="H1796" i="5"/>
  <c r="G1796" i="5"/>
  <c r="G2108" i="5" s="1"/>
  <c r="F1796" i="5"/>
  <c r="E1796" i="5"/>
  <c r="C1796" i="5"/>
  <c r="K1794" i="5"/>
  <c r="L1794" i="5" s="1"/>
  <c r="M1794" i="5" s="1"/>
  <c r="N1794" i="5" s="1"/>
  <c r="O1794" i="5" s="1"/>
  <c r="P1794" i="5" s="1"/>
  <c r="Q1794" i="5" s="1"/>
  <c r="R1794" i="5" s="1"/>
  <c r="J1794" i="5"/>
  <c r="N1791" i="5"/>
  <c r="O1791" i="5" s="1"/>
  <c r="P1791" i="5" s="1"/>
  <c r="Q1791" i="5" s="1"/>
  <c r="R1791" i="5" s="1"/>
  <c r="L1791" i="5"/>
  <c r="M1791" i="5" s="1"/>
  <c r="J1791" i="5"/>
  <c r="K1791" i="5" s="1"/>
  <c r="I1791" i="5"/>
  <c r="R1790" i="5"/>
  <c r="J1790" i="5"/>
  <c r="K1790" i="5" s="1"/>
  <c r="L1790" i="5" s="1"/>
  <c r="M1790" i="5" s="1"/>
  <c r="N1790" i="5" s="1"/>
  <c r="O1790" i="5" s="1"/>
  <c r="P1790" i="5" s="1"/>
  <c r="Q1790" i="5" s="1"/>
  <c r="I1789" i="5"/>
  <c r="M1788" i="5"/>
  <c r="N1788" i="5" s="1"/>
  <c r="O1788" i="5" s="1"/>
  <c r="P1788" i="5" s="1"/>
  <c r="Q1788" i="5" s="1"/>
  <c r="R1788" i="5" s="1"/>
  <c r="K1788" i="5"/>
  <c r="L1788" i="5" s="1"/>
  <c r="I1788" i="5"/>
  <c r="J1788" i="5" s="1"/>
  <c r="Q1787" i="5"/>
  <c r="R1787" i="5" s="1"/>
  <c r="D1787" i="5"/>
  <c r="D1796" i="5" s="1"/>
  <c r="L1785" i="5"/>
  <c r="M1785" i="5" s="1"/>
  <c r="N1785" i="5" s="1"/>
  <c r="O1785" i="5" s="1"/>
  <c r="P1785" i="5" s="1"/>
  <c r="Q1785" i="5" s="1"/>
  <c r="R1785" i="5" s="1"/>
  <c r="J1785" i="5"/>
  <c r="K1785" i="5" s="1"/>
  <c r="I1785" i="5"/>
  <c r="N1784" i="5"/>
  <c r="O1784" i="5" s="1"/>
  <c r="P1784" i="5" s="1"/>
  <c r="Q1784" i="5" s="1"/>
  <c r="R1784" i="5" s="1"/>
  <c r="J1784" i="5"/>
  <c r="K1784" i="5" s="1"/>
  <c r="L1784" i="5" s="1"/>
  <c r="M1784" i="5" s="1"/>
  <c r="I1784" i="5"/>
  <c r="J1783" i="5"/>
  <c r="I1783" i="5"/>
  <c r="F1776" i="5"/>
  <c r="G1774" i="5"/>
  <c r="G1776" i="5" s="1"/>
  <c r="F1774" i="5"/>
  <c r="R1771" i="5"/>
  <c r="J1771" i="5"/>
  <c r="K1771" i="5" s="1"/>
  <c r="L1771" i="5" s="1"/>
  <c r="M1771" i="5" s="1"/>
  <c r="N1771" i="5" s="1"/>
  <c r="O1771" i="5" s="1"/>
  <c r="P1771" i="5" s="1"/>
  <c r="Q1771" i="5" s="1"/>
  <c r="I1771" i="5"/>
  <c r="N1769" i="5"/>
  <c r="O1769" i="5" s="1"/>
  <c r="P1769" i="5" s="1"/>
  <c r="Q1769" i="5" s="1"/>
  <c r="R1769" i="5" s="1"/>
  <c r="L1769" i="5"/>
  <c r="M1769" i="5" s="1"/>
  <c r="J1769" i="5"/>
  <c r="K1769" i="5" s="1"/>
  <c r="I1769" i="5"/>
  <c r="R1768" i="5"/>
  <c r="J1768" i="5"/>
  <c r="K1768" i="5" s="1"/>
  <c r="L1768" i="5" s="1"/>
  <c r="M1768" i="5" s="1"/>
  <c r="N1768" i="5" s="1"/>
  <c r="O1768" i="5" s="1"/>
  <c r="P1768" i="5" s="1"/>
  <c r="Q1768" i="5" s="1"/>
  <c r="H1768" i="5"/>
  <c r="I1768" i="5" s="1"/>
  <c r="F1768" i="5"/>
  <c r="E1768" i="5"/>
  <c r="C1768" i="5"/>
  <c r="L1767" i="5"/>
  <c r="M1767" i="5" s="1"/>
  <c r="N1767" i="5" s="1"/>
  <c r="O1767" i="5" s="1"/>
  <c r="P1767" i="5" s="1"/>
  <c r="Q1767" i="5" s="1"/>
  <c r="R1767" i="5" s="1"/>
  <c r="J1767" i="5"/>
  <c r="K1767" i="5" s="1"/>
  <c r="I1767" i="5"/>
  <c r="N1766" i="5"/>
  <c r="O1766" i="5" s="1"/>
  <c r="P1766" i="5" s="1"/>
  <c r="Q1766" i="5" s="1"/>
  <c r="R1766" i="5" s="1"/>
  <c r="I1766" i="5"/>
  <c r="J1766" i="5" s="1"/>
  <c r="K1766" i="5" s="1"/>
  <c r="L1766" i="5" s="1"/>
  <c r="M1766" i="5" s="1"/>
  <c r="O1765" i="5"/>
  <c r="P1765" i="5" s="1"/>
  <c r="Q1765" i="5" s="1"/>
  <c r="R1765" i="5" s="1"/>
  <c r="N1765" i="5"/>
  <c r="J1765" i="5"/>
  <c r="K1765" i="5" s="1"/>
  <c r="L1765" i="5" s="1"/>
  <c r="M1765" i="5" s="1"/>
  <c r="I1765" i="5"/>
  <c r="E1765" i="5"/>
  <c r="K1764" i="5"/>
  <c r="L1764" i="5" s="1"/>
  <c r="M1764" i="5" s="1"/>
  <c r="N1764" i="5" s="1"/>
  <c r="O1764" i="5" s="1"/>
  <c r="P1764" i="5" s="1"/>
  <c r="Q1764" i="5" s="1"/>
  <c r="R1764" i="5" s="1"/>
  <c r="J1764" i="5"/>
  <c r="I1764" i="5"/>
  <c r="E1764" i="5"/>
  <c r="R1763" i="5"/>
  <c r="Q1763" i="5"/>
  <c r="M1763" i="5"/>
  <c r="N1763" i="5" s="1"/>
  <c r="O1763" i="5" s="1"/>
  <c r="P1763" i="5" s="1"/>
  <c r="I1763" i="5"/>
  <c r="J1763" i="5" s="1"/>
  <c r="K1763" i="5" s="1"/>
  <c r="L1763" i="5" s="1"/>
  <c r="R1761" i="5"/>
  <c r="P1761" i="5"/>
  <c r="Q1761" i="5" s="1"/>
  <c r="K1761" i="5"/>
  <c r="L1761" i="5" s="1"/>
  <c r="M1761" i="5" s="1"/>
  <c r="N1761" i="5" s="1"/>
  <c r="O1761" i="5" s="1"/>
  <c r="J1761" i="5"/>
  <c r="I1761" i="5"/>
  <c r="Q1760" i="5"/>
  <c r="R1760" i="5" s="1"/>
  <c r="M1760" i="5"/>
  <c r="N1760" i="5" s="1"/>
  <c r="O1760" i="5" s="1"/>
  <c r="P1760" i="5" s="1"/>
  <c r="L1760" i="5"/>
  <c r="I1760" i="5"/>
  <c r="J1760" i="5" s="1"/>
  <c r="K1760" i="5" s="1"/>
  <c r="R1759" i="5"/>
  <c r="Q1759" i="5"/>
  <c r="E1759" i="5"/>
  <c r="D1759" i="5"/>
  <c r="D1774" i="5" s="1"/>
  <c r="R1758" i="5"/>
  <c r="P1758" i="5"/>
  <c r="Q1758" i="5" s="1"/>
  <c r="L1758" i="5"/>
  <c r="M1758" i="5" s="1"/>
  <c r="N1758" i="5" s="1"/>
  <c r="O1758" i="5" s="1"/>
  <c r="K1758" i="5"/>
  <c r="J1758" i="5"/>
  <c r="I1758" i="5"/>
  <c r="H1757" i="5"/>
  <c r="C1757" i="5"/>
  <c r="P1756" i="5"/>
  <c r="Q1756" i="5" s="1"/>
  <c r="R1756" i="5" s="1"/>
  <c r="N1756" i="5"/>
  <c r="O1756" i="5" s="1"/>
  <c r="J1756" i="5"/>
  <c r="K1756" i="5" s="1"/>
  <c r="L1756" i="5" s="1"/>
  <c r="M1756" i="5" s="1"/>
  <c r="I1756" i="5"/>
  <c r="O1755" i="5"/>
  <c r="P1755" i="5" s="1"/>
  <c r="Q1755" i="5" s="1"/>
  <c r="R1755" i="5" s="1"/>
  <c r="N1755" i="5"/>
  <c r="J1755" i="5"/>
  <c r="K1755" i="5" s="1"/>
  <c r="L1755" i="5" s="1"/>
  <c r="M1755" i="5" s="1"/>
  <c r="I1755" i="5"/>
  <c r="J1754" i="5"/>
  <c r="I1754" i="5"/>
  <c r="D1754" i="5"/>
  <c r="C1754" i="5"/>
  <c r="C1774" i="5" s="1"/>
  <c r="C1776" i="5" s="1"/>
  <c r="H1750" i="5"/>
  <c r="G1750" i="5"/>
  <c r="F1750" i="5"/>
  <c r="E1750" i="5"/>
  <c r="D1750" i="5"/>
  <c r="C1750" i="5"/>
  <c r="J1747" i="5"/>
  <c r="I1747" i="5"/>
  <c r="I1750" i="5" s="1"/>
  <c r="R1738" i="5"/>
  <c r="Q1738" i="5"/>
  <c r="P1738" i="5"/>
  <c r="O1738" i="5"/>
  <c r="N1738" i="5"/>
  <c r="M1738" i="5"/>
  <c r="L1738" i="5"/>
  <c r="K1738" i="5"/>
  <c r="J1738" i="5"/>
  <c r="I1738" i="5"/>
  <c r="I1740" i="5" s="1"/>
  <c r="H1738" i="5"/>
  <c r="G1738" i="5"/>
  <c r="G1740" i="5" s="1"/>
  <c r="F1738" i="5"/>
  <c r="E1738" i="5"/>
  <c r="E1740" i="5" s="1"/>
  <c r="D1738" i="5"/>
  <c r="D1740" i="5" s="1"/>
  <c r="C1738" i="5"/>
  <c r="C1740" i="5" s="1"/>
  <c r="H1717" i="5"/>
  <c r="G1717" i="5"/>
  <c r="F1717" i="5"/>
  <c r="F1740" i="5" s="1"/>
  <c r="E1717" i="5"/>
  <c r="D1717" i="5"/>
  <c r="C1717" i="5"/>
  <c r="O1714" i="5"/>
  <c r="P1714" i="5" s="1"/>
  <c r="Q1714" i="5" s="1"/>
  <c r="R1714" i="5" s="1"/>
  <c r="K1714" i="5"/>
  <c r="L1714" i="5" s="1"/>
  <c r="M1714" i="5" s="1"/>
  <c r="N1714" i="5" s="1"/>
  <c r="J1714" i="5"/>
  <c r="I1714" i="5"/>
  <c r="Q1713" i="5"/>
  <c r="R1713" i="5" s="1"/>
  <c r="P1713" i="5"/>
  <c r="L1713" i="5"/>
  <c r="M1713" i="5" s="1"/>
  <c r="N1713" i="5" s="1"/>
  <c r="O1713" i="5" s="1"/>
  <c r="J1713" i="5"/>
  <c r="K1713" i="5" s="1"/>
  <c r="I1713" i="5"/>
  <c r="P1712" i="5"/>
  <c r="Q1712" i="5" s="1"/>
  <c r="R1712" i="5" s="1"/>
  <c r="O1712" i="5"/>
  <c r="J1712" i="5"/>
  <c r="K1712" i="5" s="1"/>
  <c r="L1712" i="5" s="1"/>
  <c r="M1712" i="5" s="1"/>
  <c r="N1712" i="5" s="1"/>
  <c r="I1712" i="5"/>
  <c r="Q1711" i="5"/>
  <c r="R1711" i="5" s="1"/>
  <c r="L1711" i="5"/>
  <c r="M1711" i="5" s="1"/>
  <c r="N1711" i="5" s="1"/>
  <c r="O1711" i="5" s="1"/>
  <c r="P1711" i="5" s="1"/>
  <c r="J1711" i="5"/>
  <c r="K1711" i="5" s="1"/>
  <c r="I1711" i="5"/>
  <c r="O1710" i="5"/>
  <c r="P1710" i="5" s="1"/>
  <c r="Q1710" i="5" s="1"/>
  <c r="R1710" i="5" s="1"/>
  <c r="K1710" i="5"/>
  <c r="L1710" i="5" s="1"/>
  <c r="M1710" i="5" s="1"/>
  <c r="N1710" i="5" s="1"/>
  <c r="J1710" i="5"/>
  <c r="I1710" i="5"/>
  <c r="Q1709" i="5"/>
  <c r="R1709" i="5" s="1"/>
  <c r="P1709" i="5"/>
  <c r="L1709" i="5"/>
  <c r="M1709" i="5" s="1"/>
  <c r="N1709" i="5" s="1"/>
  <c r="O1709" i="5" s="1"/>
  <c r="J1709" i="5"/>
  <c r="K1709" i="5" s="1"/>
  <c r="I1709" i="5"/>
  <c r="J1708" i="5"/>
  <c r="K1708" i="5" s="1"/>
  <c r="L1708" i="5" s="1"/>
  <c r="M1708" i="5" s="1"/>
  <c r="N1708" i="5" s="1"/>
  <c r="O1708" i="5" s="1"/>
  <c r="P1708" i="5" s="1"/>
  <c r="Q1708" i="5" s="1"/>
  <c r="R1708" i="5" s="1"/>
  <c r="I1708" i="5"/>
  <c r="J1707" i="5"/>
  <c r="I1707" i="5"/>
  <c r="I1717" i="5" s="1"/>
  <c r="G1703" i="5"/>
  <c r="F1703" i="5"/>
  <c r="R1692" i="5"/>
  <c r="Q1692" i="5"/>
  <c r="P1692" i="5"/>
  <c r="O1692" i="5"/>
  <c r="N1692" i="5"/>
  <c r="M1692" i="5"/>
  <c r="L1692" i="5"/>
  <c r="K1692" i="5"/>
  <c r="J1692" i="5"/>
  <c r="I1692" i="5"/>
  <c r="H1692" i="5"/>
  <c r="G1692" i="5"/>
  <c r="F1692" i="5"/>
  <c r="E1692" i="5"/>
  <c r="D1692" i="5"/>
  <c r="C1692" i="5"/>
  <c r="G1685" i="5"/>
  <c r="F1685" i="5"/>
  <c r="F1695" i="5" s="1"/>
  <c r="N1680" i="5"/>
  <c r="O1680" i="5" s="1"/>
  <c r="P1680" i="5" s="1"/>
  <c r="Q1680" i="5" s="1"/>
  <c r="R1680" i="5" s="1"/>
  <c r="M1680" i="5"/>
  <c r="I1680" i="5"/>
  <c r="J1680" i="5" s="1"/>
  <c r="K1680" i="5" s="1"/>
  <c r="L1680" i="5" s="1"/>
  <c r="O1679" i="5"/>
  <c r="P1679" i="5" s="1"/>
  <c r="Q1679" i="5" s="1"/>
  <c r="R1679" i="5" s="1"/>
  <c r="K1679" i="5"/>
  <c r="L1679" i="5" s="1"/>
  <c r="M1679" i="5" s="1"/>
  <c r="N1679" i="5" s="1"/>
  <c r="J1679" i="5"/>
  <c r="C1678" i="5"/>
  <c r="Q1677" i="5"/>
  <c r="R1677" i="5" s="1"/>
  <c r="N1677" i="5"/>
  <c r="O1677" i="5" s="1"/>
  <c r="P1677" i="5" s="1"/>
  <c r="M1677" i="5"/>
  <c r="I1677" i="5"/>
  <c r="J1677" i="5" s="1"/>
  <c r="K1677" i="5" s="1"/>
  <c r="L1677" i="5" s="1"/>
  <c r="P1675" i="5"/>
  <c r="Q1675" i="5" s="1"/>
  <c r="R1675" i="5" s="1"/>
  <c r="O1675" i="5"/>
  <c r="K1675" i="5"/>
  <c r="L1675" i="5" s="1"/>
  <c r="M1675" i="5" s="1"/>
  <c r="N1675" i="5" s="1"/>
  <c r="J1675" i="5"/>
  <c r="Q1674" i="5"/>
  <c r="R1674" i="5" s="1"/>
  <c r="M1674" i="5"/>
  <c r="N1674" i="5" s="1"/>
  <c r="O1674" i="5" s="1"/>
  <c r="P1674" i="5" s="1"/>
  <c r="L1674" i="5"/>
  <c r="I1674" i="5"/>
  <c r="J1674" i="5" s="1"/>
  <c r="K1674" i="5" s="1"/>
  <c r="O1673" i="5"/>
  <c r="P1673" i="5" s="1"/>
  <c r="Q1673" i="5" s="1"/>
  <c r="R1673" i="5" s="1"/>
  <c r="N1673" i="5"/>
  <c r="K1673" i="5"/>
  <c r="L1673" i="5" s="1"/>
  <c r="M1673" i="5" s="1"/>
  <c r="J1673" i="5"/>
  <c r="I1673" i="5"/>
  <c r="I1672" i="5"/>
  <c r="J1672" i="5" s="1"/>
  <c r="K1672" i="5" s="1"/>
  <c r="L1672" i="5" s="1"/>
  <c r="M1672" i="5" s="1"/>
  <c r="N1672" i="5" s="1"/>
  <c r="O1672" i="5" s="1"/>
  <c r="P1672" i="5" s="1"/>
  <c r="Q1672" i="5" s="1"/>
  <c r="R1672" i="5" s="1"/>
  <c r="J1671" i="5"/>
  <c r="K1671" i="5" s="1"/>
  <c r="L1671" i="5" s="1"/>
  <c r="M1671" i="5" s="1"/>
  <c r="N1671" i="5" s="1"/>
  <c r="O1671" i="5" s="1"/>
  <c r="P1671" i="5" s="1"/>
  <c r="Q1671" i="5" s="1"/>
  <c r="R1671" i="5" s="1"/>
  <c r="I1671" i="5"/>
  <c r="E1671" i="5"/>
  <c r="C1671" i="5"/>
  <c r="R1670" i="5"/>
  <c r="N1670" i="5"/>
  <c r="O1670" i="5" s="1"/>
  <c r="P1670" i="5" s="1"/>
  <c r="Q1670" i="5" s="1"/>
  <c r="K1670" i="5"/>
  <c r="L1670" i="5" s="1"/>
  <c r="M1670" i="5" s="1"/>
  <c r="J1670" i="5"/>
  <c r="I1670" i="5"/>
  <c r="I1669" i="5"/>
  <c r="J1669" i="5" s="1"/>
  <c r="K1669" i="5" s="1"/>
  <c r="L1669" i="5" s="1"/>
  <c r="M1669" i="5" s="1"/>
  <c r="N1669" i="5" s="1"/>
  <c r="O1669" i="5" s="1"/>
  <c r="P1669" i="5" s="1"/>
  <c r="Q1669" i="5" s="1"/>
  <c r="R1669" i="5" s="1"/>
  <c r="J1667" i="5"/>
  <c r="K1667" i="5" s="1"/>
  <c r="L1667" i="5" s="1"/>
  <c r="M1667" i="5" s="1"/>
  <c r="N1667" i="5" s="1"/>
  <c r="O1667" i="5" s="1"/>
  <c r="P1667" i="5" s="1"/>
  <c r="Q1667" i="5" s="1"/>
  <c r="R1667" i="5" s="1"/>
  <c r="I1667" i="5"/>
  <c r="L1664" i="5"/>
  <c r="M1664" i="5" s="1"/>
  <c r="N1664" i="5" s="1"/>
  <c r="O1664" i="5" s="1"/>
  <c r="P1664" i="5" s="1"/>
  <c r="Q1664" i="5" s="1"/>
  <c r="R1664" i="5" s="1"/>
  <c r="I1664" i="5"/>
  <c r="J1664" i="5" s="1"/>
  <c r="K1664" i="5" s="1"/>
  <c r="E1664" i="5"/>
  <c r="O1663" i="5"/>
  <c r="P1663" i="5" s="1"/>
  <c r="Q1663" i="5" s="1"/>
  <c r="R1663" i="5" s="1"/>
  <c r="K1663" i="5"/>
  <c r="L1663" i="5" s="1"/>
  <c r="M1663" i="5" s="1"/>
  <c r="N1663" i="5" s="1"/>
  <c r="I1663" i="5"/>
  <c r="J1663" i="5" s="1"/>
  <c r="R1661" i="5"/>
  <c r="Q1661" i="5"/>
  <c r="D1661" i="5"/>
  <c r="E1659" i="5"/>
  <c r="O1657" i="5"/>
  <c r="P1657" i="5" s="1"/>
  <c r="Q1657" i="5" s="1"/>
  <c r="R1657" i="5" s="1"/>
  <c r="N1657" i="5"/>
  <c r="L1657" i="5"/>
  <c r="M1657" i="5" s="1"/>
  <c r="J1657" i="5"/>
  <c r="K1657" i="5" s="1"/>
  <c r="H1655" i="5"/>
  <c r="N1654" i="5"/>
  <c r="O1654" i="5" s="1"/>
  <c r="P1654" i="5" s="1"/>
  <c r="Q1654" i="5" s="1"/>
  <c r="R1654" i="5" s="1"/>
  <c r="L1654" i="5"/>
  <c r="M1654" i="5" s="1"/>
  <c r="K1654" i="5"/>
  <c r="J1654" i="5"/>
  <c r="K1653" i="5"/>
  <c r="L1653" i="5" s="1"/>
  <c r="M1653" i="5" s="1"/>
  <c r="N1653" i="5" s="1"/>
  <c r="O1653" i="5" s="1"/>
  <c r="P1653" i="5" s="1"/>
  <c r="Q1653" i="5" s="1"/>
  <c r="R1653" i="5" s="1"/>
  <c r="J1653" i="5"/>
  <c r="N1652" i="5"/>
  <c r="O1652" i="5" s="1"/>
  <c r="P1652" i="5" s="1"/>
  <c r="Q1652" i="5" s="1"/>
  <c r="R1652" i="5" s="1"/>
  <c r="L1652" i="5"/>
  <c r="M1652" i="5" s="1"/>
  <c r="J1652" i="5"/>
  <c r="K1652" i="5" s="1"/>
  <c r="I1652" i="5"/>
  <c r="J1649" i="5"/>
  <c r="K1649" i="5" s="1"/>
  <c r="L1649" i="5" s="1"/>
  <c r="M1649" i="5" s="1"/>
  <c r="N1649" i="5" s="1"/>
  <c r="O1649" i="5" s="1"/>
  <c r="P1649" i="5" s="1"/>
  <c r="Q1649" i="5" s="1"/>
  <c r="R1649" i="5" s="1"/>
  <c r="I1649" i="5"/>
  <c r="E1649" i="5"/>
  <c r="J1648" i="5"/>
  <c r="K1648" i="5" s="1"/>
  <c r="L1648" i="5" s="1"/>
  <c r="M1648" i="5" s="1"/>
  <c r="N1648" i="5" s="1"/>
  <c r="O1648" i="5" s="1"/>
  <c r="P1648" i="5" s="1"/>
  <c r="Q1648" i="5" s="1"/>
  <c r="R1648" i="5" s="1"/>
  <c r="I1648" i="5"/>
  <c r="O1647" i="5"/>
  <c r="P1647" i="5" s="1"/>
  <c r="Q1647" i="5" s="1"/>
  <c r="R1647" i="5" s="1"/>
  <c r="L1647" i="5"/>
  <c r="M1647" i="5" s="1"/>
  <c r="N1647" i="5" s="1"/>
  <c r="K1647" i="5"/>
  <c r="I1647" i="5"/>
  <c r="J1647" i="5" s="1"/>
  <c r="Q1646" i="5"/>
  <c r="R1646" i="5" s="1"/>
  <c r="J1646" i="5"/>
  <c r="K1646" i="5" s="1"/>
  <c r="L1646" i="5" s="1"/>
  <c r="M1646" i="5" s="1"/>
  <c r="N1646" i="5" s="1"/>
  <c r="O1646" i="5" s="1"/>
  <c r="P1646" i="5" s="1"/>
  <c r="I1646" i="5"/>
  <c r="E1646" i="5"/>
  <c r="Q1645" i="5"/>
  <c r="R1645" i="5" s="1"/>
  <c r="J1645" i="5"/>
  <c r="K1645" i="5" s="1"/>
  <c r="L1645" i="5" s="1"/>
  <c r="M1645" i="5" s="1"/>
  <c r="N1645" i="5" s="1"/>
  <c r="O1645" i="5" s="1"/>
  <c r="P1645" i="5" s="1"/>
  <c r="I1645" i="5"/>
  <c r="O1644" i="5"/>
  <c r="P1644" i="5" s="1"/>
  <c r="Q1644" i="5" s="1"/>
  <c r="R1644" i="5" s="1"/>
  <c r="L1644" i="5"/>
  <c r="M1644" i="5" s="1"/>
  <c r="N1644" i="5" s="1"/>
  <c r="K1644" i="5"/>
  <c r="J1644" i="5"/>
  <c r="I1644" i="5"/>
  <c r="M1642" i="5"/>
  <c r="N1642" i="5" s="1"/>
  <c r="O1642" i="5" s="1"/>
  <c r="P1642" i="5" s="1"/>
  <c r="Q1642" i="5" s="1"/>
  <c r="R1642" i="5" s="1"/>
  <c r="L1642" i="5"/>
  <c r="J1642" i="5"/>
  <c r="K1642" i="5" s="1"/>
  <c r="I1642" i="5"/>
  <c r="R1641" i="5"/>
  <c r="K1641" i="5"/>
  <c r="L1641" i="5" s="1"/>
  <c r="M1641" i="5" s="1"/>
  <c r="N1641" i="5" s="1"/>
  <c r="O1641" i="5" s="1"/>
  <c r="P1641" i="5" s="1"/>
  <c r="Q1641" i="5" s="1"/>
  <c r="J1641" i="5"/>
  <c r="I1641" i="5"/>
  <c r="J1640" i="5"/>
  <c r="I1640" i="5"/>
  <c r="C1640" i="5"/>
  <c r="C1685" i="5" s="1"/>
  <c r="C1695" i="5" s="1"/>
  <c r="P1635" i="5"/>
  <c r="O1635" i="5"/>
  <c r="N1635" i="5"/>
  <c r="M1635" i="5"/>
  <c r="L1635" i="5"/>
  <c r="K1635" i="5"/>
  <c r="J1635" i="5"/>
  <c r="I1635" i="5"/>
  <c r="H1635" i="5"/>
  <c r="G1635" i="5"/>
  <c r="F1635" i="5"/>
  <c r="D1635" i="5"/>
  <c r="C1635" i="5"/>
  <c r="Q1628" i="5"/>
  <c r="R1628" i="5" s="1"/>
  <c r="R1635" i="5" s="1"/>
  <c r="D1628" i="5"/>
  <c r="E1628" i="5" s="1"/>
  <c r="E1635" i="5" s="1"/>
  <c r="R1613" i="5"/>
  <c r="Q1613" i="5"/>
  <c r="P1613" i="5"/>
  <c r="O1613" i="5"/>
  <c r="N1613" i="5"/>
  <c r="M1613" i="5"/>
  <c r="L1613" i="5"/>
  <c r="K1613" i="5"/>
  <c r="J1613" i="5"/>
  <c r="I1613" i="5"/>
  <c r="H1613" i="5"/>
  <c r="H1615" i="5" s="1"/>
  <c r="G1613" i="5"/>
  <c r="G1615" i="5" s="1"/>
  <c r="F1613" i="5"/>
  <c r="E1613" i="5"/>
  <c r="E1615" i="5" s="1"/>
  <c r="E1617" i="5" s="1"/>
  <c r="D1613" i="5"/>
  <c r="D1615" i="5" s="1"/>
  <c r="C1613" i="5"/>
  <c r="C1615" i="5" s="1"/>
  <c r="R1592" i="5"/>
  <c r="Q1592" i="5"/>
  <c r="E1592" i="5"/>
  <c r="D1592" i="5"/>
  <c r="C1592" i="5"/>
  <c r="H1585" i="5"/>
  <c r="G1585" i="5"/>
  <c r="F1585" i="5"/>
  <c r="D1585" i="5"/>
  <c r="R1583" i="5"/>
  <c r="Q1583" i="5"/>
  <c r="E1583" i="5"/>
  <c r="D1583" i="5"/>
  <c r="I1572" i="5"/>
  <c r="E1570" i="5"/>
  <c r="E1585" i="5" s="1"/>
  <c r="C1570" i="5"/>
  <c r="C1585" i="5" s="1"/>
  <c r="H1565" i="5"/>
  <c r="G1565" i="5"/>
  <c r="F1565" i="5"/>
  <c r="D1565" i="5"/>
  <c r="C1565" i="5"/>
  <c r="R1556" i="5"/>
  <c r="Q1556" i="5"/>
  <c r="E1556" i="5"/>
  <c r="D1556" i="5"/>
  <c r="N1555" i="5"/>
  <c r="O1555" i="5" s="1"/>
  <c r="P1555" i="5" s="1"/>
  <c r="Q1555" i="5" s="1"/>
  <c r="R1555" i="5" s="1"/>
  <c r="M1555" i="5"/>
  <c r="L1555" i="5"/>
  <c r="I1555" i="5"/>
  <c r="J1555" i="5" s="1"/>
  <c r="K1555" i="5" s="1"/>
  <c r="R1553" i="5"/>
  <c r="K1553" i="5"/>
  <c r="L1553" i="5" s="1"/>
  <c r="M1553" i="5" s="1"/>
  <c r="N1553" i="5" s="1"/>
  <c r="O1553" i="5" s="1"/>
  <c r="P1553" i="5" s="1"/>
  <c r="Q1553" i="5" s="1"/>
  <c r="J1553" i="5"/>
  <c r="I1553" i="5"/>
  <c r="E1553" i="5"/>
  <c r="J1552" i="5"/>
  <c r="K1552" i="5" s="1"/>
  <c r="L1552" i="5" s="1"/>
  <c r="M1552" i="5" s="1"/>
  <c r="N1552" i="5" s="1"/>
  <c r="O1552" i="5" s="1"/>
  <c r="P1552" i="5" s="1"/>
  <c r="Q1552" i="5" s="1"/>
  <c r="R1552" i="5" s="1"/>
  <c r="I1552" i="5"/>
  <c r="M1551" i="5"/>
  <c r="N1551" i="5" s="1"/>
  <c r="O1551" i="5" s="1"/>
  <c r="P1551" i="5" s="1"/>
  <c r="Q1551" i="5" s="1"/>
  <c r="R1551" i="5" s="1"/>
  <c r="L1551" i="5"/>
  <c r="I1551" i="5"/>
  <c r="J1551" i="5" s="1"/>
  <c r="K1551" i="5" s="1"/>
  <c r="I1550" i="5"/>
  <c r="L1549" i="5"/>
  <c r="M1549" i="5" s="1"/>
  <c r="N1549" i="5" s="1"/>
  <c r="O1549" i="5" s="1"/>
  <c r="P1549" i="5" s="1"/>
  <c r="Q1549" i="5" s="1"/>
  <c r="R1549" i="5" s="1"/>
  <c r="K1549" i="5"/>
  <c r="I1549" i="5"/>
  <c r="J1549" i="5" s="1"/>
  <c r="E1549" i="5"/>
  <c r="E1565" i="5" s="1"/>
  <c r="K1548" i="5"/>
  <c r="J1548" i="5"/>
  <c r="I1548" i="5"/>
  <c r="J1540" i="5"/>
  <c r="G1540" i="5"/>
  <c r="F1540" i="5"/>
  <c r="E1540" i="5"/>
  <c r="D1540" i="5"/>
  <c r="R1513" i="5"/>
  <c r="Q1513" i="5"/>
  <c r="P1513" i="5"/>
  <c r="O1513" i="5"/>
  <c r="N1513" i="5"/>
  <c r="M1513" i="5"/>
  <c r="L1513" i="5"/>
  <c r="K1513" i="5"/>
  <c r="J1513" i="5"/>
  <c r="I1513" i="5"/>
  <c r="I1540" i="5" s="1"/>
  <c r="H1513" i="5"/>
  <c r="H1540" i="5" s="1"/>
  <c r="E1513" i="5"/>
  <c r="C1513" i="5"/>
  <c r="C1540" i="5" s="1"/>
  <c r="K1498" i="5"/>
  <c r="J1498" i="5"/>
  <c r="I1498" i="5"/>
  <c r="R1493" i="5"/>
  <c r="Q1493" i="5"/>
  <c r="P1493" i="5"/>
  <c r="O1493" i="5"/>
  <c r="N1493" i="5"/>
  <c r="M1493" i="5"/>
  <c r="L1493" i="5"/>
  <c r="K1493" i="5"/>
  <c r="J1493" i="5"/>
  <c r="I1493" i="5"/>
  <c r="H1493" i="5"/>
  <c r="G1493" i="5"/>
  <c r="F1493" i="5"/>
  <c r="E1493" i="5"/>
  <c r="D1493" i="5"/>
  <c r="C1493" i="5"/>
  <c r="Q1488" i="5"/>
  <c r="R1488" i="5" s="1"/>
  <c r="E1488" i="5"/>
  <c r="D1488" i="5"/>
  <c r="G1484" i="5"/>
  <c r="E1481" i="5"/>
  <c r="Q1479" i="5"/>
  <c r="L1479" i="5"/>
  <c r="M1479" i="5" s="1"/>
  <c r="N1479" i="5" s="1"/>
  <c r="O1479" i="5" s="1"/>
  <c r="P1479" i="5" s="1"/>
  <c r="K1479" i="5"/>
  <c r="I1479" i="5"/>
  <c r="J1479" i="5" s="1"/>
  <c r="E1478" i="5"/>
  <c r="C1478" i="5"/>
  <c r="M1476" i="5"/>
  <c r="N1476" i="5" s="1"/>
  <c r="O1476" i="5" s="1"/>
  <c r="P1476" i="5" s="1"/>
  <c r="Q1476" i="5" s="1"/>
  <c r="R1476" i="5" s="1"/>
  <c r="L1476" i="5"/>
  <c r="K1476" i="5"/>
  <c r="I1476" i="5"/>
  <c r="J1476" i="5" s="1"/>
  <c r="E1475" i="5"/>
  <c r="E1484" i="5" s="1"/>
  <c r="E1542" i="5" s="1"/>
  <c r="N1470" i="5"/>
  <c r="O1470" i="5" s="1"/>
  <c r="P1470" i="5" s="1"/>
  <c r="Q1470" i="5" s="1"/>
  <c r="R1470" i="5" s="1"/>
  <c r="L1470" i="5"/>
  <c r="M1470" i="5" s="1"/>
  <c r="K1470" i="5"/>
  <c r="J1470" i="5"/>
  <c r="I1470" i="5"/>
  <c r="E1470" i="5"/>
  <c r="D1470" i="5"/>
  <c r="D1484" i="5" s="1"/>
  <c r="P1467" i="5"/>
  <c r="Q1467" i="5" s="1"/>
  <c r="R1467" i="5" s="1"/>
  <c r="K1467" i="5"/>
  <c r="L1467" i="5" s="1"/>
  <c r="M1467" i="5" s="1"/>
  <c r="N1467" i="5" s="1"/>
  <c r="O1467" i="5" s="1"/>
  <c r="J1467" i="5"/>
  <c r="I1467" i="5"/>
  <c r="Q1466" i="5"/>
  <c r="R1466" i="5" s="1"/>
  <c r="L1466" i="5"/>
  <c r="M1466" i="5" s="1"/>
  <c r="N1466" i="5" s="1"/>
  <c r="O1466" i="5" s="1"/>
  <c r="P1466" i="5" s="1"/>
  <c r="J1466" i="5"/>
  <c r="K1466" i="5" s="1"/>
  <c r="I1466" i="5"/>
  <c r="P1465" i="5"/>
  <c r="Q1465" i="5" s="1"/>
  <c r="R1465" i="5" s="1"/>
  <c r="O1465" i="5"/>
  <c r="N1465" i="5"/>
  <c r="M1465" i="5"/>
  <c r="R1460" i="5"/>
  <c r="M1460" i="5"/>
  <c r="N1460" i="5" s="1"/>
  <c r="O1460" i="5" s="1"/>
  <c r="P1460" i="5" s="1"/>
  <c r="Q1460" i="5" s="1"/>
  <c r="N1457" i="5"/>
  <c r="O1457" i="5" s="1"/>
  <c r="P1457" i="5" s="1"/>
  <c r="Q1457" i="5" s="1"/>
  <c r="R1457" i="5" s="1"/>
  <c r="L1457" i="5"/>
  <c r="M1457" i="5" s="1"/>
  <c r="K1457" i="5"/>
  <c r="J1457" i="5"/>
  <c r="I1457" i="5"/>
  <c r="E1456" i="5"/>
  <c r="J1455" i="5"/>
  <c r="K1455" i="5" s="1"/>
  <c r="L1455" i="5" s="1"/>
  <c r="M1455" i="5" s="1"/>
  <c r="N1455" i="5" s="1"/>
  <c r="O1455" i="5" s="1"/>
  <c r="P1455" i="5" s="1"/>
  <c r="Q1455" i="5" s="1"/>
  <c r="R1455" i="5" s="1"/>
  <c r="I1455" i="5"/>
  <c r="I1452" i="5"/>
  <c r="J1452" i="5" s="1"/>
  <c r="K1452" i="5" s="1"/>
  <c r="L1452" i="5" s="1"/>
  <c r="M1452" i="5" s="1"/>
  <c r="N1452" i="5" s="1"/>
  <c r="O1452" i="5" s="1"/>
  <c r="P1452" i="5" s="1"/>
  <c r="Q1452" i="5" s="1"/>
  <c r="R1452" i="5" s="1"/>
  <c r="I1451" i="5"/>
  <c r="J1451" i="5" s="1"/>
  <c r="K1451" i="5" s="1"/>
  <c r="L1451" i="5" s="1"/>
  <c r="M1451" i="5" s="1"/>
  <c r="N1451" i="5" s="1"/>
  <c r="O1451" i="5" s="1"/>
  <c r="P1451" i="5" s="1"/>
  <c r="Q1451" i="5" s="1"/>
  <c r="R1451" i="5" s="1"/>
  <c r="H1451" i="5"/>
  <c r="F1449" i="5"/>
  <c r="E1449" i="5"/>
  <c r="R1448" i="5"/>
  <c r="L1448" i="5"/>
  <c r="M1448" i="5" s="1"/>
  <c r="N1448" i="5" s="1"/>
  <c r="O1448" i="5" s="1"/>
  <c r="P1448" i="5" s="1"/>
  <c r="Q1448" i="5" s="1"/>
  <c r="K1448" i="5"/>
  <c r="J1448" i="5"/>
  <c r="I1448" i="5"/>
  <c r="M1447" i="5"/>
  <c r="N1447" i="5" s="1"/>
  <c r="O1447" i="5" s="1"/>
  <c r="P1447" i="5" s="1"/>
  <c r="Q1447" i="5" s="1"/>
  <c r="R1447" i="5" s="1"/>
  <c r="J1447" i="5"/>
  <c r="K1447" i="5" s="1"/>
  <c r="L1447" i="5" s="1"/>
  <c r="I1447" i="5"/>
  <c r="L1446" i="5"/>
  <c r="M1446" i="5" s="1"/>
  <c r="N1446" i="5" s="1"/>
  <c r="O1446" i="5" s="1"/>
  <c r="P1446" i="5" s="1"/>
  <c r="Q1446" i="5" s="1"/>
  <c r="R1446" i="5" s="1"/>
  <c r="J1446" i="5"/>
  <c r="K1446" i="5" s="1"/>
  <c r="H1446" i="5"/>
  <c r="I1446" i="5" s="1"/>
  <c r="M1445" i="5"/>
  <c r="N1445" i="5" s="1"/>
  <c r="O1445" i="5" s="1"/>
  <c r="P1445" i="5" s="1"/>
  <c r="Q1445" i="5" s="1"/>
  <c r="R1445" i="5" s="1"/>
  <c r="J1445" i="5"/>
  <c r="K1445" i="5" s="1"/>
  <c r="L1445" i="5" s="1"/>
  <c r="I1445" i="5"/>
  <c r="L1444" i="5"/>
  <c r="M1444" i="5" s="1"/>
  <c r="N1444" i="5" s="1"/>
  <c r="O1444" i="5" s="1"/>
  <c r="P1444" i="5" s="1"/>
  <c r="Q1444" i="5" s="1"/>
  <c r="R1444" i="5" s="1"/>
  <c r="I1444" i="5"/>
  <c r="J1444" i="5" s="1"/>
  <c r="K1444" i="5" s="1"/>
  <c r="Q1442" i="5"/>
  <c r="R1442" i="5" s="1"/>
  <c r="K1442" i="5"/>
  <c r="L1442" i="5" s="1"/>
  <c r="M1442" i="5" s="1"/>
  <c r="N1442" i="5" s="1"/>
  <c r="O1442" i="5" s="1"/>
  <c r="P1442" i="5" s="1"/>
  <c r="J1442" i="5"/>
  <c r="J1440" i="5"/>
  <c r="K1440" i="5" s="1"/>
  <c r="L1440" i="5" s="1"/>
  <c r="M1440" i="5" s="1"/>
  <c r="N1440" i="5" s="1"/>
  <c r="O1440" i="5" s="1"/>
  <c r="P1440" i="5" s="1"/>
  <c r="Q1440" i="5" s="1"/>
  <c r="R1440" i="5" s="1"/>
  <c r="I1440" i="5"/>
  <c r="H1439" i="5"/>
  <c r="D1439" i="5"/>
  <c r="J1438" i="5"/>
  <c r="I1438" i="5"/>
  <c r="F1438" i="5"/>
  <c r="F1484" i="5" s="1"/>
  <c r="D1438" i="5"/>
  <c r="C1438" i="5"/>
  <c r="C1484" i="5" s="1"/>
  <c r="H1433" i="5"/>
  <c r="G1433" i="5"/>
  <c r="F1433" i="5"/>
  <c r="E1433" i="5"/>
  <c r="C1433" i="5"/>
  <c r="K1430" i="5"/>
  <c r="L1430" i="5" s="1"/>
  <c r="M1430" i="5" s="1"/>
  <c r="N1430" i="5" s="1"/>
  <c r="O1430" i="5" s="1"/>
  <c r="P1430" i="5" s="1"/>
  <c r="Q1430" i="5" s="1"/>
  <c r="R1430" i="5" s="1"/>
  <c r="J1430" i="5"/>
  <c r="N1428" i="5"/>
  <c r="O1428" i="5" s="1"/>
  <c r="P1428" i="5" s="1"/>
  <c r="Q1428" i="5" s="1"/>
  <c r="R1428" i="5" s="1"/>
  <c r="J1428" i="5"/>
  <c r="K1428" i="5" s="1"/>
  <c r="L1428" i="5" s="1"/>
  <c r="M1428" i="5" s="1"/>
  <c r="I1428" i="5"/>
  <c r="J1426" i="5"/>
  <c r="K1426" i="5" s="1"/>
  <c r="L1426" i="5" s="1"/>
  <c r="M1426" i="5" s="1"/>
  <c r="N1426" i="5" s="1"/>
  <c r="O1426" i="5" s="1"/>
  <c r="P1426" i="5" s="1"/>
  <c r="Q1426" i="5" s="1"/>
  <c r="R1426" i="5" s="1"/>
  <c r="I1426" i="5"/>
  <c r="J1425" i="5"/>
  <c r="K1425" i="5" s="1"/>
  <c r="L1425" i="5" s="1"/>
  <c r="M1425" i="5" s="1"/>
  <c r="N1425" i="5" s="1"/>
  <c r="O1425" i="5" s="1"/>
  <c r="P1425" i="5" s="1"/>
  <c r="Q1425" i="5" s="1"/>
  <c r="R1425" i="5" s="1"/>
  <c r="I1425" i="5"/>
  <c r="Q1423" i="5"/>
  <c r="R1423" i="5" s="1"/>
  <c r="D1423" i="5"/>
  <c r="D1433" i="5" s="1"/>
  <c r="I1422" i="5"/>
  <c r="J1422" i="5" s="1"/>
  <c r="K1422" i="5" s="1"/>
  <c r="L1422" i="5" s="1"/>
  <c r="M1422" i="5" s="1"/>
  <c r="N1422" i="5" s="1"/>
  <c r="O1422" i="5" s="1"/>
  <c r="P1422" i="5" s="1"/>
  <c r="Q1422" i="5" s="1"/>
  <c r="R1422" i="5" s="1"/>
  <c r="I1421" i="5"/>
  <c r="J1421" i="5" s="1"/>
  <c r="K1421" i="5" s="1"/>
  <c r="L1421" i="5" s="1"/>
  <c r="M1421" i="5" s="1"/>
  <c r="N1421" i="5" s="1"/>
  <c r="O1421" i="5" s="1"/>
  <c r="P1421" i="5" s="1"/>
  <c r="Q1421" i="5" s="1"/>
  <c r="R1421" i="5" s="1"/>
  <c r="I1420" i="5"/>
  <c r="J1420" i="5" s="1"/>
  <c r="K1420" i="5" s="1"/>
  <c r="L1420" i="5" s="1"/>
  <c r="M1420" i="5" s="1"/>
  <c r="N1420" i="5" s="1"/>
  <c r="O1420" i="5" s="1"/>
  <c r="P1420" i="5" s="1"/>
  <c r="Q1420" i="5" s="1"/>
  <c r="R1420" i="5" s="1"/>
  <c r="K1419" i="5"/>
  <c r="L1419" i="5" s="1"/>
  <c r="M1419" i="5" s="1"/>
  <c r="N1419" i="5" s="1"/>
  <c r="O1419" i="5" s="1"/>
  <c r="P1419" i="5" s="1"/>
  <c r="Q1419" i="5" s="1"/>
  <c r="R1419" i="5" s="1"/>
  <c r="I1419" i="5"/>
  <c r="J1419" i="5" s="1"/>
  <c r="J1418" i="5"/>
  <c r="K1418" i="5" s="1"/>
  <c r="L1418" i="5" s="1"/>
  <c r="M1418" i="5" s="1"/>
  <c r="N1418" i="5" s="1"/>
  <c r="O1418" i="5" s="1"/>
  <c r="P1418" i="5" s="1"/>
  <c r="Q1418" i="5" s="1"/>
  <c r="R1418" i="5" s="1"/>
  <c r="I1418" i="5"/>
  <c r="Q1417" i="5"/>
  <c r="R1417" i="5" s="1"/>
  <c r="I1417" i="5"/>
  <c r="J1417" i="5" s="1"/>
  <c r="K1417" i="5" s="1"/>
  <c r="L1417" i="5" s="1"/>
  <c r="M1417" i="5" s="1"/>
  <c r="N1417" i="5" s="1"/>
  <c r="O1417" i="5" s="1"/>
  <c r="P1417" i="5" s="1"/>
  <c r="K1416" i="5"/>
  <c r="L1416" i="5" s="1"/>
  <c r="M1416" i="5" s="1"/>
  <c r="N1416" i="5" s="1"/>
  <c r="O1416" i="5" s="1"/>
  <c r="P1416" i="5" s="1"/>
  <c r="Q1416" i="5" s="1"/>
  <c r="R1416" i="5" s="1"/>
  <c r="I1416" i="5"/>
  <c r="J1416" i="5" s="1"/>
  <c r="K1414" i="5"/>
  <c r="L1414" i="5" s="1"/>
  <c r="M1414" i="5" s="1"/>
  <c r="N1414" i="5" s="1"/>
  <c r="O1414" i="5" s="1"/>
  <c r="P1414" i="5" s="1"/>
  <c r="Q1414" i="5" s="1"/>
  <c r="R1414" i="5" s="1"/>
  <c r="I1414" i="5"/>
  <c r="J1414" i="5" s="1"/>
  <c r="J1412" i="5"/>
  <c r="K1412" i="5" s="1"/>
  <c r="L1412" i="5" s="1"/>
  <c r="M1412" i="5" s="1"/>
  <c r="N1412" i="5" s="1"/>
  <c r="O1412" i="5" s="1"/>
  <c r="P1412" i="5" s="1"/>
  <c r="Q1412" i="5" s="1"/>
  <c r="R1412" i="5" s="1"/>
  <c r="I1412" i="5"/>
  <c r="O1411" i="5"/>
  <c r="P1411" i="5" s="1"/>
  <c r="Q1411" i="5" s="1"/>
  <c r="R1411" i="5" s="1"/>
  <c r="I1411" i="5"/>
  <c r="J1411" i="5" s="1"/>
  <c r="K1411" i="5" s="1"/>
  <c r="L1411" i="5" s="1"/>
  <c r="M1411" i="5" s="1"/>
  <c r="N1411" i="5" s="1"/>
  <c r="I1409" i="5"/>
  <c r="H1396" i="5"/>
  <c r="C1396" i="5"/>
  <c r="R1393" i="5"/>
  <c r="Q1393" i="5"/>
  <c r="E1393" i="5"/>
  <c r="D1393" i="5"/>
  <c r="R1387" i="5"/>
  <c r="Q1387" i="5"/>
  <c r="E1387" i="5"/>
  <c r="D1387" i="5"/>
  <c r="H1381" i="5"/>
  <c r="G1381" i="5"/>
  <c r="G1396" i="5" s="1"/>
  <c r="F1381" i="5"/>
  <c r="F1396" i="5" s="1"/>
  <c r="E1381" i="5"/>
  <c r="D1381" i="5"/>
  <c r="D1396" i="5" s="1"/>
  <c r="C1381" i="5"/>
  <c r="I1375" i="5"/>
  <c r="J1375" i="5" s="1"/>
  <c r="K1375" i="5" s="1"/>
  <c r="L1375" i="5" s="1"/>
  <c r="M1375" i="5" s="1"/>
  <c r="N1375" i="5" s="1"/>
  <c r="O1375" i="5" s="1"/>
  <c r="P1375" i="5" s="1"/>
  <c r="Q1375" i="5" s="1"/>
  <c r="R1375" i="5" s="1"/>
  <c r="I1372" i="5"/>
  <c r="J1372" i="5" s="1"/>
  <c r="K1372" i="5" s="1"/>
  <c r="L1372" i="5" s="1"/>
  <c r="M1372" i="5" s="1"/>
  <c r="N1372" i="5" s="1"/>
  <c r="O1372" i="5" s="1"/>
  <c r="P1372" i="5" s="1"/>
  <c r="Q1372" i="5" s="1"/>
  <c r="R1372" i="5" s="1"/>
  <c r="K1360" i="5"/>
  <c r="L1360" i="5" s="1"/>
  <c r="M1360" i="5" s="1"/>
  <c r="N1360" i="5" s="1"/>
  <c r="O1360" i="5" s="1"/>
  <c r="P1360" i="5" s="1"/>
  <c r="Q1360" i="5" s="1"/>
  <c r="R1360" i="5" s="1"/>
  <c r="I1360" i="5"/>
  <c r="J1360" i="5" s="1"/>
  <c r="J1359" i="5"/>
  <c r="K1359" i="5" s="1"/>
  <c r="I1359" i="5"/>
  <c r="H1353" i="5"/>
  <c r="E1353" i="5"/>
  <c r="E1396" i="5" s="1"/>
  <c r="D1353" i="5"/>
  <c r="C1353" i="5"/>
  <c r="I1351" i="5"/>
  <c r="I1353" i="5" s="1"/>
  <c r="E1344" i="5"/>
  <c r="R1342" i="5"/>
  <c r="Q1342" i="5"/>
  <c r="P1342" i="5"/>
  <c r="O1342" i="5"/>
  <c r="N1342" i="5"/>
  <c r="M1342" i="5"/>
  <c r="L1342" i="5"/>
  <c r="K1342" i="5"/>
  <c r="J1342" i="5"/>
  <c r="I1342" i="5"/>
  <c r="I1344" i="5" s="1"/>
  <c r="H1342" i="5"/>
  <c r="G1342" i="5"/>
  <c r="G1344" i="5" s="1"/>
  <c r="F1342" i="5"/>
  <c r="E1342" i="5"/>
  <c r="D1342" i="5"/>
  <c r="C1342" i="5"/>
  <c r="C1344" i="5" s="1"/>
  <c r="R1318" i="5"/>
  <c r="Q1318" i="5"/>
  <c r="E1318" i="5"/>
  <c r="D1318" i="5"/>
  <c r="C1318" i="5"/>
  <c r="I1312" i="5"/>
  <c r="H1312" i="5"/>
  <c r="H1344" i="5" s="1"/>
  <c r="G1312" i="5"/>
  <c r="F1312" i="5"/>
  <c r="D1312" i="5"/>
  <c r="C1312" i="5"/>
  <c r="R1287" i="5"/>
  <c r="Q1287" i="5"/>
  <c r="J1286" i="5"/>
  <c r="J1312" i="5" s="1"/>
  <c r="I1286" i="5"/>
  <c r="R1275" i="5"/>
  <c r="Q1275" i="5"/>
  <c r="E1275" i="5"/>
  <c r="D1275" i="5"/>
  <c r="R1274" i="5"/>
  <c r="Q1274" i="5"/>
  <c r="E1274" i="5"/>
  <c r="E1312" i="5" s="1"/>
  <c r="D1274" i="5"/>
  <c r="R1267" i="5"/>
  <c r="Q1267" i="5"/>
  <c r="P1267" i="5"/>
  <c r="O1267" i="5"/>
  <c r="N1267" i="5"/>
  <c r="M1267" i="5"/>
  <c r="L1267" i="5"/>
  <c r="K1267" i="5"/>
  <c r="J1267" i="5"/>
  <c r="I1267" i="5"/>
  <c r="H1267" i="5"/>
  <c r="G1267" i="5"/>
  <c r="F1267" i="5"/>
  <c r="E1267" i="5"/>
  <c r="D1267" i="5"/>
  <c r="C1267" i="5"/>
  <c r="R1229" i="5"/>
  <c r="Q1229" i="5"/>
  <c r="F1229" i="5"/>
  <c r="E1229" i="5"/>
  <c r="D1229" i="5"/>
  <c r="C1229" i="5"/>
  <c r="G1221" i="5"/>
  <c r="G1231" i="5" s="1"/>
  <c r="D1221" i="5"/>
  <c r="D1231" i="5" s="1"/>
  <c r="O1217" i="5"/>
  <c r="P1217" i="5" s="1"/>
  <c r="Q1217" i="5" s="1"/>
  <c r="R1217" i="5" s="1"/>
  <c r="J1217" i="5"/>
  <c r="K1217" i="5" s="1"/>
  <c r="L1217" i="5" s="1"/>
  <c r="M1217" i="5" s="1"/>
  <c r="N1217" i="5" s="1"/>
  <c r="I1217" i="5"/>
  <c r="J1215" i="5"/>
  <c r="K1215" i="5" s="1"/>
  <c r="L1215" i="5" s="1"/>
  <c r="M1215" i="5" s="1"/>
  <c r="N1215" i="5" s="1"/>
  <c r="O1215" i="5" s="1"/>
  <c r="P1215" i="5" s="1"/>
  <c r="Q1215" i="5" s="1"/>
  <c r="R1215" i="5" s="1"/>
  <c r="I1215" i="5"/>
  <c r="C1214" i="5"/>
  <c r="Q1211" i="5"/>
  <c r="R1211" i="5" s="1"/>
  <c r="E1211" i="5"/>
  <c r="E1221" i="5" s="1"/>
  <c r="K1210" i="5"/>
  <c r="L1210" i="5" s="1"/>
  <c r="M1210" i="5" s="1"/>
  <c r="N1210" i="5" s="1"/>
  <c r="O1210" i="5" s="1"/>
  <c r="P1210" i="5" s="1"/>
  <c r="Q1210" i="5" s="1"/>
  <c r="R1210" i="5" s="1"/>
  <c r="J1210" i="5"/>
  <c r="I1210" i="5"/>
  <c r="C1210" i="5"/>
  <c r="C1221" i="5" s="1"/>
  <c r="F1207" i="5"/>
  <c r="F1221" i="5" s="1"/>
  <c r="D1207" i="5"/>
  <c r="I1206" i="5"/>
  <c r="J1206" i="5" s="1"/>
  <c r="K1206" i="5" s="1"/>
  <c r="L1206" i="5" s="1"/>
  <c r="M1206" i="5" s="1"/>
  <c r="N1206" i="5" s="1"/>
  <c r="O1206" i="5" s="1"/>
  <c r="P1206" i="5" s="1"/>
  <c r="Q1206" i="5" s="1"/>
  <c r="R1206" i="5" s="1"/>
  <c r="I1205" i="5"/>
  <c r="J1205" i="5" s="1"/>
  <c r="K1205" i="5" s="1"/>
  <c r="L1205" i="5" s="1"/>
  <c r="M1205" i="5" s="1"/>
  <c r="N1205" i="5" s="1"/>
  <c r="O1205" i="5" s="1"/>
  <c r="P1205" i="5" s="1"/>
  <c r="Q1205" i="5" s="1"/>
  <c r="R1205" i="5" s="1"/>
  <c r="K1204" i="5"/>
  <c r="L1204" i="5" s="1"/>
  <c r="M1204" i="5" s="1"/>
  <c r="N1204" i="5" s="1"/>
  <c r="O1204" i="5" s="1"/>
  <c r="P1204" i="5" s="1"/>
  <c r="Q1204" i="5" s="1"/>
  <c r="R1204" i="5" s="1"/>
  <c r="I1204" i="5"/>
  <c r="J1204" i="5" s="1"/>
  <c r="J1202" i="5"/>
  <c r="K1202" i="5" s="1"/>
  <c r="L1202" i="5" s="1"/>
  <c r="M1202" i="5" s="1"/>
  <c r="N1202" i="5" s="1"/>
  <c r="O1202" i="5" s="1"/>
  <c r="P1202" i="5" s="1"/>
  <c r="Q1202" i="5" s="1"/>
  <c r="R1202" i="5" s="1"/>
  <c r="I1202" i="5"/>
  <c r="L1201" i="5"/>
  <c r="M1201" i="5" s="1"/>
  <c r="N1201" i="5" s="1"/>
  <c r="O1201" i="5" s="1"/>
  <c r="P1201" i="5" s="1"/>
  <c r="Q1201" i="5" s="1"/>
  <c r="R1201" i="5" s="1"/>
  <c r="I1201" i="5"/>
  <c r="J1201" i="5" s="1"/>
  <c r="K1201" i="5" s="1"/>
  <c r="K1200" i="5"/>
  <c r="L1200" i="5" s="1"/>
  <c r="M1200" i="5" s="1"/>
  <c r="N1200" i="5" s="1"/>
  <c r="O1200" i="5" s="1"/>
  <c r="P1200" i="5" s="1"/>
  <c r="Q1200" i="5" s="1"/>
  <c r="R1200" i="5" s="1"/>
  <c r="I1200" i="5"/>
  <c r="J1200" i="5" s="1"/>
  <c r="K1197" i="5"/>
  <c r="L1197" i="5" s="1"/>
  <c r="M1197" i="5" s="1"/>
  <c r="N1197" i="5" s="1"/>
  <c r="O1197" i="5" s="1"/>
  <c r="P1197" i="5" s="1"/>
  <c r="Q1197" i="5" s="1"/>
  <c r="R1197" i="5" s="1"/>
  <c r="I1197" i="5"/>
  <c r="J1197" i="5" s="1"/>
  <c r="M1196" i="5"/>
  <c r="N1196" i="5" s="1"/>
  <c r="O1196" i="5" s="1"/>
  <c r="P1196" i="5" s="1"/>
  <c r="Q1196" i="5" s="1"/>
  <c r="R1196" i="5" s="1"/>
  <c r="J1196" i="5"/>
  <c r="K1196" i="5" s="1"/>
  <c r="L1196" i="5" s="1"/>
  <c r="I1196" i="5"/>
  <c r="I1195" i="5"/>
  <c r="J1195" i="5" s="1"/>
  <c r="K1195" i="5" s="1"/>
  <c r="L1195" i="5" s="1"/>
  <c r="M1195" i="5" s="1"/>
  <c r="N1195" i="5" s="1"/>
  <c r="O1195" i="5" s="1"/>
  <c r="P1195" i="5" s="1"/>
  <c r="Q1195" i="5" s="1"/>
  <c r="R1195" i="5" s="1"/>
  <c r="I1194" i="5"/>
  <c r="J1194" i="5" s="1"/>
  <c r="K1194" i="5" s="1"/>
  <c r="L1194" i="5" s="1"/>
  <c r="M1194" i="5" s="1"/>
  <c r="N1194" i="5" s="1"/>
  <c r="O1194" i="5" s="1"/>
  <c r="P1194" i="5" s="1"/>
  <c r="Q1194" i="5" s="1"/>
  <c r="R1194" i="5" s="1"/>
  <c r="M1193" i="5"/>
  <c r="N1193" i="5" s="1"/>
  <c r="O1193" i="5" s="1"/>
  <c r="P1193" i="5" s="1"/>
  <c r="Q1193" i="5" s="1"/>
  <c r="R1193" i="5" s="1"/>
  <c r="K1193" i="5"/>
  <c r="L1193" i="5" s="1"/>
  <c r="I1193" i="5"/>
  <c r="J1193" i="5" s="1"/>
  <c r="O1192" i="5"/>
  <c r="P1192" i="5" s="1"/>
  <c r="Q1192" i="5" s="1"/>
  <c r="R1192" i="5" s="1"/>
  <c r="J1192" i="5"/>
  <c r="K1192" i="5" s="1"/>
  <c r="L1192" i="5" s="1"/>
  <c r="M1192" i="5" s="1"/>
  <c r="N1192" i="5" s="1"/>
  <c r="I1192" i="5"/>
  <c r="C1191" i="5"/>
  <c r="I1190" i="5"/>
  <c r="J1190" i="5" s="1"/>
  <c r="K1190" i="5" s="1"/>
  <c r="L1190" i="5" s="1"/>
  <c r="M1190" i="5" s="1"/>
  <c r="N1190" i="5" s="1"/>
  <c r="O1190" i="5" s="1"/>
  <c r="P1190" i="5" s="1"/>
  <c r="Q1190" i="5" s="1"/>
  <c r="R1190" i="5" s="1"/>
  <c r="K1189" i="5"/>
  <c r="L1189" i="5" s="1"/>
  <c r="M1189" i="5" s="1"/>
  <c r="N1189" i="5" s="1"/>
  <c r="O1189" i="5" s="1"/>
  <c r="P1189" i="5" s="1"/>
  <c r="Q1189" i="5" s="1"/>
  <c r="R1189" i="5" s="1"/>
  <c r="J1189" i="5"/>
  <c r="I1189" i="5"/>
  <c r="D1189" i="5"/>
  <c r="I1188" i="5"/>
  <c r="J1188" i="5" s="1"/>
  <c r="K1188" i="5" s="1"/>
  <c r="L1188" i="5" s="1"/>
  <c r="M1188" i="5" s="1"/>
  <c r="N1188" i="5" s="1"/>
  <c r="O1188" i="5" s="1"/>
  <c r="P1188" i="5" s="1"/>
  <c r="Q1188" i="5" s="1"/>
  <c r="R1188" i="5" s="1"/>
  <c r="Q1187" i="5"/>
  <c r="R1187" i="5" s="1"/>
  <c r="K1185" i="5"/>
  <c r="L1185" i="5" s="1"/>
  <c r="M1185" i="5" s="1"/>
  <c r="N1185" i="5" s="1"/>
  <c r="O1185" i="5" s="1"/>
  <c r="P1185" i="5" s="1"/>
  <c r="Q1185" i="5" s="1"/>
  <c r="R1185" i="5" s="1"/>
  <c r="I1185" i="5"/>
  <c r="J1185" i="5" s="1"/>
  <c r="O1183" i="5"/>
  <c r="P1183" i="5" s="1"/>
  <c r="Q1183" i="5" s="1"/>
  <c r="R1183" i="5" s="1"/>
  <c r="I1183" i="5"/>
  <c r="J1183" i="5" s="1"/>
  <c r="K1183" i="5" s="1"/>
  <c r="L1183" i="5" s="1"/>
  <c r="M1183" i="5" s="1"/>
  <c r="N1183" i="5" s="1"/>
  <c r="I1182" i="5"/>
  <c r="H1182" i="5"/>
  <c r="H1221" i="5" s="1"/>
  <c r="H1231" i="5" s="1"/>
  <c r="H1177" i="5"/>
  <c r="G1177" i="5"/>
  <c r="F1177" i="5"/>
  <c r="D1177" i="5"/>
  <c r="L1175" i="5"/>
  <c r="M1175" i="5" s="1"/>
  <c r="N1175" i="5" s="1"/>
  <c r="O1175" i="5" s="1"/>
  <c r="P1175" i="5" s="1"/>
  <c r="Q1175" i="5" s="1"/>
  <c r="R1175" i="5" s="1"/>
  <c r="I1175" i="5"/>
  <c r="J1175" i="5" s="1"/>
  <c r="K1175" i="5" s="1"/>
  <c r="P1173" i="5"/>
  <c r="Q1173" i="5" s="1"/>
  <c r="R1173" i="5" s="1"/>
  <c r="K1173" i="5"/>
  <c r="L1173" i="5" s="1"/>
  <c r="M1173" i="5" s="1"/>
  <c r="N1173" i="5" s="1"/>
  <c r="O1173" i="5" s="1"/>
  <c r="J1173" i="5"/>
  <c r="I1173" i="5"/>
  <c r="I1172" i="5"/>
  <c r="J1172" i="5" s="1"/>
  <c r="K1172" i="5" s="1"/>
  <c r="L1172" i="5" s="1"/>
  <c r="M1172" i="5" s="1"/>
  <c r="N1172" i="5" s="1"/>
  <c r="O1172" i="5" s="1"/>
  <c r="P1172" i="5" s="1"/>
  <c r="Q1172" i="5" s="1"/>
  <c r="R1172" i="5" s="1"/>
  <c r="K1168" i="5"/>
  <c r="L1168" i="5" s="1"/>
  <c r="M1168" i="5" s="1"/>
  <c r="N1168" i="5" s="1"/>
  <c r="O1168" i="5" s="1"/>
  <c r="P1168" i="5" s="1"/>
  <c r="Q1168" i="5" s="1"/>
  <c r="R1168" i="5" s="1"/>
  <c r="J1168" i="5"/>
  <c r="I1168" i="5"/>
  <c r="L1167" i="5"/>
  <c r="M1167" i="5" s="1"/>
  <c r="N1167" i="5" s="1"/>
  <c r="O1167" i="5" s="1"/>
  <c r="P1167" i="5" s="1"/>
  <c r="Q1167" i="5" s="1"/>
  <c r="R1167" i="5" s="1"/>
  <c r="I1167" i="5"/>
  <c r="J1167" i="5" s="1"/>
  <c r="K1167" i="5" s="1"/>
  <c r="P1166" i="5"/>
  <c r="Q1166" i="5" s="1"/>
  <c r="R1166" i="5" s="1"/>
  <c r="K1166" i="5"/>
  <c r="L1166" i="5" s="1"/>
  <c r="M1166" i="5" s="1"/>
  <c r="N1166" i="5" s="1"/>
  <c r="O1166" i="5" s="1"/>
  <c r="J1166" i="5"/>
  <c r="I1166" i="5"/>
  <c r="I1165" i="5"/>
  <c r="J1165" i="5" s="1"/>
  <c r="K1165" i="5" s="1"/>
  <c r="L1165" i="5" s="1"/>
  <c r="M1165" i="5" s="1"/>
  <c r="N1165" i="5" s="1"/>
  <c r="O1165" i="5" s="1"/>
  <c r="P1165" i="5" s="1"/>
  <c r="Q1165" i="5" s="1"/>
  <c r="R1165" i="5" s="1"/>
  <c r="K1164" i="5"/>
  <c r="L1164" i="5" s="1"/>
  <c r="M1164" i="5" s="1"/>
  <c r="N1164" i="5" s="1"/>
  <c r="O1164" i="5" s="1"/>
  <c r="P1164" i="5" s="1"/>
  <c r="Q1164" i="5" s="1"/>
  <c r="R1164" i="5" s="1"/>
  <c r="J1164" i="5"/>
  <c r="I1164" i="5"/>
  <c r="F1164" i="5"/>
  <c r="E1164" i="5"/>
  <c r="D1164" i="5"/>
  <c r="C1164" i="5"/>
  <c r="I1163" i="5"/>
  <c r="I1177" i="5" s="1"/>
  <c r="F1163" i="5"/>
  <c r="E1163" i="5"/>
  <c r="D1163" i="5"/>
  <c r="C1163" i="5"/>
  <c r="K1162" i="5"/>
  <c r="J1162" i="5"/>
  <c r="I1162" i="5"/>
  <c r="F1162" i="5"/>
  <c r="E1162" i="5"/>
  <c r="D1162" i="5"/>
  <c r="C1162" i="5"/>
  <c r="C1177" i="5" s="1"/>
  <c r="F1153" i="5"/>
  <c r="H1151" i="5"/>
  <c r="G1151" i="5"/>
  <c r="F1151" i="5"/>
  <c r="D1151" i="5"/>
  <c r="I1149" i="5"/>
  <c r="I1151" i="5" s="1"/>
  <c r="L1148" i="5"/>
  <c r="M1148" i="5" s="1"/>
  <c r="N1148" i="5" s="1"/>
  <c r="O1148" i="5" s="1"/>
  <c r="P1148" i="5" s="1"/>
  <c r="Q1148" i="5" s="1"/>
  <c r="R1148" i="5" s="1"/>
  <c r="J1148" i="5"/>
  <c r="K1148" i="5" s="1"/>
  <c r="I1148" i="5"/>
  <c r="E1148" i="5"/>
  <c r="E1151" i="5" s="1"/>
  <c r="C1148" i="5"/>
  <c r="C1151" i="5" s="1"/>
  <c r="J1146" i="5"/>
  <c r="K1146" i="5" s="1"/>
  <c r="L1146" i="5" s="1"/>
  <c r="M1146" i="5" s="1"/>
  <c r="N1146" i="5" s="1"/>
  <c r="O1146" i="5" s="1"/>
  <c r="P1146" i="5" s="1"/>
  <c r="Q1146" i="5" s="1"/>
  <c r="R1146" i="5" s="1"/>
  <c r="I1146" i="5"/>
  <c r="J1144" i="5"/>
  <c r="I1144" i="5"/>
  <c r="G1141" i="5"/>
  <c r="G1153" i="5" s="1"/>
  <c r="F1141" i="5"/>
  <c r="D1141" i="5"/>
  <c r="D1153" i="5" s="1"/>
  <c r="C1141" i="5"/>
  <c r="C1153" i="5" s="1"/>
  <c r="R1137" i="5"/>
  <c r="Q1137" i="5"/>
  <c r="E1137" i="5"/>
  <c r="D1137" i="5"/>
  <c r="R1136" i="5"/>
  <c r="Q1136" i="5"/>
  <c r="E1136" i="5"/>
  <c r="D1136" i="5"/>
  <c r="J1135" i="5"/>
  <c r="K1135" i="5" s="1"/>
  <c r="L1135" i="5" s="1"/>
  <c r="M1135" i="5" s="1"/>
  <c r="N1135" i="5" s="1"/>
  <c r="O1135" i="5" s="1"/>
  <c r="P1135" i="5" s="1"/>
  <c r="Q1135" i="5" s="1"/>
  <c r="R1135" i="5" s="1"/>
  <c r="I1135" i="5"/>
  <c r="P1134" i="5"/>
  <c r="Q1134" i="5" s="1"/>
  <c r="R1134" i="5" s="1"/>
  <c r="J1134" i="5"/>
  <c r="K1134" i="5" s="1"/>
  <c r="L1134" i="5" s="1"/>
  <c r="M1134" i="5" s="1"/>
  <c r="N1134" i="5" s="1"/>
  <c r="O1134" i="5" s="1"/>
  <c r="I1134" i="5"/>
  <c r="J1133" i="5"/>
  <c r="K1133" i="5" s="1"/>
  <c r="L1133" i="5" s="1"/>
  <c r="M1133" i="5" s="1"/>
  <c r="N1133" i="5" s="1"/>
  <c r="O1133" i="5" s="1"/>
  <c r="P1133" i="5" s="1"/>
  <c r="Q1133" i="5" s="1"/>
  <c r="R1133" i="5" s="1"/>
  <c r="I1133" i="5"/>
  <c r="P1132" i="5"/>
  <c r="Q1132" i="5" s="1"/>
  <c r="R1132" i="5" s="1"/>
  <c r="J1132" i="5"/>
  <c r="K1132" i="5" s="1"/>
  <c r="L1132" i="5" s="1"/>
  <c r="M1132" i="5" s="1"/>
  <c r="N1132" i="5" s="1"/>
  <c r="O1132" i="5" s="1"/>
  <c r="I1132" i="5"/>
  <c r="J1131" i="5"/>
  <c r="K1131" i="5" s="1"/>
  <c r="L1131" i="5" s="1"/>
  <c r="M1131" i="5" s="1"/>
  <c r="N1131" i="5" s="1"/>
  <c r="O1131" i="5" s="1"/>
  <c r="P1131" i="5" s="1"/>
  <c r="Q1131" i="5" s="1"/>
  <c r="R1131" i="5" s="1"/>
  <c r="H1131" i="5"/>
  <c r="I1131" i="5" s="1"/>
  <c r="E1131" i="5"/>
  <c r="K1130" i="5"/>
  <c r="L1130" i="5" s="1"/>
  <c r="M1130" i="5" s="1"/>
  <c r="N1130" i="5" s="1"/>
  <c r="O1130" i="5" s="1"/>
  <c r="P1130" i="5" s="1"/>
  <c r="Q1130" i="5" s="1"/>
  <c r="R1130" i="5" s="1"/>
  <c r="J1130" i="5"/>
  <c r="I1130" i="5"/>
  <c r="L1129" i="5"/>
  <c r="M1129" i="5" s="1"/>
  <c r="N1129" i="5" s="1"/>
  <c r="O1129" i="5" s="1"/>
  <c r="P1129" i="5" s="1"/>
  <c r="Q1129" i="5" s="1"/>
  <c r="R1129" i="5" s="1"/>
  <c r="I1129" i="5"/>
  <c r="J1129" i="5" s="1"/>
  <c r="K1129" i="5" s="1"/>
  <c r="P1128" i="5"/>
  <c r="Q1128" i="5" s="1"/>
  <c r="R1128" i="5" s="1"/>
  <c r="K1128" i="5"/>
  <c r="L1128" i="5" s="1"/>
  <c r="M1128" i="5" s="1"/>
  <c r="N1128" i="5" s="1"/>
  <c r="O1128" i="5" s="1"/>
  <c r="J1128" i="5"/>
  <c r="I1128" i="5"/>
  <c r="Q1127" i="5"/>
  <c r="R1127" i="5" s="1"/>
  <c r="I1127" i="5"/>
  <c r="J1127" i="5" s="1"/>
  <c r="K1127" i="5" s="1"/>
  <c r="L1127" i="5" s="1"/>
  <c r="M1127" i="5" s="1"/>
  <c r="N1127" i="5" s="1"/>
  <c r="O1127" i="5" s="1"/>
  <c r="P1127" i="5" s="1"/>
  <c r="K1125" i="5"/>
  <c r="L1125" i="5" s="1"/>
  <c r="M1125" i="5" s="1"/>
  <c r="N1125" i="5" s="1"/>
  <c r="O1125" i="5" s="1"/>
  <c r="P1125" i="5" s="1"/>
  <c r="Q1125" i="5" s="1"/>
  <c r="R1125" i="5" s="1"/>
  <c r="J1125" i="5"/>
  <c r="I1125" i="5"/>
  <c r="I1123" i="5"/>
  <c r="I1141" i="5" s="1"/>
  <c r="F1118" i="5"/>
  <c r="F1155" i="5" s="1"/>
  <c r="H1116" i="5"/>
  <c r="H1118" i="5" s="1"/>
  <c r="G1116" i="5"/>
  <c r="G1118" i="5" s="1"/>
  <c r="F1116" i="5"/>
  <c r="E1116" i="5"/>
  <c r="D1116" i="5"/>
  <c r="D1118" i="5" s="1"/>
  <c r="R1114" i="5"/>
  <c r="J1114" i="5"/>
  <c r="K1114" i="5" s="1"/>
  <c r="L1114" i="5" s="1"/>
  <c r="M1114" i="5" s="1"/>
  <c r="N1114" i="5" s="1"/>
  <c r="O1114" i="5" s="1"/>
  <c r="P1114" i="5" s="1"/>
  <c r="Q1114" i="5" s="1"/>
  <c r="I1114" i="5"/>
  <c r="R1113" i="5"/>
  <c r="I1113" i="5"/>
  <c r="J1113" i="5" s="1"/>
  <c r="K1113" i="5" s="1"/>
  <c r="L1113" i="5" s="1"/>
  <c r="M1113" i="5" s="1"/>
  <c r="N1113" i="5" s="1"/>
  <c r="O1113" i="5" s="1"/>
  <c r="P1113" i="5" s="1"/>
  <c r="Q1113" i="5" s="1"/>
  <c r="L1112" i="5"/>
  <c r="M1112" i="5" s="1"/>
  <c r="N1112" i="5" s="1"/>
  <c r="O1112" i="5" s="1"/>
  <c r="P1112" i="5" s="1"/>
  <c r="Q1112" i="5" s="1"/>
  <c r="R1112" i="5" s="1"/>
  <c r="J1112" i="5"/>
  <c r="K1112" i="5" s="1"/>
  <c r="I1112" i="5"/>
  <c r="M1111" i="5"/>
  <c r="N1111" i="5" s="1"/>
  <c r="O1111" i="5" s="1"/>
  <c r="P1111" i="5" s="1"/>
  <c r="Q1111" i="5" s="1"/>
  <c r="R1111" i="5" s="1"/>
  <c r="I1111" i="5"/>
  <c r="J1111" i="5" s="1"/>
  <c r="K1111" i="5" s="1"/>
  <c r="L1111" i="5" s="1"/>
  <c r="J1110" i="5"/>
  <c r="J1116" i="5" s="1"/>
  <c r="I1110" i="5"/>
  <c r="I1116" i="5" s="1"/>
  <c r="C1110" i="5"/>
  <c r="C1116" i="5" s="1"/>
  <c r="I1107" i="5"/>
  <c r="I1118" i="5" s="1"/>
  <c r="H1107" i="5"/>
  <c r="G1107" i="5"/>
  <c r="F1107" i="5"/>
  <c r="E1107" i="5"/>
  <c r="E1118" i="5" s="1"/>
  <c r="D1107" i="5"/>
  <c r="C1107" i="5"/>
  <c r="C1118" i="5" s="1"/>
  <c r="K1104" i="5"/>
  <c r="L1104" i="5" s="1"/>
  <c r="M1104" i="5" s="1"/>
  <c r="N1104" i="5" s="1"/>
  <c r="O1104" i="5" s="1"/>
  <c r="P1104" i="5" s="1"/>
  <c r="Q1104" i="5" s="1"/>
  <c r="R1104" i="5" s="1"/>
  <c r="I1104" i="5"/>
  <c r="J1104" i="5" s="1"/>
  <c r="P1102" i="5"/>
  <c r="Q1102" i="5" s="1"/>
  <c r="R1102" i="5" s="1"/>
  <c r="K1102" i="5"/>
  <c r="L1102" i="5" s="1"/>
  <c r="M1102" i="5" s="1"/>
  <c r="N1102" i="5" s="1"/>
  <c r="O1102" i="5" s="1"/>
  <c r="I1102" i="5"/>
  <c r="J1102" i="5" s="1"/>
  <c r="J1101" i="5"/>
  <c r="K1101" i="5" s="1"/>
  <c r="L1101" i="5" s="1"/>
  <c r="M1101" i="5" s="1"/>
  <c r="N1101" i="5" s="1"/>
  <c r="O1101" i="5" s="1"/>
  <c r="P1101" i="5" s="1"/>
  <c r="Q1101" i="5" s="1"/>
  <c r="R1101" i="5" s="1"/>
  <c r="I1101" i="5"/>
  <c r="I1100" i="5"/>
  <c r="J1100" i="5" s="1"/>
  <c r="I1088" i="5"/>
  <c r="C1088" i="5"/>
  <c r="I1086" i="5"/>
  <c r="H1086" i="5"/>
  <c r="G1086" i="5"/>
  <c r="G1088" i="5" s="1"/>
  <c r="F1086" i="5"/>
  <c r="F1088" i="5" s="1"/>
  <c r="C1086" i="5"/>
  <c r="J1084" i="5"/>
  <c r="I1084" i="5"/>
  <c r="D1082" i="5"/>
  <c r="K1081" i="5"/>
  <c r="J1081" i="5"/>
  <c r="H1076" i="5"/>
  <c r="G1076" i="5"/>
  <c r="F1076" i="5"/>
  <c r="E1076" i="5"/>
  <c r="D1076" i="5"/>
  <c r="C1076" i="5"/>
  <c r="P1074" i="5"/>
  <c r="Q1074" i="5" s="1"/>
  <c r="R1074" i="5" s="1"/>
  <c r="K1074" i="5"/>
  <c r="L1074" i="5" s="1"/>
  <c r="M1074" i="5" s="1"/>
  <c r="N1074" i="5" s="1"/>
  <c r="O1074" i="5" s="1"/>
  <c r="J1074" i="5"/>
  <c r="I1074" i="5"/>
  <c r="I1072" i="5"/>
  <c r="I1076" i="5" s="1"/>
  <c r="G1066" i="5"/>
  <c r="F1066" i="5"/>
  <c r="R1064" i="5"/>
  <c r="Q1064" i="5"/>
  <c r="P1064" i="5"/>
  <c r="O1064" i="5"/>
  <c r="N1064" i="5"/>
  <c r="M1064" i="5"/>
  <c r="L1064" i="5"/>
  <c r="K1064" i="5"/>
  <c r="J1064" i="5"/>
  <c r="I1064" i="5"/>
  <c r="H1064" i="5"/>
  <c r="G1064" i="5"/>
  <c r="F1064" i="5"/>
  <c r="E1064" i="5"/>
  <c r="D1064" i="5"/>
  <c r="D1066" i="5" s="1"/>
  <c r="C1064" i="5"/>
  <c r="R1009" i="5"/>
  <c r="Q1009" i="5"/>
  <c r="P1009" i="5"/>
  <c r="O1009" i="5"/>
  <c r="N1009" i="5"/>
  <c r="M1009" i="5"/>
  <c r="L1009" i="5"/>
  <c r="K1009" i="5"/>
  <c r="J1009" i="5"/>
  <c r="I1009" i="5"/>
  <c r="H1009" i="5"/>
  <c r="E1009" i="5"/>
  <c r="D1009" i="5"/>
  <c r="C1009" i="5"/>
  <c r="I1003" i="5"/>
  <c r="H1003" i="5"/>
  <c r="G1003" i="5"/>
  <c r="F1003" i="5"/>
  <c r="E1003" i="5"/>
  <c r="D1003" i="5"/>
  <c r="Q1001" i="5"/>
  <c r="R1001" i="5" s="1"/>
  <c r="J1000" i="5"/>
  <c r="K1000" i="5" s="1"/>
  <c r="L1000" i="5" s="1"/>
  <c r="M1000" i="5" s="1"/>
  <c r="N1000" i="5" s="1"/>
  <c r="O1000" i="5" s="1"/>
  <c r="P1000" i="5" s="1"/>
  <c r="Q1000" i="5" s="1"/>
  <c r="R1000" i="5" s="1"/>
  <c r="I1000" i="5"/>
  <c r="C994" i="5"/>
  <c r="C986" i="5"/>
  <c r="K983" i="5"/>
  <c r="L983" i="5" s="1"/>
  <c r="M983" i="5" s="1"/>
  <c r="N983" i="5" s="1"/>
  <c r="O983" i="5" s="1"/>
  <c r="P983" i="5" s="1"/>
  <c r="Q983" i="5" s="1"/>
  <c r="R983" i="5" s="1"/>
  <c r="J983" i="5"/>
  <c r="I983" i="5"/>
  <c r="J982" i="5"/>
  <c r="K982" i="5" s="1"/>
  <c r="L982" i="5" s="1"/>
  <c r="M982" i="5" s="1"/>
  <c r="N982" i="5" s="1"/>
  <c r="O982" i="5" s="1"/>
  <c r="P982" i="5" s="1"/>
  <c r="Q982" i="5" s="1"/>
  <c r="R982" i="5" s="1"/>
  <c r="I982" i="5"/>
  <c r="K981" i="5"/>
  <c r="J981" i="5"/>
  <c r="I981" i="5"/>
  <c r="H977" i="5"/>
  <c r="H1066" i="5" s="1"/>
  <c r="G977" i="5"/>
  <c r="F977" i="5"/>
  <c r="E977" i="5"/>
  <c r="D977" i="5"/>
  <c r="C977" i="5"/>
  <c r="N975" i="5"/>
  <c r="O975" i="5" s="1"/>
  <c r="P975" i="5" s="1"/>
  <c r="Q975" i="5" s="1"/>
  <c r="R975" i="5" s="1"/>
  <c r="I975" i="5"/>
  <c r="J975" i="5" s="1"/>
  <c r="K975" i="5" s="1"/>
  <c r="L975" i="5" s="1"/>
  <c r="M975" i="5" s="1"/>
  <c r="J974" i="5"/>
  <c r="K974" i="5" s="1"/>
  <c r="L974" i="5" s="1"/>
  <c r="M974" i="5" s="1"/>
  <c r="N974" i="5" s="1"/>
  <c r="O974" i="5" s="1"/>
  <c r="P974" i="5" s="1"/>
  <c r="Q974" i="5" s="1"/>
  <c r="R974" i="5" s="1"/>
  <c r="I974" i="5"/>
  <c r="R973" i="5"/>
  <c r="M973" i="5"/>
  <c r="N973" i="5" s="1"/>
  <c r="O973" i="5" s="1"/>
  <c r="P973" i="5" s="1"/>
  <c r="Q973" i="5" s="1"/>
  <c r="I973" i="5"/>
  <c r="J973" i="5" s="1"/>
  <c r="K973" i="5" s="1"/>
  <c r="L973" i="5" s="1"/>
  <c r="R972" i="5"/>
  <c r="L972" i="5"/>
  <c r="M972" i="5" s="1"/>
  <c r="N972" i="5" s="1"/>
  <c r="O972" i="5" s="1"/>
  <c r="P972" i="5" s="1"/>
  <c r="Q972" i="5" s="1"/>
  <c r="J972" i="5"/>
  <c r="K972" i="5" s="1"/>
  <c r="I972" i="5"/>
  <c r="I971" i="5"/>
  <c r="J970" i="5"/>
  <c r="K970" i="5" s="1"/>
  <c r="I970" i="5"/>
  <c r="I960" i="5"/>
  <c r="H960" i="5"/>
  <c r="G960" i="5"/>
  <c r="F960" i="5"/>
  <c r="E960" i="5"/>
  <c r="D960" i="5"/>
  <c r="D962" i="5" s="1"/>
  <c r="C960" i="5"/>
  <c r="I958" i="5"/>
  <c r="R796" i="5"/>
  <c r="Q796" i="5"/>
  <c r="P796" i="5"/>
  <c r="O796" i="5"/>
  <c r="N796" i="5"/>
  <c r="M796" i="5"/>
  <c r="L796" i="5"/>
  <c r="K796" i="5"/>
  <c r="J796" i="5"/>
  <c r="I796" i="5"/>
  <c r="F796" i="5"/>
  <c r="E796" i="5"/>
  <c r="D796" i="5"/>
  <c r="C796" i="5"/>
  <c r="H779" i="5"/>
  <c r="H796" i="5" s="1"/>
  <c r="G779" i="5"/>
  <c r="G796" i="5" s="1"/>
  <c r="H772" i="5"/>
  <c r="G772" i="5"/>
  <c r="E772" i="5"/>
  <c r="D772" i="5"/>
  <c r="C772" i="5"/>
  <c r="C758" i="5"/>
  <c r="F754" i="5"/>
  <c r="C754" i="5"/>
  <c r="F753" i="5"/>
  <c r="C753" i="5"/>
  <c r="F750" i="5"/>
  <c r="N749" i="5"/>
  <c r="O749" i="5" s="1"/>
  <c r="P749" i="5" s="1"/>
  <c r="Q749" i="5" s="1"/>
  <c r="R749" i="5" s="1"/>
  <c r="I749" i="5"/>
  <c r="J749" i="5" s="1"/>
  <c r="K749" i="5" s="1"/>
  <c r="L749" i="5" s="1"/>
  <c r="M749" i="5" s="1"/>
  <c r="C749" i="5"/>
  <c r="Q748" i="5"/>
  <c r="R748" i="5" s="1"/>
  <c r="L748" i="5"/>
  <c r="M748" i="5" s="1"/>
  <c r="N748" i="5" s="1"/>
  <c r="O748" i="5" s="1"/>
  <c r="P748" i="5" s="1"/>
  <c r="J748" i="5"/>
  <c r="K748" i="5" s="1"/>
  <c r="I748" i="5"/>
  <c r="F746" i="5"/>
  <c r="R745" i="5"/>
  <c r="F745" i="5"/>
  <c r="C745" i="5"/>
  <c r="F742" i="5"/>
  <c r="Q726" i="5"/>
  <c r="R726" i="5" s="1"/>
  <c r="L726" i="5"/>
  <c r="M726" i="5" s="1"/>
  <c r="N726" i="5" s="1"/>
  <c r="O726" i="5" s="1"/>
  <c r="P726" i="5" s="1"/>
  <c r="K726" i="5"/>
  <c r="I726" i="5"/>
  <c r="J726" i="5" s="1"/>
  <c r="O724" i="5"/>
  <c r="P724" i="5" s="1"/>
  <c r="Q724" i="5" s="1"/>
  <c r="R724" i="5" s="1"/>
  <c r="J724" i="5"/>
  <c r="K724" i="5" s="1"/>
  <c r="L724" i="5" s="1"/>
  <c r="M724" i="5" s="1"/>
  <c r="N724" i="5" s="1"/>
  <c r="I724" i="5"/>
  <c r="P723" i="5"/>
  <c r="Q723" i="5" s="1"/>
  <c r="R723" i="5" s="1"/>
  <c r="K723" i="5"/>
  <c r="L723" i="5" s="1"/>
  <c r="M723" i="5" s="1"/>
  <c r="N723" i="5" s="1"/>
  <c r="O723" i="5" s="1"/>
  <c r="I723" i="5"/>
  <c r="J723" i="5" s="1"/>
  <c r="J722" i="5"/>
  <c r="I722" i="5"/>
  <c r="I717" i="5"/>
  <c r="H717" i="5"/>
  <c r="G717" i="5"/>
  <c r="F717" i="5"/>
  <c r="E717" i="5"/>
  <c r="D717" i="5"/>
  <c r="C717" i="5"/>
  <c r="Q710" i="5"/>
  <c r="R710" i="5" s="1"/>
  <c r="R709" i="5"/>
  <c r="M709" i="5"/>
  <c r="N709" i="5" s="1"/>
  <c r="O709" i="5" s="1"/>
  <c r="P709" i="5" s="1"/>
  <c r="Q709" i="5" s="1"/>
  <c r="K709" i="5"/>
  <c r="L709" i="5" s="1"/>
  <c r="J709" i="5"/>
  <c r="O708" i="5"/>
  <c r="P708" i="5" s="1"/>
  <c r="Q708" i="5" s="1"/>
  <c r="R708" i="5" s="1"/>
  <c r="J708" i="5"/>
  <c r="K708" i="5" s="1"/>
  <c r="L708" i="5" s="1"/>
  <c r="M708" i="5" s="1"/>
  <c r="N708" i="5" s="1"/>
  <c r="I708" i="5"/>
  <c r="L707" i="5"/>
  <c r="M707" i="5" s="1"/>
  <c r="N707" i="5" s="1"/>
  <c r="O707" i="5" s="1"/>
  <c r="P707" i="5" s="1"/>
  <c r="Q707" i="5" s="1"/>
  <c r="R707" i="5" s="1"/>
  <c r="J707" i="5"/>
  <c r="K707" i="5" s="1"/>
  <c r="I707" i="5"/>
  <c r="J706" i="5"/>
  <c r="J957" i="5" s="1"/>
  <c r="I706" i="5"/>
  <c r="I957" i="5" s="1"/>
  <c r="L698" i="5"/>
  <c r="M698" i="5" s="1"/>
  <c r="N698" i="5" s="1"/>
  <c r="O698" i="5" s="1"/>
  <c r="P698" i="5" s="1"/>
  <c r="Q698" i="5" s="1"/>
  <c r="R698" i="5" s="1"/>
  <c r="J698" i="5"/>
  <c r="K698" i="5" s="1"/>
  <c r="I698" i="5"/>
  <c r="J697" i="5"/>
  <c r="I697" i="5"/>
  <c r="E690" i="5"/>
  <c r="I688" i="5"/>
  <c r="I690" i="5" s="1"/>
  <c r="H688" i="5"/>
  <c r="G688" i="5"/>
  <c r="F688" i="5"/>
  <c r="F690" i="5" s="1"/>
  <c r="E688" i="5"/>
  <c r="D688" i="5"/>
  <c r="C688" i="5"/>
  <c r="J685" i="5"/>
  <c r="K684" i="5"/>
  <c r="J684" i="5"/>
  <c r="I679" i="5"/>
  <c r="H679" i="5"/>
  <c r="G679" i="5"/>
  <c r="F679" i="5"/>
  <c r="E679" i="5"/>
  <c r="D679" i="5"/>
  <c r="C679" i="5"/>
  <c r="J677" i="5"/>
  <c r="L676" i="5"/>
  <c r="M676" i="5" s="1"/>
  <c r="K676" i="5"/>
  <c r="J676" i="5"/>
  <c r="R667" i="5"/>
  <c r="Q667" i="5"/>
  <c r="P667" i="5"/>
  <c r="O667" i="5"/>
  <c r="N667" i="5"/>
  <c r="M667" i="5"/>
  <c r="L667" i="5"/>
  <c r="K667" i="5"/>
  <c r="J667" i="5"/>
  <c r="I667" i="5"/>
  <c r="H667" i="5"/>
  <c r="H669" i="5" s="1"/>
  <c r="G667" i="5"/>
  <c r="F667" i="5"/>
  <c r="E667" i="5"/>
  <c r="D667" i="5"/>
  <c r="C667" i="5"/>
  <c r="C636" i="5"/>
  <c r="R634" i="5"/>
  <c r="R636" i="5" s="1"/>
  <c r="R122" i="5" s="1"/>
  <c r="Q634" i="5"/>
  <c r="Q636" i="5" s="1"/>
  <c r="D634" i="5"/>
  <c r="K630" i="5"/>
  <c r="K107" i="5" s="1"/>
  <c r="I630" i="5"/>
  <c r="G630" i="5"/>
  <c r="F630" i="5"/>
  <c r="F669" i="5" s="1"/>
  <c r="E630" i="5"/>
  <c r="D630" i="5"/>
  <c r="C630" i="5"/>
  <c r="R618" i="5"/>
  <c r="O618" i="5"/>
  <c r="P618" i="5" s="1"/>
  <c r="Q618" i="5" s="1"/>
  <c r="K618" i="5"/>
  <c r="L618" i="5" s="1"/>
  <c r="M618" i="5" s="1"/>
  <c r="N618" i="5" s="1"/>
  <c r="J618" i="5"/>
  <c r="I618" i="5"/>
  <c r="H618" i="5"/>
  <c r="H630" i="5" s="1"/>
  <c r="L612" i="5"/>
  <c r="I612" i="5"/>
  <c r="J612" i="5" s="1"/>
  <c r="K612" i="5" s="1"/>
  <c r="H599" i="5"/>
  <c r="G599" i="5"/>
  <c r="F599" i="5"/>
  <c r="D599" i="5"/>
  <c r="C599" i="5"/>
  <c r="L597" i="5"/>
  <c r="M597" i="5" s="1"/>
  <c r="N597" i="5" s="1"/>
  <c r="O597" i="5" s="1"/>
  <c r="P597" i="5" s="1"/>
  <c r="Q597" i="5" s="1"/>
  <c r="R597" i="5" s="1"/>
  <c r="J597" i="5"/>
  <c r="K597" i="5" s="1"/>
  <c r="I597" i="5"/>
  <c r="M596" i="5"/>
  <c r="N596" i="5" s="1"/>
  <c r="O596" i="5" s="1"/>
  <c r="P596" i="5" s="1"/>
  <c r="Q596" i="5" s="1"/>
  <c r="R596" i="5" s="1"/>
  <c r="J596" i="5"/>
  <c r="K596" i="5" s="1"/>
  <c r="L596" i="5" s="1"/>
  <c r="I596" i="5"/>
  <c r="O594" i="5"/>
  <c r="P594" i="5" s="1"/>
  <c r="Q594" i="5" s="1"/>
  <c r="R594" i="5" s="1"/>
  <c r="L594" i="5"/>
  <c r="M594" i="5" s="1"/>
  <c r="N594" i="5" s="1"/>
  <c r="J594" i="5"/>
  <c r="K594" i="5" s="1"/>
  <c r="I594" i="5"/>
  <c r="R593" i="5"/>
  <c r="J593" i="5"/>
  <c r="K593" i="5" s="1"/>
  <c r="L593" i="5" s="1"/>
  <c r="M593" i="5" s="1"/>
  <c r="N593" i="5" s="1"/>
  <c r="O593" i="5" s="1"/>
  <c r="P593" i="5" s="1"/>
  <c r="Q593" i="5" s="1"/>
  <c r="I593" i="5"/>
  <c r="E591" i="5"/>
  <c r="E599" i="5" s="1"/>
  <c r="M589" i="5"/>
  <c r="N589" i="5" s="1"/>
  <c r="O589" i="5" s="1"/>
  <c r="P589" i="5" s="1"/>
  <c r="Q589" i="5" s="1"/>
  <c r="R589" i="5" s="1"/>
  <c r="K589" i="5"/>
  <c r="L589" i="5" s="1"/>
  <c r="I589" i="5"/>
  <c r="J589" i="5" s="1"/>
  <c r="J588" i="5"/>
  <c r="I588" i="5"/>
  <c r="I599" i="5" s="1"/>
  <c r="H580" i="5"/>
  <c r="G580" i="5"/>
  <c r="Q578" i="5"/>
  <c r="D578" i="5"/>
  <c r="D132" i="5" s="1"/>
  <c r="D138" i="5" s="1"/>
  <c r="C578" i="5"/>
  <c r="R576" i="5"/>
  <c r="R578" i="5" s="1"/>
  <c r="Q576" i="5"/>
  <c r="E576" i="5"/>
  <c r="E578" i="5" s="1"/>
  <c r="D576" i="5"/>
  <c r="C572" i="5"/>
  <c r="C580" i="5" s="1"/>
  <c r="R570" i="5"/>
  <c r="R572" i="5" s="1"/>
  <c r="Q570" i="5"/>
  <c r="Q572" i="5" s="1"/>
  <c r="D570" i="5"/>
  <c r="H566" i="5"/>
  <c r="G566" i="5"/>
  <c r="F566" i="5"/>
  <c r="E566" i="5"/>
  <c r="D566" i="5"/>
  <c r="C566" i="5"/>
  <c r="I560" i="5"/>
  <c r="K559" i="5"/>
  <c r="I559" i="5"/>
  <c r="J559" i="5" s="1"/>
  <c r="I555" i="5"/>
  <c r="H555" i="5"/>
  <c r="G555" i="5"/>
  <c r="F555" i="5"/>
  <c r="E555" i="5"/>
  <c r="D555" i="5"/>
  <c r="C555" i="5"/>
  <c r="J549" i="5"/>
  <c r="K549" i="5" s="1"/>
  <c r="I549" i="5"/>
  <c r="G542" i="5"/>
  <c r="R540" i="5"/>
  <c r="Q540" i="5"/>
  <c r="P540" i="5"/>
  <c r="O540" i="5"/>
  <c r="N540" i="5"/>
  <c r="M540" i="5"/>
  <c r="L540" i="5"/>
  <c r="K540" i="5"/>
  <c r="J540" i="5"/>
  <c r="I540" i="5"/>
  <c r="H540" i="5"/>
  <c r="G540" i="5"/>
  <c r="F540" i="5"/>
  <c r="E540" i="5"/>
  <c r="D540" i="5"/>
  <c r="C540" i="5"/>
  <c r="Q487" i="5"/>
  <c r="Q120" i="5" s="1"/>
  <c r="Q127" i="5" s="1"/>
  <c r="D487" i="5"/>
  <c r="C487" i="5"/>
  <c r="R485" i="5"/>
  <c r="R487" i="5" s="1"/>
  <c r="Q485" i="5"/>
  <c r="E485" i="5"/>
  <c r="E487" i="5" s="1"/>
  <c r="E120" i="5" s="1"/>
  <c r="D485" i="5"/>
  <c r="H481" i="5"/>
  <c r="G481" i="5"/>
  <c r="F481" i="5"/>
  <c r="F105" i="5" s="1"/>
  <c r="D481" i="5"/>
  <c r="C481" i="5"/>
  <c r="P479" i="5"/>
  <c r="Q479" i="5" s="1"/>
  <c r="R479" i="5" s="1"/>
  <c r="M479" i="5"/>
  <c r="N479" i="5" s="1"/>
  <c r="O479" i="5" s="1"/>
  <c r="J479" i="5"/>
  <c r="K479" i="5" s="1"/>
  <c r="L479" i="5" s="1"/>
  <c r="I479" i="5"/>
  <c r="R476" i="5"/>
  <c r="J476" i="5"/>
  <c r="K476" i="5" s="1"/>
  <c r="L476" i="5" s="1"/>
  <c r="M476" i="5" s="1"/>
  <c r="N476" i="5" s="1"/>
  <c r="O476" i="5" s="1"/>
  <c r="P476" i="5" s="1"/>
  <c r="Q476" i="5" s="1"/>
  <c r="I476" i="5"/>
  <c r="J475" i="5"/>
  <c r="I475" i="5"/>
  <c r="D475" i="5"/>
  <c r="M474" i="5"/>
  <c r="N474" i="5" s="1"/>
  <c r="O474" i="5" s="1"/>
  <c r="P474" i="5" s="1"/>
  <c r="Q474" i="5" s="1"/>
  <c r="R474" i="5" s="1"/>
  <c r="K474" i="5"/>
  <c r="L474" i="5" s="1"/>
  <c r="I474" i="5"/>
  <c r="J474" i="5" s="1"/>
  <c r="J473" i="5"/>
  <c r="K473" i="5" s="1"/>
  <c r="I473" i="5"/>
  <c r="I481" i="5" s="1"/>
  <c r="H471" i="5"/>
  <c r="E458" i="5"/>
  <c r="E481" i="5" s="1"/>
  <c r="H454" i="5"/>
  <c r="G454" i="5"/>
  <c r="F454" i="5"/>
  <c r="C454" i="5"/>
  <c r="C542" i="5" s="1"/>
  <c r="K452" i="5"/>
  <c r="L452" i="5" s="1"/>
  <c r="M452" i="5" s="1"/>
  <c r="N452" i="5" s="1"/>
  <c r="O452" i="5" s="1"/>
  <c r="P452" i="5" s="1"/>
  <c r="Q452" i="5" s="1"/>
  <c r="R452" i="5" s="1"/>
  <c r="I452" i="5"/>
  <c r="J452" i="5" s="1"/>
  <c r="M451" i="5"/>
  <c r="N451" i="5" s="1"/>
  <c r="O451" i="5" s="1"/>
  <c r="P451" i="5" s="1"/>
  <c r="Q451" i="5" s="1"/>
  <c r="R451" i="5" s="1"/>
  <c r="K451" i="5"/>
  <c r="L451" i="5" s="1"/>
  <c r="I451" i="5"/>
  <c r="J451" i="5" s="1"/>
  <c r="M450" i="5"/>
  <c r="N450" i="5" s="1"/>
  <c r="O450" i="5" s="1"/>
  <c r="P450" i="5" s="1"/>
  <c r="Q450" i="5" s="1"/>
  <c r="R450" i="5" s="1"/>
  <c r="J450" i="5"/>
  <c r="K450" i="5" s="1"/>
  <c r="L450" i="5" s="1"/>
  <c r="I450" i="5"/>
  <c r="O449" i="5"/>
  <c r="P449" i="5" s="1"/>
  <c r="Q449" i="5" s="1"/>
  <c r="R449" i="5" s="1"/>
  <c r="L449" i="5"/>
  <c r="M449" i="5" s="1"/>
  <c r="N449" i="5" s="1"/>
  <c r="I449" i="5"/>
  <c r="J449" i="5" s="1"/>
  <c r="K449" i="5" s="1"/>
  <c r="N448" i="5"/>
  <c r="O448" i="5" s="1"/>
  <c r="P448" i="5" s="1"/>
  <c r="Q448" i="5" s="1"/>
  <c r="R448" i="5" s="1"/>
  <c r="K448" i="5"/>
  <c r="L448" i="5" s="1"/>
  <c r="M448" i="5" s="1"/>
  <c r="I448" i="5"/>
  <c r="J448" i="5" s="1"/>
  <c r="E448" i="5"/>
  <c r="R447" i="5"/>
  <c r="J447" i="5"/>
  <c r="K447" i="5" s="1"/>
  <c r="L447" i="5" s="1"/>
  <c r="M447" i="5" s="1"/>
  <c r="N447" i="5" s="1"/>
  <c r="O447" i="5" s="1"/>
  <c r="P447" i="5" s="1"/>
  <c r="Q447" i="5" s="1"/>
  <c r="I447" i="5"/>
  <c r="D447" i="5"/>
  <c r="D454" i="5" s="1"/>
  <c r="M444" i="5"/>
  <c r="N444" i="5" s="1"/>
  <c r="O444" i="5" s="1"/>
  <c r="P444" i="5" s="1"/>
  <c r="Q444" i="5" s="1"/>
  <c r="R444" i="5" s="1"/>
  <c r="K444" i="5"/>
  <c r="L444" i="5" s="1"/>
  <c r="I444" i="5"/>
  <c r="J444" i="5" s="1"/>
  <c r="E444" i="5"/>
  <c r="P443" i="5"/>
  <c r="Q443" i="5" s="1"/>
  <c r="R443" i="5" s="1"/>
  <c r="N443" i="5"/>
  <c r="O443" i="5" s="1"/>
  <c r="K443" i="5"/>
  <c r="L443" i="5" s="1"/>
  <c r="M443" i="5" s="1"/>
  <c r="J443" i="5"/>
  <c r="I443" i="5"/>
  <c r="E443" i="5"/>
  <c r="E454" i="5" s="1"/>
  <c r="E542" i="5" s="1"/>
  <c r="M442" i="5"/>
  <c r="N442" i="5" s="1"/>
  <c r="O442" i="5" s="1"/>
  <c r="P442" i="5" s="1"/>
  <c r="Q442" i="5" s="1"/>
  <c r="R442" i="5" s="1"/>
  <c r="J442" i="5"/>
  <c r="K442" i="5" s="1"/>
  <c r="L442" i="5" s="1"/>
  <c r="I442" i="5"/>
  <c r="E442" i="5"/>
  <c r="I441" i="5"/>
  <c r="F434" i="5"/>
  <c r="H432" i="5"/>
  <c r="H434" i="5" s="1"/>
  <c r="G432" i="5"/>
  <c r="G434" i="5" s="1"/>
  <c r="F432" i="5"/>
  <c r="D432" i="5"/>
  <c r="K430" i="5"/>
  <c r="L430" i="5" s="1"/>
  <c r="M430" i="5" s="1"/>
  <c r="N430" i="5" s="1"/>
  <c r="O430" i="5" s="1"/>
  <c r="P430" i="5" s="1"/>
  <c r="Q430" i="5" s="1"/>
  <c r="R430" i="5" s="1"/>
  <c r="J430" i="5"/>
  <c r="I430" i="5"/>
  <c r="N427" i="5"/>
  <c r="O427" i="5" s="1"/>
  <c r="P427" i="5" s="1"/>
  <c r="Q427" i="5" s="1"/>
  <c r="R427" i="5" s="1"/>
  <c r="L427" i="5"/>
  <c r="M427" i="5" s="1"/>
  <c r="I427" i="5"/>
  <c r="J427" i="5" s="1"/>
  <c r="K427" i="5" s="1"/>
  <c r="R426" i="5"/>
  <c r="Q426" i="5"/>
  <c r="E423" i="5"/>
  <c r="E422" i="5"/>
  <c r="L421" i="5"/>
  <c r="M421" i="5" s="1"/>
  <c r="N421" i="5" s="1"/>
  <c r="O421" i="5" s="1"/>
  <c r="P421" i="5" s="1"/>
  <c r="Q421" i="5" s="1"/>
  <c r="R421" i="5" s="1"/>
  <c r="J421" i="5"/>
  <c r="K421" i="5" s="1"/>
  <c r="I421" i="5"/>
  <c r="E421" i="5"/>
  <c r="I420" i="5"/>
  <c r="J420" i="5" s="1"/>
  <c r="K420" i="5" s="1"/>
  <c r="L420" i="5" s="1"/>
  <c r="M420" i="5" s="1"/>
  <c r="N420" i="5" s="1"/>
  <c r="O420" i="5" s="1"/>
  <c r="P420" i="5" s="1"/>
  <c r="Q420" i="5" s="1"/>
  <c r="R420" i="5" s="1"/>
  <c r="E418" i="5"/>
  <c r="E417" i="5"/>
  <c r="E416" i="5"/>
  <c r="E415" i="5"/>
  <c r="K414" i="5"/>
  <c r="L414" i="5" s="1"/>
  <c r="M414" i="5" s="1"/>
  <c r="N414" i="5" s="1"/>
  <c r="O414" i="5" s="1"/>
  <c r="P414" i="5" s="1"/>
  <c r="Q414" i="5" s="1"/>
  <c r="R414" i="5" s="1"/>
  <c r="I414" i="5"/>
  <c r="J414" i="5" s="1"/>
  <c r="F412" i="5"/>
  <c r="E412" i="5"/>
  <c r="I410" i="5"/>
  <c r="J410" i="5" s="1"/>
  <c r="K410" i="5" s="1"/>
  <c r="L410" i="5" s="1"/>
  <c r="M410" i="5" s="1"/>
  <c r="N410" i="5" s="1"/>
  <c r="O410" i="5" s="1"/>
  <c r="P410" i="5" s="1"/>
  <c r="Q410" i="5" s="1"/>
  <c r="R410" i="5" s="1"/>
  <c r="K409" i="5"/>
  <c r="L409" i="5" s="1"/>
  <c r="M409" i="5" s="1"/>
  <c r="N409" i="5" s="1"/>
  <c r="O409" i="5" s="1"/>
  <c r="P409" i="5" s="1"/>
  <c r="Q409" i="5" s="1"/>
  <c r="R409" i="5" s="1"/>
  <c r="I409" i="5"/>
  <c r="J409" i="5" s="1"/>
  <c r="O407" i="5"/>
  <c r="P407" i="5" s="1"/>
  <c r="Q407" i="5" s="1"/>
  <c r="R407" i="5" s="1"/>
  <c r="M407" i="5"/>
  <c r="N407" i="5" s="1"/>
  <c r="K407" i="5"/>
  <c r="L407" i="5" s="1"/>
  <c r="I407" i="5"/>
  <c r="J407" i="5" s="1"/>
  <c r="I405" i="5"/>
  <c r="J405" i="5" s="1"/>
  <c r="K405" i="5" s="1"/>
  <c r="L405" i="5" s="1"/>
  <c r="M405" i="5" s="1"/>
  <c r="N405" i="5" s="1"/>
  <c r="O405" i="5" s="1"/>
  <c r="P405" i="5" s="1"/>
  <c r="Q405" i="5" s="1"/>
  <c r="R405" i="5" s="1"/>
  <c r="K404" i="5"/>
  <c r="L404" i="5" s="1"/>
  <c r="M404" i="5" s="1"/>
  <c r="N404" i="5" s="1"/>
  <c r="O404" i="5" s="1"/>
  <c r="P404" i="5" s="1"/>
  <c r="Q404" i="5" s="1"/>
  <c r="R404" i="5" s="1"/>
  <c r="I404" i="5"/>
  <c r="J404" i="5" s="1"/>
  <c r="I403" i="5"/>
  <c r="E403" i="5"/>
  <c r="C403" i="5"/>
  <c r="C432" i="5" s="1"/>
  <c r="H399" i="5"/>
  <c r="G399" i="5"/>
  <c r="F399" i="5"/>
  <c r="C399" i="5"/>
  <c r="M396" i="5"/>
  <c r="N396" i="5" s="1"/>
  <c r="O396" i="5" s="1"/>
  <c r="P396" i="5" s="1"/>
  <c r="Q396" i="5" s="1"/>
  <c r="R396" i="5" s="1"/>
  <c r="K396" i="5"/>
  <c r="L396" i="5" s="1"/>
  <c r="I396" i="5"/>
  <c r="J396" i="5" s="1"/>
  <c r="O395" i="5"/>
  <c r="P395" i="5" s="1"/>
  <c r="Q395" i="5" s="1"/>
  <c r="R395" i="5" s="1"/>
  <c r="I395" i="5"/>
  <c r="J395" i="5" s="1"/>
  <c r="K395" i="5" s="1"/>
  <c r="L395" i="5" s="1"/>
  <c r="M395" i="5" s="1"/>
  <c r="N395" i="5" s="1"/>
  <c r="I394" i="5"/>
  <c r="J394" i="5" s="1"/>
  <c r="K394" i="5" s="1"/>
  <c r="L394" i="5" s="1"/>
  <c r="M394" i="5" s="1"/>
  <c r="N394" i="5" s="1"/>
  <c r="O394" i="5" s="1"/>
  <c r="P394" i="5" s="1"/>
  <c r="Q394" i="5" s="1"/>
  <c r="R394" i="5" s="1"/>
  <c r="D394" i="5"/>
  <c r="P392" i="5"/>
  <c r="Q392" i="5" s="1"/>
  <c r="R392" i="5" s="1"/>
  <c r="N392" i="5"/>
  <c r="O392" i="5" s="1"/>
  <c r="L392" i="5"/>
  <c r="M392" i="5" s="1"/>
  <c r="J392" i="5"/>
  <c r="K392" i="5" s="1"/>
  <c r="I392" i="5"/>
  <c r="E392" i="5"/>
  <c r="M391" i="5"/>
  <c r="N391" i="5" s="1"/>
  <c r="O391" i="5" s="1"/>
  <c r="P391" i="5" s="1"/>
  <c r="Q391" i="5" s="1"/>
  <c r="R391" i="5" s="1"/>
  <c r="K391" i="5"/>
  <c r="L391" i="5" s="1"/>
  <c r="I391" i="5"/>
  <c r="J391" i="5" s="1"/>
  <c r="M390" i="5"/>
  <c r="N390" i="5" s="1"/>
  <c r="O390" i="5" s="1"/>
  <c r="P390" i="5" s="1"/>
  <c r="Q390" i="5" s="1"/>
  <c r="R390" i="5" s="1"/>
  <c r="K390" i="5"/>
  <c r="L390" i="5" s="1"/>
  <c r="I390" i="5"/>
  <c r="J390" i="5" s="1"/>
  <c r="O389" i="5"/>
  <c r="P389" i="5" s="1"/>
  <c r="Q389" i="5" s="1"/>
  <c r="R389" i="5" s="1"/>
  <c r="I389" i="5"/>
  <c r="J389" i="5" s="1"/>
  <c r="K389" i="5" s="1"/>
  <c r="L389" i="5" s="1"/>
  <c r="M389" i="5" s="1"/>
  <c r="N389" i="5" s="1"/>
  <c r="C389" i="5"/>
  <c r="L388" i="5"/>
  <c r="M388" i="5" s="1"/>
  <c r="N388" i="5" s="1"/>
  <c r="O388" i="5" s="1"/>
  <c r="P388" i="5" s="1"/>
  <c r="Q388" i="5" s="1"/>
  <c r="R388" i="5" s="1"/>
  <c r="K388" i="5"/>
  <c r="J388" i="5"/>
  <c r="I388" i="5"/>
  <c r="D388" i="5"/>
  <c r="I387" i="5"/>
  <c r="I399" i="5" s="1"/>
  <c r="I93" i="5" s="1"/>
  <c r="E387" i="5"/>
  <c r="C387" i="5"/>
  <c r="K386" i="5"/>
  <c r="L386" i="5" s="1"/>
  <c r="M386" i="5" s="1"/>
  <c r="N386" i="5" s="1"/>
  <c r="O386" i="5" s="1"/>
  <c r="P386" i="5" s="1"/>
  <c r="Q386" i="5" s="1"/>
  <c r="R386" i="5" s="1"/>
  <c r="J386" i="5"/>
  <c r="I386" i="5"/>
  <c r="F385" i="5"/>
  <c r="E385" i="5"/>
  <c r="E399" i="5" s="1"/>
  <c r="E93" i="5" s="1"/>
  <c r="E101" i="5" s="1"/>
  <c r="D385" i="5"/>
  <c r="K384" i="5"/>
  <c r="L384" i="5" s="1"/>
  <c r="J384" i="5"/>
  <c r="C373" i="5"/>
  <c r="R371" i="5"/>
  <c r="Q371" i="5"/>
  <c r="E371" i="5"/>
  <c r="E74" i="5" s="1"/>
  <c r="E75" i="5" s="1"/>
  <c r="D371" i="5"/>
  <c r="C371" i="5"/>
  <c r="H364" i="5"/>
  <c r="G364" i="5"/>
  <c r="F364" i="5"/>
  <c r="F373" i="5" s="1"/>
  <c r="D364" i="5"/>
  <c r="C364" i="5"/>
  <c r="M354" i="5"/>
  <c r="N354" i="5" s="1"/>
  <c r="O354" i="5" s="1"/>
  <c r="P354" i="5" s="1"/>
  <c r="Q354" i="5" s="1"/>
  <c r="R354" i="5" s="1"/>
  <c r="I354" i="5"/>
  <c r="J354" i="5" s="1"/>
  <c r="K354" i="5" s="1"/>
  <c r="L354" i="5" s="1"/>
  <c r="L353" i="5"/>
  <c r="M353" i="5" s="1"/>
  <c r="N353" i="5" s="1"/>
  <c r="O353" i="5" s="1"/>
  <c r="P353" i="5" s="1"/>
  <c r="Q353" i="5" s="1"/>
  <c r="R353" i="5" s="1"/>
  <c r="K353" i="5"/>
  <c r="J353" i="5"/>
  <c r="I353" i="5"/>
  <c r="M351" i="5"/>
  <c r="N351" i="5" s="1"/>
  <c r="O351" i="5" s="1"/>
  <c r="P351" i="5" s="1"/>
  <c r="Q351" i="5" s="1"/>
  <c r="R351" i="5" s="1"/>
  <c r="I351" i="5"/>
  <c r="J351" i="5" s="1"/>
  <c r="K351" i="5" s="1"/>
  <c r="L351" i="5" s="1"/>
  <c r="L350" i="5"/>
  <c r="M350" i="5" s="1"/>
  <c r="N350" i="5" s="1"/>
  <c r="O350" i="5" s="1"/>
  <c r="P350" i="5" s="1"/>
  <c r="Q350" i="5" s="1"/>
  <c r="R350" i="5" s="1"/>
  <c r="K350" i="5"/>
  <c r="J350" i="5"/>
  <c r="I350" i="5"/>
  <c r="I349" i="5"/>
  <c r="E349" i="5"/>
  <c r="E364" i="5" s="1"/>
  <c r="E373" i="5" s="1"/>
  <c r="I345" i="5"/>
  <c r="H345" i="5"/>
  <c r="H373" i="5" s="1"/>
  <c r="G345" i="5"/>
  <c r="G373" i="5" s="1"/>
  <c r="F345" i="5"/>
  <c r="E345" i="5"/>
  <c r="D345" i="5"/>
  <c r="D373" i="5" s="1"/>
  <c r="C345" i="5"/>
  <c r="K341" i="5"/>
  <c r="I341" i="5"/>
  <c r="J341" i="5" s="1"/>
  <c r="J345" i="5" s="1"/>
  <c r="J332" i="5"/>
  <c r="I332" i="5"/>
  <c r="H332" i="5"/>
  <c r="G332" i="5"/>
  <c r="F332" i="5"/>
  <c r="F334" i="5" s="1"/>
  <c r="D332" i="5"/>
  <c r="C332" i="5"/>
  <c r="M330" i="5"/>
  <c r="N330" i="5" s="1"/>
  <c r="O330" i="5" s="1"/>
  <c r="P330" i="5" s="1"/>
  <c r="Q330" i="5" s="1"/>
  <c r="R330" i="5" s="1"/>
  <c r="K330" i="5"/>
  <c r="L330" i="5" s="1"/>
  <c r="J330" i="5"/>
  <c r="I330" i="5"/>
  <c r="L329" i="5"/>
  <c r="M329" i="5" s="1"/>
  <c r="N329" i="5" s="1"/>
  <c r="O329" i="5" s="1"/>
  <c r="P329" i="5" s="1"/>
  <c r="Q329" i="5" s="1"/>
  <c r="R329" i="5" s="1"/>
  <c r="K329" i="5"/>
  <c r="I329" i="5"/>
  <c r="J329" i="5" s="1"/>
  <c r="E329" i="5"/>
  <c r="L328" i="5"/>
  <c r="M328" i="5" s="1"/>
  <c r="N328" i="5" s="1"/>
  <c r="O328" i="5" s="1"/>
  <c r="P328" i="5" s="1"/>
  <c r="Q328" i="5" s="1"/>
  <c r="R328" i="5" s="1"/>
  <c r="K328" i="5"/>
  <c r="J328" i="5"/>
  <c r="I328" i="5"/>
  <c r="M327" i="5"/>
  <c r="L327" i="5"/>
  <c r="J327" i="5"/>
  <c r="K327" i="5" s="1"/>
  <c r="K332" i="5" s="1"/>
  <c r="K63" i="5" s="1"/>
  <c r="I327" i="5"/>
  <c r="E327" i="5"/>
  <c r="E332" i="5" s="1"/>
  <c r="H323" i="5"/>
  <c r="G323" i="5"/>
  <c r="G334" i="5" s="1"/>
  <c r="F323" i="5"/>
  <c r="E323" i="5"/>
  <c r="D323" i="5"/>
  <c r="C323" i="5"/>
  <c r="C334" i="5" s="1"/>
  <c r="I321" i="5"/>
  <c r="G314" i="5"/>
  <c r="G375" i="5" s="1"/>
  <c r="H312" i="5"/>
  <c r="G312" i="5"/>
  <c r="D312" i="5"/>
  <c r="D314" i="5" s="1"/>
  <c r="L309" i="5"/>
  <c r="M309" i="5" s="1"/>
  <c r="N309" i="5" s="1"/>
  <c r="O309" i="5" s="1"/>
  <c r="P309" i="5" s="1"/>
  <c r="Q309" i="5" s="1"/>
  <c r="R309" i="5" s="1"/>
  <c r="I309" i="5"/>
  <c r="J309" i="5" s="1"/>
  <c r="K309" i="5" s="1"/>
  <c r="J308" i="5"/>
  <c r="K308" i="5" s="1"/>
  <c r="L308" i="5" s="1"/>
  <c r="M308" i="5" s="1"/>
  <c r="N308" i="5" s="1"/>
  <c r="O308" i="5" s="1"/>
  <c r="P308" i="5" s="1"/>
  <c r="Q308" i="5" s="1"/>
  <c r="R308" i="5" s="1"/>
  <c r="I308" i="5"/>
  <c r="I307" i="5"/>
  <c r="J307" i="5" s="1"/>
  <c r="K307" i="5" s="1"/>
  <c r="L307" i="5" s="1"/>
  <c r="M307" i="5" s="1"/>
  <c r="N307" i="5" s="1"/>
  <c r="O307" i="5" s="1"/>
  <c r="P307" i="5" s="1"/>
  <c r="Q307" i="5" s="1"/>
  <c r="R307" i="5" s="1"/>
  <c r="K306" i="5"/>
  <c r="L306" i="5" s="1"/>
  <c r="M306" i="5" s="1"/>
  <c r="N306" i="5" s="1"/>
  <c r="O306" i="5" s="1"/>
  <c r="P306" i="5" s="1"/>
  <c r="Q306" i="5" s="1"/>
  <c r="R306" i="5" s="1"/>
  <c r="J306" i="5"/>
  <c r="I306" i="5"/>
  <c r="F306" i="5"/>
  <c r="F312" i="5" s="1"/>
  <c r="F314" i="5" s="1"/>
  <c r="F375" i="5" s="1"/>
  <c r="E306" i="5"/>
  <c r="K305" i="5"/>
  <c r="L305" i="5" s="1"/>
  <c r="M305" i="5" s="1"/>
  <c r="N305" i="5" s="1"/>
  <c r="O305" i="5" s="1"/>
  <c r="P305" i="5" s="1"/>
  <c r="Q305" i="5" s="1"/>
  <c r="R305" i="5" s="1"/>
  <c r="J305" i="5"/>
  <c r="I305" i="5"/>
  <c r="E305" i="5"/>
  <c r="N304" i="5"/>
  <c r="O304" i="5" s="1"/>
  <c r="P304" i="5" s="1"/>
  <c r="Q304" i="5" s="1"/>
  <c r="R304" i="5" s="1"/>
  <c r="M304" i="5"/>
  <c r="L304" i="5"/>
  <c r="K304" i="5"/>
  <c r="E304" i="5"/>
  <c r="K303" i="5"/>
  <c r="L303" i="5" s="1"/>
  <c r="M303" i="5" s="1"/>
  <c r="N303" i="5" s="1"/>
  <c r="O303" i="5" s="1"/>
  <c r="P303" i="5" s="1"/>
  <c r="Q303" i="5" s="1"/>
  <c r="R303" i="5" s="1"/>
  <c r="J303" i="5"/>
  <c r="I303" i="5"/>
  <c r="E303" i="5"/>
  <c r="J302" i="5"/>
  <c r="K302" i="5" s="1"/>
  <c r="L302" i="5" s="1"/>
  <c r="M302" i="5" s="1"/>
  <c r="N302" i="5" s="1"/>
  <c r="O302" i="5" s="1"/>
  <c r="P302" i="5" s="1"/>
  <c r="Q302" i="5" s="1"/>
  <c r="R302" i="5" s="1"/>
  <c r="I302" i="5"/>
  <c r="L299" i="5"/>
  <c r="M299" i="5" s="1"/>
  <c r="N299" i="5" s="1"/>
  <c r="O299" i="5" s="1"/>
  <c r="P299" i="5" s="1"/>
  <c r="Q299" i="5" s="1"/>
  <c r="R299" i="5" s="1"/>
  <c r="K299" i="5"/>
  <c r="J299" i="5"/>
  <c r="I299" i="5"/>
  <c r="J298" i="5"/>
  <c r="K298" i="5" s="1"/>
  <c r="L298" i="5" s="1"/>
  <c r="M298" i="5" s="1"/>
  <c r="N298" i="5" s="1"/>
  <c r="O298" i="5" s="1"/>
  <c r="P298" i="5" s="1"/>
  <c r="Q298" i="5" s="1"/>
  <c r="R298" i="5" s="1"/>
  <c r="I298" i="5"/>
  <c r="L296" i="5"/>
  <c r="K296" i="5"/>
  <c r="J296" i="5"/>
  <c r="J312" i="5" s="1"/>
  <c r="I296" i="5"/>
  <c r="E296" i="5"/>
  <c r="E312" i="5" s="1"/>
  <c r="D296" i="5"/>
  <c r="C296" i="5"/>
  <c r="C312" i="5" s="1"/>
  <c r="C314" i="5" s="1"/>
  <c r="C375" i="5" s="1"/>
  <c r="H292" i="5"/>
  <c r="G292" i="5"/>
  <c r="F292" i="5"/>
  <c r="D292" i="5"/>
  <c r="L290" i="5"/>
  <c r="M290" i="5" s="1"/>
  <c r="N290" i="5" s="1"/>
  <c r="O290" i="5" s="1"/>
  <c r="P290" i="5" s="1"/>
  <c r="Q290" i="5" s="1"/>
  <c r="R290" i="5" s="1"/>
  <c r="I290" i="5"/>
  <c r="J290" i="5" s="1"/>
  <c r="K290" i="5" s="1"/>
  <c r="J289" i="5"/>
  <c r="K289" i="5" s="1"/>
  <c r="L289" i="5" s="1"/>
  <c r="M289" i="5" s="1"/>
  <c r="N289" i="5" s="1"/>
  <c r="O289" i="5" s="1"/>
  <c r="P289" i="5" s="1"/>
  <c r="Q289" i="5" s="1"/>
  <c r="R289" i="5" s="1"/>
  <c r="I289" i="5"/>
  <c r="E289" i="5"/>
  <c r="I288" i="5"/>
  <c r="J288" i="5" s="1"/>
  <c r="K288" i="5" s="1"/>
  <c r="L288" i="5" s="1"/>
  <c r="M288" i="5" s="1"/>
  <c r="N288" i="5" s="1"/>
  <c r="O288" i="5" s="1"/>
  <c r="P288" i="5" s="1"/>
  <c r="Q288" i="5" s="1"/>
  <c r="R288" i="5" s="1"/>
  <c r="E288" i="5"/>
  <c r="I287" i="5"/>
  <c r="J287" i="5" s="1"/>
  <c r="K287" i="5" s="1"/>
  <c r="L287" i="5" s="1"/>
  <c r="M287" i="5" s="1"/>
  <c r="N287" i="5" s="1"/>
  <c r="O287" i="5" s="1"/>
  <c r="P287" i="5" s="1"/>
  <c r="Q287" i="5" s="1"/>
  <c r="R287" i="5" s="1"/>
  <c r="K286" i="5"/>
  <c r="L286" i="5" s="1"/>
  <c r="M286" i="5" s="1"/>
  <c r="N286" i="5" s="1"/>
  <c r="O286" i="5" s="1"/>
  <c r="P286" i="5" s="1"/>
  <c r="Q286" i="5" s="1"/>
  <c r="R286" i="5" s="1"/>
  <c r="J286" i="5"/>
  <c r="I286" i="5"/>
  <c r="D286" i="5"/>
  <c r="J285" i="5"/>
  <c r="K285" i="5" s="1"/>
  <c r="L285" i="5" s="1"/>
  <c r="M285" i="5" s="1"/>
  <c r="N285" i="5" s="1"/>
  <c r="O285" i="5" s="1"/>
  <c r="P285" i="5" s="1"/>
  <c r="Q285" i="5" s="1"/>
  <c r="R285" i="5" s="1"/>
  <c r="I285" i="5"/>
  <c r="L284" i="5"/>
  <c r="M284" i="5" s="1"/>
  <c r="N284" i="5" s="1"/>
  <c r="O284" i="5" s="1"/>
  <c r="P284" i="5" s="1"/>
  <c r="Q284" i="5" s="1"/>
  <c r="R284" i="5" s="1"/>
  <c r="K284" i="5"/>
  <c r="J284" i="5"/>
  <c r="I284" i="5"/>
  <c r="E284" i="5"/>
  <c r="C284" i="5"/>
  <c r="L283" i="5"/>
  <c r="M283" i="5" s="1"/>
  <c r="N283" i="5" s="1"/>
  <c r="O283" i="5" s="1"/>
  <c r="P283" i="5" s="1"/>
  <c r="Q283" i="5" s="1"/>
  <c r="R283" i="5" s="1"/>
  <c r="K283" i="5"/>
  <c r="J283" i="5"/>
  <c r="I283" i="5"/>
  <c r="E283" i="5"/>
  <c r="E292" i="5" s="1"/>
  <c r="E56" i="5" s="1"/>
  <c r="E59" i="5" s="1"/>
  <c r="C283" i="5"/>
  <c r="C292" i="5" s="1"/>
  <c r="C56" i="5" s="1"/>
  <c r="L282" i="5"/>
  <c r="M282" i="5" s="1"/>
  <c r="N282" i="5" s="1"/>
  <c r="O282" i="5" s="1"/>
  <c r="P282" i="5" s="1"/>
  <c r="Q282" i="5" s="1"/>
  <c r="R282" i="5" s="1"/>
  <c r="K282" i="5"/>
  <c r="J282" i="5"/>
  <c r="I282" i="5"/>
  <c r="J281" i="5"/>
  <c r="K281" i="5" s="1"/>
  <c r="L281" i="5" s="1"/>
  <c r="M281" i="5" s="1"/>
  <c r="N281" i="5" s="1"/>
  <c r="O281" i="5" s="1"/>
  <c r="P281" i="5" s="1"/>
  <c r="Q281" i="5" s="1"/>
  <c r="R281" i="5" s="1"/>
  <c r="I281" i="5"/>
  <c r="L280" i="5"/>
  <c r="M280" i="5" s="1"/>
  <c r="N280" i="5" s="1"/>
  <c r="O280" i="5" s="1"/>
  <c r="P280" i="5" s="1"/>
  <c r="Q280" i="5" s="1"/>
  <c r="R280" i="5" s="1"/>
  <c r="K280" i="5"/>
  <c r="J280" i="5"/>
  <c r="I280" i="5"/>
  <c r="J279" i="5"/>
  <c r="K279" i="5" s="1"/>
  <c r="L279" i="5" s="1"/>
  <c r="M279" i="5" s="1"/>
  <c r="N279" i="5" s="1"/>
  <c r="O279" i="5" s="1"/>
  <c r="P279" i="5" s="1"/>
  <c r="Q279" i="5" s="1"/>
  <c r="R279" i="5" s="1"/>
  <c r="I279" i="5"/>
  <c r="L278" i="5"/>
  <c r="M278" i="5" s="1"/>
  <c r="N278" i="5" s="1"/>
  <c r="O278" i="5" s="1"/>
  <c r="P278" i="5" s="1"/>
  <c r="Q278" i="5" s="1"/>
  <c r="R278" i="5" s="1"/>
  <c r="K278" i="5"/>
  <c r="J278" i="5"/>
  <c r="I278" i="5"/>
  <c r="J277" i="5"/>
  <c r="I277" i="5"/>
  <c r="I292" i="5" s="1"/>
  <c r="I56" i="5" s="1"/>
  <c r="E277" i="5"/>
  <c r="H263" i="5"/>
  <c r="D263" i="5"/>
  <c r="D265" i="5" s="1"/>
  <c r="J259" i="5"/>
  <c r="I259" i="5"/>
  <c r="H259" i="5"/>
  <c r="G259" i="5"/>
  <c r="F259" i="5"/>
  <c r="E259" i="5"/>
  <c r="D259" i="5"/>
  <c r="C259" i="5"/>
  <c r="R257" i="5"/>
  <c r="Q257" i="5"/>
  <c r="P257" i="5"/>
  <c r="O257" i="5"/>
  <c r="N257" i="5"/>
  <c r="M257" i="5"/>
  <c r="L257" i="5"/>
  <c r="K257" i="5"/>
  <c r="J257" i="5"/>
  <c r="I257" i="5"/>
  <c r="H257" i="5"/>
  <c r="G257" i="5"/>
  <c r="F257" i="5"/>
  <c r="E257" i="5"/>
  <c r="D257" i="5"/>
  <c r="C257" i="5"/>
  <c r="C263" i="5" s="1"/>
  <c r="C44" i="5" s="1"/>
  <c r="R256" i="5"/>
  <c r="Q256" i="5"/>
  <c r="P256" i="5"/>
  <c r="O256" i="5"/>
  <c r="N256" i="5"/>
  <c r="M256" i="5"/>
  <c r="L256" i="5"/>
  <c r="K256" i="5"/>
  <c r="J256" i="5"/>
  <c r="J263" i="5" s="1"/>
  <c r="I256" i="5"/>
  <c r="I263" i="5" s="1"/>
  <c r="I44" i="5" s="1"/>
  <c r="H256" i="5"/>
  <c r="G256" i="5"/>
  <c r="G263" i="5" s="1"/>
  <c r="G44" i="5" s="1"/>
  <c r="F256" i="5"/>
  <c r="F263" i="5" s="1"/>
  <c r="E256" i="5"/>
  <c r="E263" i="5" s="1"/>
  <c r="E44" i="5" s="1"/>
  <c r="D256" i="5"/>
  <c r="K253" i="5"/>
  <c r="K36" i="5" s="1"/>
  <c r="D253" i="5"/>
  <c r="N249" i="5"/>
  <c r="N253" i="5" s="1"/>
  <c r="M249" i="5"/>
  <c r="M253" i="5" s="1"/>
  <c r="L249" i="5"/>
  <c r="L253" i="5" s="1"/>
  <c r="K249" i="5"/>
  <c r="J249" i="5"/>
  <c r="J253" i="5" s="1"/>
  <c r="J265" i="5" s="1"/>
  <c r="I249" i="5"/>
  <c r="I253" i="5" s="1"/>
  <c r="I265" i="5" s="1"/>
  <c r="H249" i="5"/>
  <c r="H253" i="5" s="1"/>
  <c r="H265" i="5" s="1"/>
  <c r="G249" i="5"/>
  <c r="G253" i="5" s="1"/>
  <c r="F249" i="5"/>
  <c r="F253" i="5" s="1"/>
  <c r="F265" i="5" s="1"/>
  <c r="D249" i="5"/>
  <c r="C249" i="5"/>
  <c r="C253" i="5" s="1"/>
  <c r="J238" i="5"/>
  <c r="I238" i="5"/>
  <c r="H238" i="5"/>
  <c r="G238" i="5"/>
  <c r="F238" i="5"/>
  <c r="E238" i="5"/>
  <c r="D238" i="5"/>
  <c r="C238" i="5"/>
  <c r="I237" i="5"/>
  <c r="H237" i="5"/>
  <c r="G237" i="5"/>
  <c r="F237" i="5"/>
  <c r="E237" i="5"/>
  <c r="D237" i="5"/>
  <c r="C237" i="5"/>
  <c r="H236" i="5"/>
  <c r="G236" i="5"/>
  <c r="F236" i="5"/>
  <c r="E236" i="5"/>
  <c r="D236" i="5"/>
  <c r="C236" i="5"/>
  <c r="H235" i="5"/>
  <c r="G235" i="5"/>
  <c r="F235" i="5"/>
  <c r="E235" i="5"/>
  <c r="D235" i="5"/>
  <c r="C235" i="5"/>
  <c r="G234" i="5"/>
  <c r="F234" i="5"/>
  <c r="D234" i="5"/>
  <c r="C234" i="5"/>
  <c r="C239" i="5" s="1"/>
  <c r="C24" i="5" s="1"/>
  <c r="I233" i="5"/>
  <c r="H233" i="5"/>
  <c r="G233" i="5"/>
  <c r="F233" i="5"/>
  <c r="E233" i="5"/>
  <c r="D233" i="5"/>
  <c r="C233" i="5"/>
  <c r="G232" i="5"/>
  <c r="G239" i="5" s="1"/>
  <c r="G24" i="5" s="1"/>
  <c r="F232" i="5"/>
  <c r="C232" i="5"/>
  <c r="D229" i="5"/>
  <c r="H226" i="5"/>
  <c r="G226" i="5"/>
  <c r="F226" i="5"/>
  <c r="E226" i="5"/>
  <c r="D226" i="5"/>
  <c r="I224" i="5"/>
  <c r="H224" i="5"/>
  <c r="G224" i="5"/>
  <c r="G229" i="5" s="1"/>
  <c r="F224" i="5"/>
  <c r="E224" i="5"/>
  <c r="D224" i="5"/>
  <c r="C224" i="5"/>
  <c r="G223" i="5"/>
  <c r="F223" i="5"/>
  <c r="R222" i="5"/>
  <c r="P222" i="5"/>
  <c r="O222" i="5"/>
  <c r="N222" i="5"/>
  <c r="M222" i="5"/>
  <c r="L222" i="5"/>
  <c r="K222" i="5"/>
  <c r="J222" i="5"/>
  <c r="I222" i="5"/>
  <c r="H222" i="5"/>
  <c r="H229" i="5" s="1"/>
  <c r="G222" i="5"/>
  <c r="F222" i="5"/>
  <c r="F229" i="5" s="1"/>
  <c r="E222" i="5"/>
  <c r="E229" i="5" s="1"/>
  <c r="D222" i="5"/>
  <c r="C222" i="5"/>
  <c r="F211" i="5"/>
  <c r="F213" i="5" s="1"/>
  <c r="D211" i="5"/>
  <c r="R210" i="5"/>
  <c r="Q210" i="5"/>
  <c r="P210" i="5"/>
  <c r="O210" i="5"/>
  <c r="N210" i="5"/>
  <c r="M210" i="5"/>
  <c r="L210" i="5"/>
  <c r="K210" i="5"/>
  <c r="J210" i="5"/>
  <c r="I210" i="5"/>
  <c r="H210" i="5"/>
  <c r="G210" i="5"/>
  <c r="F210" i="5"/>
  <c r="E210" i="5"/>
  <c r="D210" i="5"/>
  <c r="C210" i="5"/>
  <c r="J209" i="5"/>
  <c r="J211" i="5" s="1"/>
  <c r="J43" i="5" s="1"/>
  <c r="I209" i="5"/>
  <c r="I211" i="5" s="1"/>
  <c r="I43" i="5" s="1"/>
  <c r="H209" i="5"/>
  <c r="H211" i="5" s="1"/>
  <c r="G209" i="5"/>
  <c r="G211" i="5" s="1"/>
  <c r="G43" i="5" s="1"/>
  <c r="F209" i="5"/>
  <c r="E209" i="5"/>
  <c r="E211" i="5" s="1"/>
  <c r="E43" i="5" s="1"/>
  <c r="D209" i="5"/>
  <c r="C209" i="5"/>
  <c r="C211" i="5" s="1"/>
  <c r="C43" i="5" s="1"/>
  <c r="N206" i="5"/>
  <c r="L206" i="5"/>
  <c r="J206" i="5"/>
  <c r="J213" i="5" s="1"/>
  <c r="I206" i="5"/>
  <c r="F206" i="5"/>
  <c r="D206" i="5"/>
  <c r="D213" i="5" s="1"/>
  <c r="R205" i="5"/>
  <c r="Q205" i="5"/>
  <c r="P205" i="5"/>
  <c r="O205" i="5"/>
  <c r="N205" i="5"/>
  <c r="M205" i="5"/>
  <c r="L205" i="5"/>
  <c r="K205" i="5"/>
  <c r="J205" i="5"/>
  <c r="I205" i="5"/>
  <c r="H205" i="5"/>
  <c r="G205" i="5"/>
  <c r="F205" i="5"/>
  <c r="E205" i="5"/>
  <c r="D205" i="5"/>
  <c r="C205" i="5"/>
  <c r="R204" i="5"/>
  <c r="R206" i="5" s="1"/>
  <c r="Q204" i="5"/>
  <c r="Q206" i="5" s="1"/>
  <c r="P204" i="5"/>
  <c r="P206" i="5" s="1"/>
  <c r="O204" i="5"/>
  <c r="O206" i="5" s="1"/>
  <c r="O35" i="5" s="1"/>
  <c r="N204" i="5"/>
  <c r="M204" i="5"/>
  <c r="M206" i="5" s="1"/>
  <c r="L204" i="5"/>
  <c r="K204" i="5"/>
  <c r="K206" i="5" s="1"/>
  <c r="J204" i="5"/>
  <c r="I204" i="5"/>
  <c r="H204" i="5"/>
  <c r="H206" i="5" s="1"/>
  <c r="G204" i="5"/>
  <c r="G206" i="5" s="1"/>
  <c r="G213" i="5" s="1"/>
  <c r="F204" i="5"/>
  <c r="E204" i="5"/>
  <c r="E206" i="5" s="1"/>
  <c r="D204" i="5"/>
  <c r="C204" i="5"/>
  <c r="C206" i="5" s="1"/>
  <c r="C213" i="5" s="1"/>
  <c r="F197" i="5"/>
  <c r="D197" i="5"/>
  <c r="H196" i="5"/>
  <c r="G196" i="5"/>
  <c r="F196" i="5"/>
  <c r="E196" i="5"/>
  <c r="D196" i="5"/>
  <c r="C196" i="5"/>
  <c r="G195" i="5"/>
  <c r="G197" i="5" s="1"/>
  <c r="G23" i="5" s="1"/>
  <c r="F195" i="5"/>
  <c r="E195" i="5"/>
  <c r="E197" i="5" s="1"/>
  <c r="E23" i="5" s="1"/>
  <c r="D195" i="5"/>
  <c r="C195" i="5"/>
  <c r="C197" i="5" s="1"/>
  <c r="C23" i="5" s="1"/>
  <c r="F192" i="5"/>
  <c r="F199" i="5" s="1"/>
  <c r="D192" i="5"/>
  <c r="D199" i="5" s="1"/>
  <c r="H191" i="5"/>
  <c r="G191" i="5"/>
  <c r="F191" i="5"/>
  <c r="E191" i="5"/>
  <c r="D191" i="5"/>
  <c r="C191" i="5"/>
  <c r="H190" i="5"/>
  <c r="H192" i="5" s="1"/>
  <c r="G190" i="5"/>
  <c r="G192" i="5" s="1"/>
  <c r="G199" i="5" s="1"/>
  <c r="G215" i="5" s="1"/>
  <c r="F190" i="5"/>
  <c r="E190" i="5"/>
  <c r="E192" i="5" s="1"/>
  <c r="D190" i="5"/>
  <c r="C190" i="5"/>
  <c r="C192" i="5" s="1"/>
  <c r="C199" i="5" s="1"/>
  <c r="C215" i="5" s="1"/>
  <c r="N179" i="5"/>
  <c r="N42" i="5" s="1"/>
  <c r="J179" i="5"/>
  <c r="I179" i="5"/>
  <c r="I42" i="5" s="1"/>
  <c r="F179" i="5"/>
  <c r="D179" i="5"/>
  <c r="R178" i="5"/>
  <c r="Q178" i="5"/>
  <c r="P178" i="5"/>
  <c r="O178" i="5"/>
  <c r="N178" i="5"/>
  <c r="M178" i="5"/>
  <c r="L178" i="5"/>
  <c r="K178" i="5"/>
  <c r="J178" i="5"/>
  <c r="I178" i="5"/>
  <c r="H178" i="5"/>
  <c r="G178" i="5"/>
  <c r="F178" i="5"/>
  <c r="E178" i="5"/>
  <c r="D178" i="5"/>
  <c r="R177" i="5"/>
  <c r="Q177" i="5"/>
  <c r="P177" i="5"/>
  <c r="O177" i="5"/>
  <c r="N177" i="5"/>
  <c r="M177" i="5"/>
  <c r="L177" i="5"/>
  <c r="L179" i="5" s="1"/>
  <c r="K177" i="5"/>
  <c r="J177" i="5"/>
  <c r="I177" i="5"/>
  <c r="H177" i="5"/>
  <c r="G177" i="5"/>
  <c r="F177" i="5"/>
  <c r="E177" i="5"/>
  <c r="D177" i="5"/>
  <c r="C177" i="5"/>
  <c r="C179" i="5" s="1"/>
  <c r="C42" i="5" s="1"/>
  <c r="D176" i="5"/>
  <c r="R175" i="5"/>
  <c r="R179" i="5" s="1"/>
  <c r="R42" i="5" s="1"/>
  <c r="Q175" i="5"/>
  <c r="Q179" i="5" s="1"/>
  <c r="Q42" i="5" s="1"/>
  <c r="P175" i="5"/>
  <c r="P179" i="5" s="1"/>
  <c r="O175" i="5"/>
  <c r="O179" i="5" s="1"/>
  <c r="O42" i="5" s="1"/>
  <c r="N175" i="5"/>
  <c r="M175" i="5"/>
  <c r="M179" i="5" s="1"/>
  <c r="M42" i="5" s="1"/>
  <c r="L175" i="5"/>
  <c r="K175" i="5"/>
  <c r="K179" i="5" s="1"/>
  <c r="K42" i="5" s="1"/>
  <c r="J175" i="5"/>
  <c r="I175" i="5"/>
  <c r="H175" i="5"/>
  <c r="H179" i="5" s="1"/>
  <c r="G175" i="5"/>
  <c r="G179" i="5" s="1"/>
  <c r="G42" i="5" s="1"/>
  <c r="F175" i="5"/>
  <c r="E175" i="5"/>
  <c r="E179" i="5" s="1"/>
  <c r="E42" i="5" s="1"/>
  <c r="D175" i="5"/>
  <c r="Q172" i="5"/>
  <c r="Q181" i="5" s="1"/>
  <c r="M172" i="5"/>
  <c r="M181" i="5" s="1"/>
  <c r="L172" i="5"/>
  <c r="L181" i="5" s="1"/>
  <c r="I172" i="5"/>
  <c r="G172" i="5"/>
  <c r="G181" i="5" s="1"/>
  <c r="R171" i="5"/>
  <c r="Q171" i="5"/>
  <c r="P171" i="5"/>
  <c r="O171" i="5"/>
  <c r="N171" i="5"/>
  <c r="M171" i="5"/>
  <c r="L171" i="5"/>
  <c r="K171" i="5"/>
  <c r="J171" i="5"/>
  <c r="I171" i="5"/>
  <c r="H171" i="5"/>
  <c r="H172" i="5" s="1"/>
  <c r="H181" i="5" s="1"/>
  <c r="G171" i="5"/>
  <c r="F171" i="5"/>
  <c r="E171" i="5"/>
  <c r="E172" i="5" s="1"/>
  <c r="D171" i="5"/>
  <c r="D172" i="5" s="1"/>
  <c r="D181" i="5" s="1"/>
  <c r="R170" i="5"/>
  <c r="R172" i="5" s="1"/>
  <c r="Q170" i="5"/>
  <c r="P170" i="5"/>
  <c r="P172" i="5" s="1"/>
  <c r="P181" i="5" s="1"/>
  <c r="O170" i="5"/>
  <c r="O172" i="5" s="1"/>
  <c r="N170" i="5"/>
  <c r="N172" i="5" s="1"/>
  <c r="M170" i="5"/>
  <c r="L170" i="5"/>
  <c r="K170" i="5"/>
  <c r="K172" i="5" s="1"/>
  <c r="J170" i="5"/>
  <c r="J172" i="5" s="1"/>
  <c r="J181" i="5" s="1"/>
  <c r="I170" i="5"/>
  <c r="H170" i="5"/>
  <c r="G170" i="5"/>
  <c r="F170" i="5"/>
  <c r="F172" i="5" s="1"/>
  <c r="F181" i="5" s="1"/>
  <c r="E170" i="5"/>
  <c r="D170" i="5"/>
  <c r="C170" i="5"/>
  <c r="C172" i="5" s="1"/>
  <c r="H160" i="5"/>
  <c r="G160" i="5"/>
  <c r="F160" i="5"/>
  <c r="E160" i="5"/>
  <c r="D160" i="5"/>
  <c r="C160" i="5"/>
  <c r="J159" i="5"/>
  <c r="I159" i="5"/>
  <c r="H159" i="5"/>
  <c r="G159" i="5"/>
  <c r="F159" i="5"/>
  <c r="E159" i="5"/>
  <c r="D159" i="5"/>
  <c r="C159" i="5"/>
  <c r="H158" i="5"/>
  <c r="G158" i="5"/>
  <c r="F158" i="5"/>
  <c r="E158" i="5"/>
  <c r="D158" i="5"/>
  <c r="C158" i="5"/>
  <c r="G157" i="5"/>
  <c r="G161" i="5" s="1"/>
  <c r="G22" i="5" s="1"/>
  <c r="F157" i="5"/>
  <c r="F161" i="5" s="1"/>
  <c r="F22" i="5" s="1"/>
  <c r="D157" i="5"/>
  <c r="D161" i="5" s="1"/>
  <c r="C157" i="5"/>
  <c r="C161" i="5" s="1"/>
  <c r="C22" i="5" s="1"/>
  <c r="I153" i="5"/>
  <c r="H153" i="5"/>
  <c r="G153" i="5"/>
  <c r="F153" i="5"/>
  <c r="E153" i="5"/>
  <c r="D153" i="5"/>
  <c r="C153" i="5"/>
  <c r="R152" i="5"/>
  <c r="Q152" i="5"/>
  <c r="P152" i="5"/>
  <c r="O152" i="5"/>
  <c r="N152" i="5"/>
  <c r="M152" i="5"/>
  <c r="L152" i="5"/>
  <c r="K152" i="5"/>
  <c r="J152" i="5"/>
  <c r="I152" i="5"/>
  <c r="H152" i="5"/>
  <c r="G152" i="5"/>
  <c r="F152" i="5"/>
  <c r="E152" i="5"/>
  <c r="D152" i="5"/>
  <c r="C152" i="5"/>
  <c r="C154" i="5" s="1"/>
  <c r="I151" i="5"/>
  <c r="H151" i="5"/>
  <c r="G151" i="5"/>
  <c r="F151" i="5"/>
  <c r="D151" i="5"/>
  <c r="C151" i="5"/>
  <c r="I150" i="5"/>
  <c r="I154" i="5" s="1"/>
  <c r="H150" i="5"/>
  <c r="H154" i="5" s="1"/>
  <c r="H14" i="5" s="1"/>
  <c r="G150" i="5"/>
  <c r="G154" i="5" s="1"/>
  <c r="F150" i="5"/>
  <c r="F154" i="5" s="1"/>
  <c r="E150" i="5"/>
  <c r="D150" i="5"/>
  <c r="C150" i="5"/>
  <c r="G138" i="5"/>
  <c r="G41" i="5" s="1"/>
  <c r="R136" i="5"/>
  <c r="Q136" i="5"/>
  <c r="P136" i="5"/>
  <c r="O136" i="5"/>
  <c r="N136" i="5"/>
  <c r="M136" i="5"/>
  <c r="L136" i="5"/>
  <c r="K136" i="5"/>
  <c r="J136" i="5"/>
  <c r="I136" i="5"/>
  <c r="H136" i="5"/>
  <c r="G136" i="5"/>
  <c r="F136" i="5"/>
  <c r="E136" i="5"/>
  <c r="D136" i="5"/>
  <c r="C136" i="5"/>
  <c r="I135" i="5"/>
  <c r="H135" i="5"/>
  <c r="G135" i="5"/>
  <c r="F135" i="5"/>
  <c r="E135" i="5"/>
  <c r="D135" i="5"/>
  <c r="C135" i="5"/>
  <c r="R133" i="5"/>
  <c r="Q133" i="5"/>
  <c r="P133" i="5"/>
  <c r="O133" i="5"/>
  <c r="N133" i="5"/>
  <c r="M133" i="5"/>
  <c r="L133" i="5"/>
  <c r="K133" i="5"/>
  <c r="J133" i="5"/>
  <c r="I133" i="5"/>
  <c r="H133" i="5"/>
  <c r="G133" i="5"/>
  <c r="F133" i="5"/>
  <c r="E133" i="5"/>
  <c r="D133" i="5"/>
  <c r="C133" i="5"/>
  <c r="R132" i="5"/>
  <c r="Q132" i="5"/>
  <c r="P132" i="5"/>
  <c r="O132" i="5"/>
  <c r="N132" i="5"/>
  <c r="M132" i="5"/>
  <c r="L132" i="5"/>
  <c r="K132" i="5"/>
  <c r="J132" i="5"/>
  <c r="I132" i="5"/>
  <c r="H132" i="5"/>
  <c r="G132" i="5"/>
  <c r="F132" i="5"/>
  <c r="C132" i="5"/>
  <c r="R131" i="5"/>
  <c r="Q131" i="5"/>
  <c r="P131" i="5"/>
  <c r="O131" i="5"/>
  <c r="N131" i="5"/>
  <c r="M131" i="5"/>
  <c r="L131" i="5"/>
  <c r="K131" i="5"/>
  <c r="J131" i="5"/>
  <c r="I131" i="5"/>
  <c r="I138" i="5" s="1"/>
  <c r="H131" i="5"/>
  <c r="G131" i="5"/>
  <c r="F131" i="5"/>
  <c r="E131" i="5"/>
  <c r="D131" i="5"/>
  <c r="C131" i="5"/>
  <c r="C138" i="5" s="1"/>
  <c r="C41" i="5" s="1"/>
  <c r="H127" i="5"/>
  <c r="R125" i="5"/>
  <c r="Q125" i="5"/>
  <c r="P125" i="5"/>
  <c r="O125" i="5"/>
  <c r="N125" i="5"/>
  <c r="M125" i="5"/>
  <c r="L125" i="5"/>
  <c r="K125" i="5"/>
  <c r="J125" i="5"/>
  <c r="I125" i="5"/>
  <c r="H125" i="5"/>
  <c r="G125" i="5"/>
  <c r="F125" i="5"/>
  <c r="E125" i="5"/>
  <c r="D125" i="5"/>
  <c r="C125" i="5"/>
  <c r="R124" i="5"/>
  <c r="Q124" i="5"/>
  <c r="P124" i="5"/>
  <c r="O124" i="5"/>
  <c r="N124" i="5"/>
  <c r="M124" i="5"/>
  <c r="L124" i="5"/>
  <c r="K124" i="5"/>
  <c r="J124" i="5"/>
  <c r="I124" i="5"/>
  <c r="H124" i="5"/>
  <c r="G124" i="5"/>
  <c r="F124" i="5"/>
  <c r="E124" i="5"/>
  <c r="D124" i="5"/>
  <c r="C124" i="5"/>
  <c r="C127" i="5" s="1"/>
  <c r="Q122" i="5"/>
  <c r="P122" i="5"/>
  <c r="O122" i="5"/>
  <c r="N122" i="5"/>
  <c r="M122" i="5"/>
  <c r="L122" i="5"/>
  <c r="K122" i="5"/>
  <c r="K127" i="5" s="1"/>
  <c r="J122" i="5"/>
  <c r="I122" i="5"/>
  <c r="H122" i="5"/>
  <c r="G122" i="5"/>
  <c r="F122" i="5"/>
  <c r="C122" i="5"/>
  <c r="R121" i="5"/>
  <c r="Q121" i="5"/>
  <c r="P121" i="5"/>
  <c r="O121" i="5"/>
  <c r="N121" i="5"/>
  <c r="N127" i="5" s="1"/>
  <c r="M121" i="5"/>
  <c r="L121" i="5"/>
  <c r="K121" i="5"/>
  <c r="J121" i="5"/>
  <c r="I121" i="5"/>
  <c r="H121" i="5"/>
  <c r="G121" i="5"/>
  <c r="F121" i="5"/>
  <c r="C121" i="5"/>
  <c r="R120" i="5"/>
  <c r="P120" i="5"/>
  <c r="P127" i="5" s="1"/>
  <c r="O120" i="5"/>
  <c r="N120" i="5"/>
  <c r="M120" i="5"/>
  <c r="M127" i="5" s="1"/>
  <c r="L120" i="5"/>
  <c r="L127" i="5" s="1"/>
  <c r="K120" i="5"/>
  <c r="J120" i="5"/>
  <c r="J127" i="5" s="1"/>
  <c r="I120" i="5"/>
  <c r="I127" i="5" s="1"/>
  <c r="H120" i="5"/>
  <c r="G120" i="5"/>
  <c r="F120" i="5"/>
  <c r="F127" i="5" s="1"/>
  <c r="D120" i="5"/>
  <c r="C120" i="5"/>
  <c r="I111" i="5"/>
  <c r="H111" i="5"/>
  <c r="G111" i="5"/>
  <c r="F111" i="5"/>
  <c r="C111" i="5"/>
  <c r="I110" i="5"/>
  <c r="H110" i="5"/>
  <c r="G110" i="5"/>
  <c r="F110" i="5"/>
  <c r="E110" i="5"/>
  <c r="D110" i="5"/>
  <c r="H109" i="5"/>
  <c r="G109" i="5"/>
  <c r="E109" i="5"/>
  <c r="D109" i="5"/>
  <c r="C109" i="5"/>
  <c r="I108" i="5"/>
  <c r="H108" i="5"/>
  <c r="H112" i="5" s="1"/>
  <c r="H21" i="5" s="1"/>
  <c r="G108" i="5"/>
  <c r="F108" i="5"/>
  <c r="E108" i="5"/>
  <c r="D108" i="5"/>
  <c r="C108" i="5"/>
  <c r="I107" i="5"/>
  <c r="H107" i="5"/>
  <c r="G107" i="5"/>
  <c r="F107" i="5"/>
  <c r="E107" i="5"/>
  <c r="D107" i="5"/>
  <c r="C107" i="5"/>
  <c r="H106" i="5"/>
  <c r="G106" i="5"/>
  <c r="F106" i="5"/>
  <c r="E106" i="5"/>
  <c r="D106" i="5"/>
  <c r="C106" i="5"/>
  <c r="I105" i="5"/>
  <c r="H105" i="5"/>
  <c r="G105" i="5"/>
  <c r="E105" i="5"/>
  <c r="D105" i="5"/>
  <c r="C105" i="5"/>
  <c r="H104" i="5"/>
  <c r="G104" i="5"/>
  <c r="G112" i="5" s="1"/>
  <c r="G21" i="5" s="1"/>
  <c r="F104" i="5"/>
  <c r="D104" i="5"/>
  <c r="I100" i="5"/>
  <c r="H100" i="5"/>
  <c r="G100" i="5"/>
  <c r="F100" i="5"/>
  <c r="E100" i="5"/>
  <c r="D100" i="5"/>
  <c r="C100" i="5"/>
  <c r="H99" i="5"/>
  <c r="G99" i="5"/>
  <c r="F99" i="5"/>
  <c r="E99" i="5"/>
  <c r="D99" i="5"/>
  <c r="C99" i="5"/>
  <c r="I98" i="5"/>
  <c r="H98" i="5"/>
  <c r="G98" i="5"/>
  <c r="F98" i="5"/>
  <c r="E98" i="5"/>
  <c r="D98" i="5"/>
  <c r="C98" i="5"/>
  <c r="I97" i="5"/>
  <c r="H97" i="5"/>
  <c r="G97" i="5"/>
  <c r="F97" i="5"/>
  <c r="E97" i="5"/>
  <c r="D97" i="5"/>
  <c r="C97" i="5"/>
  <c r="I96" i="5"/>
  <c r="H96" i="5"/>
  <c r="G96" i="5"/>
  <c r="F96" i="5"/>
  <c r="E96" i="5"/>
  <c r="D96" i="5"/>
  <c r="C96" i="5"/>
  <c r="I95" i="5"/>
  <c r="H95" i="5"/>
  <c r="G95" i="5"/>
  <c r="F95" i="5"/>
  <c r="E95" i="5"/>
  <c r="D95" i="5"/>
  <c r="C95" i="5"/>
  <c r="H94" i="5"/>
  <c r="G94" i="5"/>
  <c r="F94" i="5"/>
  <c r="E94" i="5"/>
  <c r="D94" i="5"/>
  <c r="C94" i="5"/>
  <c r="H93" i="5"/>
  <c r="H101" i="5" s="1"/>
  <c r="G93" i="5"/>
  <c r="G101" i="5" s="1"/>
  <c r="F93" i="5"/>
  <c r="F101" i="5" s="1"/>
  <c r="C93" i="5"/>
  <c r="C101" i="5" s="1"/>
  <c r="R81" i="5"/>
  <c r="Q81" i="5"/>
  <c r="P81" i="5"/>
  <c r="O81" i="5"/>
  <c r="N81" i="5"/>
  <c r="M81" i="5"/>
  <c r="L81" i="5"/>
  <c r="K81" i="5"/>
  <c r="J81" i="5"/>
  <c r="I81" i="5"/>
  <c r="H81" i="5"/>
  <c r="G81" i="5"/>
  <c r="F81" i="5"/>
  <c r="E81" i="5"/>
  <c r="D81" i="5"/>
  <c r="C81" i="5"/>
  <c r="D75" i="5"/>
  <c r="D83" i="5" s="1"/>
  <c r="R74" i="5"/>
  <c r="R75" i="5" s="1"/>
  <c r="Q74" i="5"/>
  <c r="Q75" i="5" s="1"/>
  <c r="P74" i="5"/>
  <c r="P75" i="5" s="1"/>
  <c r="O74" i="5"/>
  <c r="O75" i="5" s="1"/>
  <c r="N74" i="5"/>
  <c r="N75" i="5" s="1"/>
  <c r="M74" i="5"/>
  <c r="M75" i="5" s="1"/>
  <c r="L74" i="5"/>
  <c r="L75" i="5" s="1"/>
  <c r="K74" i="5"/>
  <c r="K75" i="5" s="1"/>
  <c r="J74" i="5"/>
  <c r="J75" i="5" s="1"/>
  <c r="I74" i="5"/>
  <c r="I75" i="5" s="1"/>
  <c r="H74" i="5"/>
  <c r="H75" i="5" s="1"/>
  <c r="G74" i="5"/>
  <c r="G75" i="5" s="1"/>
  <c r="F74" i="5"/>
  <c r="F75" i="5" s="1"/>
  <c r="D74" i="5"/>
  <c r="C74" i="5"/>
  <c r="C75" i="5" s="1"/>
  <c r="D65" i="5"/>
  <c r="D20" i="5" s="1"/>
  <c r="H64" i="5"/>
  <c r="G64" i="5"/>
  <c r="F64" i="5"/>
  <c r="D64" i="5"/>
  <c r="C64" i="5"/>
  <c r="J63" i="5"/>
  <c r="I63" i="5"/>
  <c r="H63" i="5"/>
  <c r="G63" i="5"/>
  <c r="F63" i="5"/>
  <c r="D63" i="5"/>
  <c r="C63" i="5"/>
  <c r="H62" i="5"/>
  <c r="H65" i="5" s="1"/>
  <c r="H20" i="5" s="1"/>
  <c r="G62" i="5"/>
  <c r="G65" i="5" s="1"/>
  <c r="G20" i="5" s="1"/>
  <c r="F62" i="5"/>
  <c r="F65" i="5" s="1"/>
  <c r="F20" i="5" s="1"/>
  <c r="D62" i="5"/>
  <c r="J58" i="5"/>
  <c r="I58" i="5"/>
  <c r="H58" i="5"/>
  <c r="G58" i="5"/>
  <c r="F58" i="5"/>
  <c r="E58" i="5"/>
  <c r="D58" i="5"/>
  <c r="C58" i="5"/>
  <c r="H57" i="5"/>
  <c r="F57" i="5"/>
  <c r="E57" i="5"/>
  <c r="D57" i="5"/>
  <c r="H56" i="5"/>
  <c r="H59" i="5" s="1"/>
  <c r="G56" i="5"/>
  <c r="F56" i="5"/>
  <c r="F59" i="5" s="1"/>
  <c r="D56" i="5"/>
  <c r="D59" i="5" s="1"/>
  <c r="J44" i="5"/>
  <c r="H44" i="5"/>
  <c r="F44" i="5"/>
  <c r="D44" i="5"/>
  <c r="H43" i="5"/>
  <c r="D43" i="5"/>
  <c r="P42" i="5"/>
  <c r="L42" i="5"/>
  <c r="J42" i="5"/>
  <c r="H42" i="5"/>
  <c r="F42" i="5"/>
  <c r="D42" i="5"/>
  <c r="I41" i="5"/>
  <c r="D41" i="5"/>
  <c r="R40" i="5"/>
  <c r="Q40" i="5"/>
  <c r="P40" i="5"/>
  <c r="O40" i="5"/>
  <c r="N40" i="5"/>
  <c r="M40" i="5"/>
  <c r="L40" i="5"/>
  <c r="K40" i="5"/>
  <c r="J40" i="5"/>
  <c r="I40" i="5"/>
  <c r="H40" i="5"/>
  <c r="G40" i="5"/>
  <c r="G45" i="5" s="1"/>
  <c r="F40" i="5"/>
  <c r="E40" i="5"/>
  <c r="D40" i="5"/>
  <c r="D45" i="5" s="1"/>
  <c r="C40" i="5"/>
  <c r="C45" i="5" s="1"/>
  <c r="N36" i="5"/>
  <c r="M36" i="5"/>
  <c r="L36" i="5"/>
  <c r="J36" i="5"/>
  <c r="I36" i="5"/>
  <c r="F36" i="5"/>
  <c r="D36" i="5"/>
  <c r="P35" i="5"/>
  <c r="L35" i="5"/>
  <c r="J35" i="5"/>
  <c r="H35" i="5"/>
  <c r="F35" i="5"/>
  <c r="D35" i="5"/>
  <c r="R34" i="5"/>
  <c r="P34" i="5"/>
  <c r="N34" i="5"/>
  <c r="M34" i="5"/>
  <c r="L34" i="5"/>
  <c r="J34" i="5"/>
  <c r="I34" i="5"/>
  <c r="H34" i="5"/>
  <c r="F34" i="5"/>
  <c r="D34" i="5"/>
  <c r="Q33" i="5"/>
  <c r="P33" i="5"/>
  <c r="M33" i="5"/>
  <c r="L33" i="5"/>
  <c r="I33" i="5"/>
  <c r="D32" i="5"/>
  <c r="F23" i="5"/>
  <c r="D23" i="5"/>
  <c r="D22" i="5"/>
  <c r="H16" i="5"/>
  <c r="D16" i="5"/>
  <c r="H15" i="5"/>
  <c r="F15" i="5"/>
  <c r="D15" i="5"/>
  <c r="I14" i="5"/>
  <c r="G2191" i="4"/>
  <c r="E2191" i="4"/>
  <c r="H2188" i="4"/>
  <c r="H2191" i="4" s="1"/>
  <c r="G2188" i="4"/>
  <c r="F2188" i="4"/>
  <c r="F2191" i="4" s="1"/>
  <c r="E2188" i="4"/>
  <c r="D2188" i="4"/>
  <c r="D2191" i="4" s="1"/>
  <c r="C2188" i="4"/>
  <c r="C2191" i="4" s="1"/>
  <c r="K2186" i="4"/>
  <c r="L2186" i="4" s="1"/>
  <c r="M2186" i="4" s="1"/>
  <c r="N2186" i="4" s="1"/>
  <c r="O2186" i="4" s="1"/>
  <c r="P2186" i="4" s="1"/>
  <c r="Q2186" i="4" s="1"/>
  <c r="R2186" i="4" s="1"/>
  <c r="I2186" i="4"/>
  <c r="J2186" i="4" s="1"/>
  <c r="I2181" i="4"/>
  <c r="I2175" i="4"/>
  <c r="G2175" i="4"/>
  <c r="C2175" i="4"/>
  <c r="I2173" i="4"/>
  <c r="H2173" i="4"/>
  <c r="H2175" i="4" s="1"/>
  <c r="G2173" i="4"/>
  <c r="F2173" i="4"/>
  <c r="F2175" i="4" s="1"/>
  <c r="E2173" i="4"/>
  <c r="E2175" i="4" s="1"/>
  <c r="C2173" i="4"/>
  <c r="K2171" i="4"/>
  <c r="L2171" i="4" s="1"/>
  <c r="M2171" i="4" s="1"/>
  <c r="N2171" i="4" s="1"/>
  <c r="O2171" i="4" s="1"/>
  <c r="P2171" i="4" s="1"/>
  <c r="Q2171" i="4" s="1"/>
  <c r="R2171" i="4" s="1"/>
  <c r="J2171" i="4"/>
  <c r="I2171" i="4"/>
  <c r="O2170" i="4"/>
  <c r="P2170" i="4" s="1"/>
  <c r="Q2170" i="4" s="1"/>
  <c r="R2170" i="4" s="1"/>
  <c r="K2170" i="4"/>
  <c r="L2170" i="4" s="1"/>
  <c r="M2170" i="4" s="1"/>
  <c r="N2170" i="4" s="1"/>
  <c r="I2170" i="4"/>
  <c r="J2170" i="4" s="1"/>
  <c r="J2169" i="4"/>
  <c r="K2169" i="4" s="1"/>
  <c r="L2169" i="4" s="1"/>
  <c r="M2169" i="4" s="1"/>
  <c r="N2169" i="4" s="1"/>
  <c r="O2169" i="4" s="1"/>
  <c r="P2169" i="4" s="1"/>
  <c r="Q2169" i="4" s="1"/>
  <c r="R2169" i="4" s="1"/>
  <c r="I2169" i="4"/>
  <c r="D2169" i="4"/>
  <c r="D2173" i="4" s="1"/>
  <c r="D2175" i="4" s="1"/>
  <c r="L2168" i="4"/>
  <c r="J2168" i="4"/>
  <c r="K2168" i="4" s="1"/>
  <c r="I2168" i="4"/>
  <c r="H2160" i="4"/>
  <c r="G2160" i="4"/>
  <c r="G2162" i="4" s="1"/>
  <c r="F2160" i="4"/>
  <c r="F2162" i="4" s="1"/>
  <c r="C2160" i="4"/>
  <c r="R2157" i="4"/>
  <c r="Q2157" i="4"/>
  <c r="D2157" i="4"/>
  <c r="D2160" i="4" s="1"/>
  <c r="D2162" i="4" s="1"/>
  <c r="N2156" i="4"/>
  <c r="O2156" i="4" s="1"/>
  <c r="P2156" i="4" s="1"/>
  <c r="Q2156" i="4" s="1"/>
  <c r="R2156" i="4" s="1"/>
  <c r="J2156" i="4"/>
  <c r="K2156" i="4" s="1"/>
  <c r="L2156" i="4" s="1"/>
  <c r="M2156" i="4" s="1"/>
  <c r="I2156" i="4"/>
  <c r="Q2154" i="4"/>
  <c r="R2154" i="4" s="1"/>
  <c r="Q2152" i="4"/>
  <c r="R2152" i="4" s="1"/>
  <c r="O2152" i="4"/>
  <c r="P2152" i="4" s="1"/>
  <c r="K2152" i="4"/>
  <c r="L2152" i="4" s="1"/>
  <c r="M2152" i="4" s="1"/>
  <c r="N2152" i="4" s="1"/>
  <c r="J2152" i="4"/>
  <c r="I2152" i="4"/>
  <c r="P2151" i="4"/>
  <c r="Q2151" i="4" s="1"/>
  <c r="R2151" i="4" s="1"/>
  <c r="I2151" i="4"/>
  <c r="J2151" i="4" s="1"/>
  <c r="K2151" i="4" s="1"/>
  <c r="L2151" i="4" s="1"/>
  <c r="M2151" i="4" s="1"/>
  <c r="N2151" i="4" s="1"/>
  <c r="O2151" i="4" s="1"/>
  <c r="I2150" i="4"/>
  <c r="J2150" i="4" s="1"/>
  <c r="K2150" i="4" s="1"/>
  <c r="L2150" i="4" s="1"/>
  <c r="M2150" i="4" s="1"/>
  <c r="N2150" i="4" s="1"/>
  <c r="O2150" i="4" s="1"/>
  <c r="P2150" i="4" s="1"/>
  <c r="Q2150" i="4" s="1"/>
  <c r="R2150" i="4" s="1"/>
  <c r="E2150" i="4"/>
  <c r="E2160" i="4" s="1"/>
  <c r="C2150" i="4"/>
  <c r="M2148" i="4"/>
  <c r="N2148" i="4" s="1"/>
  <c r="O2148" i="4" s="1"/>
  <c r="P2148" i="4" s="1"/>
  <c r="Q2148" i="4" s="1"/>
  <c r="R2148" i="4" s="1"/>
  <c r="K2148" i="4"/>
  <c r="L2148" i="4" s="1"/>
  <c r="J2148" i="4"/>
  <c r="I2148" i="4"/>
  <c r="Q2147" i="4"/>
  <c r="R2147" i="4" s="1"/>
  <c r="K2147" i="4"/>
  <c r="L2147" i="4" s="1"/>
  <c r="M2147" i="4" s="1"/>
  <c r="N2147" i="4" s="1"/>
  <c r="O2147" i="4" s="1"/>
  <c r="P2147" i="4" s="1"/>
  <c r="I2147" i="4"/>
  <c r="J2147" i="4" s="1"/>
  <c r="J2146" i="4"/>
  <c r="I2146" i="4"/>
  <c r="G2142" i="4"/>
  <c r="E2142" i="4"/>
  <c r="D2142" i="4"/>
  <c r="K2136" i="4"/>
  <c r="L2136" i="4" s="1"/>
  <c r="M2136" i="4" s="1"/>
  <c r="N2136" i="4" s="1"/>
  <c r="O2136" i="4" s="1"/>
  <c r="P2136" i="4" s="1"/>
  <c r="Q2136" i="4" s="1"/>
  <c r="R2136" i="4" s="1"/>
  <c r="I2136" i="4"/>
  <c r="J2136" i="4" s="1"/>
  <c r="J2135" i="4"/>
  <c r="K2135" i="4" s="1"/>
  <c r="L2135" i="4" s="1"/>
  <c r="M2135" i="4" s="1"/>
  <c r="N2135" i="4" s="1"/>
  <c r="O2135" i="4" s="1"/>
  <c r="P2135" i="4" s="1"/>
  <c r="Q2135" i="4" s="1"/>
  <c r="R2135" i="4" s="1"/>
  <c r="I2135" i="4"/>
  <c r="H2135" i="4"/>
  <c r="R2134" i="4"/>
  <c r="Q2134" i="4"/>
  <c r="P2134" i="4"/>
  <c r="O2134" i="4"/>
  <c r="N2134" i="4"/>
  <c r="M2134" i="4"/>
  <c r="L2134" i="4"/>
  <c r="K2134" i="4"/>
  <c r="J2134" i="4"/>
  <c r="I2134" i="4"/>
  <c r="H2134" i="4"/>
  <c r="I2133" i="4"/>
  <c r="J2133" i="4" s="1"/>
  <c r="K2133" i="4" s="1"/>
  <c r="L2133" i="4" s="1"/>
  <c r="M2133" i="4" s="1"/>
  <c r="N2133" i="4" s="1"/>
  <c r="O2133" i="4" s="1"/>
  <c r="P2133" i="4" s="1"/>
  <c r="Q2133" i="4" s="1"/>
  <c r="R2133" i="4" s="1"/>
  <c r="R2132" i="4"/>
  <c r="N2132" i="4"/>
  <c r="O2132" i="4" s="1"/>
  <c r="P2132" i="4" s="1"/>
  <c r="Q2132" i="4" s="1"/>
  <c r="M2132" i="4"/>
  <c r="K2132" i="4"/>
  <c r="L2132" i="4" s="1"/>
  <c r="J2132" i="4"/>
  <c r="L2131" i="4"/>
  <c r="M2131" i="4" s="1"/>
  <c r="N2131" i="4" s="1"/>
  <c r="O2131" i="4" s="1"/>
  <c r="P2131" i="4" s="1"/>
  <c r="Q2131" i="4" s="1"/>
  <c r="R2131" i="4" s="1"/>
  <c r="K2131" i="4"/>
  <c r="J2131" i="4"/>
  <c r="O2130" i="4"/>
  <c r="P2130" i="4" s="1"/>
  <c r="Q2130" i="4" s="1"/>
  <c r="R2130" i="4" s="1"/>
  <c r="K2130" i="4"/>
  <c r="L2130" i="4" s="1"/>
  <c r="M2130" i="4" s="1"/>
  <c r="N2130" i="4" s="1"/>
  <c r="J2130" i="4"/>
  <c r="N2129" i="4"/>
  <c r="O2129" i="4" s="1"/>
  <c r="P2129" i="4" s="1"/>
  <c r="Q2129" i="4" s="1"/>
  <c r="R2129" i="4" s="1"/>
  <c r="J2129" i="4"/>
  <c r="K2129" i="4" s="1"/>
  <c r="L2129" i="4" s="1"/>
  <c r="M2129" i="4" s="1"/>
  <c r="M2128" i="4"/>
  <c r="N2128" i="4" s="1"/>
  <c r="O2128" i="4" s="1"/>
  <c r="P2128" i="4" s="1"/>
  <c r="Q2128" i="4" s="1"/>
  <c r="R2128" i="4" s="1"/>
  <c r="K2128" i="4"/>
  <c r="L2128" i="4" s="1"/>
  <c r="J2128" i="4"/>
  <c r="F2128" i="4"/>
  <c r="F2142" i="4" s="1"/>
  <c r="Q2127" i="4"/>
  <c r="R2127" i="4" s="1"/>
  <c r="M2127" i="4"/>
  <c r="N2127" i="4" s="1"/>
  <c r="O2127" i="4" s="1"/>
  <c r="P2127" i="4" s="1"/>
  <c r="L2127" i="4"/>
  <c r="K2127" i="4"/>
  <c r="J2127" i="4"/>
  <c r="R2126" i="4"/>
  <c r="Q2126" i="4"/>
  <c r="C2126" i="4"/>
  <c r="P2125" i="4"/>
  <c r="Q2125" i="4" s="1"/>
  <c r="R2125" i="4" s="1"/>
  <c r="O2125" i="4"/>
  <c r="K2125" i="4"/>
  <c r="L2125" i="4" s="1"/>
  <c r="M2125" i="4" s="1"/>
  <c r="N2125" i="4" s="1"/>
  <c r="J2125" i="4"/>
  <c r="C2125" i="4"/>
  <c r="C2142" i="4" s="1"/>
  <c r="Q2124" i="4"/>
  <c r="R2124" i="4" s="1"/>
  <c r="L2123" i="4"/>
  <c r="M2123" i="4" s="1"/>
  <c r="N2123" i="4" s="1"/>
  <c r="O2123" i="4" s="1"/>
  <c r="P2123" i="4" s="1"/>
  <c r="Q2123" i="4" s="1"/>
  <c r="R2123" i="4" s="1"/>
  <c r="K2123" i="4"/>
  <c r="I2123" i="4"/>
  <c r="J2123" i="4" s="1"/>
  <c r="H2123" i="4"/>
  <c r="R2122" i="4"/>
  <c r="O2122" i="4"/>
  <c r="P2122" i="4" s="1"/>
  <c r="Q2122" i="4" s="1"/>
  <c r="J2122" i="4"/>
  <c r="K2122" i="4" s="1"/>
  <c r="L2122" i="4" s="1"/>
  <c r="M2122" i="4" s="1"/>
  <c r="N2122" i="4" s="1"/>
  <c r="I2122" i="4"/>
  <c r="C2122" i="4"/>
  <c r="Q2121" i="4"/>
  <c r="R2121" i="4" s="1"/>
  <c r="N2121" i="4"/>
  <c r="O2121" i="4" s="1"/>
  <c r="P2121" i="4" s="1"/>
  <c r="I2121" i="4"/>
  <c r="J2121" i="4" s="1"/>
  <c r="K2121" i="4" s="1"/>
  <c r="L2121" i="4" s="1"/>
  <c r="M2121" i="4" s="1"/>
  <c r="E2121" i="4"/>
  <c r="C2121" i="4"/>
  <c r="I2118" i="4"/>
  <c r="J2118" i="4" s="1"/>
  <c r="K2118" i="4" s="1"/>
  <c r="L2118" i="4" s="1"/>
  <c r="M2118" i="4" s="1"/>
  <c r="N2118" i="4" s="1"/>
  <c r="O2118" i="4" s="1"/>
  <c r="P2118" i="4" s="1"/>
  <c r="Q2118" i="4" s="1"/>
  <c r="R2118" i="4" s="1"/>
  <c r="P2117" i="4"/>
  <c r="Q2117" i="4" s="1"/>
  <c r="R2117" i="4" s="1"/>
  <c r="K2117" i="4"/>
  <c r="L2117" i="4" s="1"/>
  <c r="M2117" i="4" s="1"/>
  <c r="N2117" i="4" s="1"/>
  <c r="O2117" i="4" s="1"/>
  <c r="J2117" i="4"/>
  <c r="I2117" i="4"/>
  <c r="I2116" i="4"/>
  <c r="K2115" i="4"/>
  <c r="L2115" i="4" s="1"/>
  <c r="J2115" i="4"/>
  <c r="I2115" i="4"/>
  <c r="I2106" i="4"/>
  <c r="H2106" i="4"/>
  <c r="G2106" i="4"/>
  <c r="F2106" i="4"/>
  <c r="E2106" i="4"/>
  <c r="C2106" i="4"/>
  <c r="J2034" i="4"/>
  <c r="K2034" i="4" s="1"/>
  <c r="I2034" i="4"/>
  <c r="D2034" i="4"/>
  <c r="D2106" i="4" s="1"/>
  <c r="M2028" i="4"/>
  <c r="L2028" i="4"/>
  <c r="N2023" i="4"/>
  <c r="J2023" i="4"/>
  <c r="G2023" i="4"/>
  <c r="F2023" i="4"/>
  <c r="C2023" i="4"/>
  <c r="D1902" i="4"/>
  <c r="D1829" i="4"/>
  <c r="M1823" i="4"/>
  <c r="N1823" i="4" s="1"/>
  <c r="O1823" i="4" s="1"/>
  <c r="P1823" i="4" s="1"/>
  <c r="Q1823" i="4" s="1"/>
  <c r="R1823" i="4" s="1"/>
  <c r="L1823" i="4"/>
  <c r="P1818" i="4"/>
  <c r="Q1818" i="4" s="1"/>
  <c r="R1818" i="4" s="1"/>
  <c r="M1818" i="4"/>
  <c r="N1818" i="4" s="1"/>
  <c r="O1818" i="4" s="1"/>
  <c r="L1818" i="4"/>
  <c r="E1816" i="4"/>
  <c r="D1816" i="4"/>
  <c r="E1815" i="4"/>
  <c r="D1815" i="4"/>
  <c r="O1811" i="4"/>
  <c r="P1811" i="4" s="1"/>
  <c r="Q1811" i="4" s="1"/>
  <c r="R1811" i="4" s="1"/>
  <c r="N1811" i="4"/>
  <c r="M1811" i="4"/>
  <c r="E1810" i="4"/>
  <c r="D1810" i="4"/>
  <c r="D2023" i="4" s="1"/>
  <c r="R1809" i="4"/>
  <c r="Q1809" i="4"/>
  <c r="P1809" i="4"/>
  <c r="O1809" i="4"/>
  <c r="O2023" i="4" s="1"/>
  <c r="N1809" i="4"/>
  <c r="M1809" i="4"/>
  <c r="L1809" i="4"/>
  <c r="K1809" i="4"/>
  <c r="K2023" i="4" s="1"/>
  <c r="J1809" i="4"/>
  <c r="I1809" i="4"/>
  <c r="I2023" i="4" s="1"/>
  <c r="H1809" i="4"/>
  <c r="H2023" i="4" s="1"/>
  <c r="E1809" i="4"/>
  <c r="D1809" i="4"/>
  <c r="E1808" i="4"/>
  <c r="D1808" i="4"/>
  <c r="E1806" i="4"/>
  <c r="D1806" i="4"/>
  <c r="E1805" i="4"/>
  <c r="D1805" i="4"/>
  <c r="H1796" i="4"/>
  <c r="G1796" i="4"/>
  <c r="F1796" i="4"/>
  <c r="F2108" i="4" s="1"/>
  <c r="E1796" i="4"/>
  <c r="C1796" i="4"/>
  <c r="K1794" i="4"/>
  <c r="L1794" i="4" s="1"/>
  <c r="M1794" i="4" s="1"/>
  <c r="N1794" i="4" s="1"/>
  <c r="O1794" i="4" s="1"/>
  <c r="P1794" i="4" s="1"/>
  <c r="Q1794" i="4" s="1"/>
  <c r="R1794" i="4" s="1"/>
  <c r="J1794" i="4"/>
  <c r="O1791" i="4"/>
  <c r="P1791" i="4" s="1"/>
  <c r="Q1791" i="4" s="1"/>
  <c r="R1791" i="4" s="1"/>
  <c r="L1791" i="4"/>
  <c r="M1791" i="4" s="1"/>
  <c r="N1791" i="4" s="1"/>
  <c r="K1791" i="4"/>
  <c r="I1791" i="4"/>
  <c r="J1791" i="4" s="1"/>
  <c r="R1790" i="4"/>
  <c r="J1790" i="4"/>
  <c r="K1790" i="4" s="1"/>
  <c r="L1790" i="4" s="1"/>
  <c r="M1790" i="4" s="1"/>
  <c r="N1790" i="4" s="1"/>
  <c r="O1790" i="4" s="1"/>
  <c r="P1790" i="4" s="1"/>
  <c r="Q1790" i="4" s="1"/>
  <c r="K1789" i="4"/>
  <c r="L1789" i="4" s="1"/>
  <c r="M1789" i="4" s="1"/>
  <c r="N1789" i="4" s="1"/>
  <c r="O1789" i="4" s="1"/>
  <c r="P1789" i="4" s="1"/>
  <c r="Q1789" i="4" s="1"/>
  <c r="R1789" i="4" s="1"/>
  <c r="J1789" i="4"/>
  <c r="I1789" i="4"/>
  <c r="M1788" i="4"/>
  <c r="N1788" i="4" s="1"/>
  <c r="O1788" i="4" s="1"/>
  <c r="P1788" i="4" s="1"/>
  <c r="Q1788" i="4" s="1"/>
  <c r="R1788" i="4" s="1"/>
  <c r="L1788" i="4"/>
  <c r="I1788" i="4"/>
  <c r="J1788" i="4" s="1"/>
  <c r="K1788" i="4" s="1"/>
  <c r="R1787" i="4"/>
  <c r="Q1787" i="4"/>
  <c r="D1787" i="4"/>
  <c r="D1796" i="4" s="1"/>
  <c r="I1785" i="4"/>
  <c r="J1785" i="4" s="1"/>
  <c r="K1785" i="4" s="1"/>
  <c r="L1785" i="4" s="1"/>
  <c r="M1785" i="4" s="1"/>
  <c r="N1785" i="4" s="1"/>
  <c r="O1785" i="4" s="1"/>
  <c r="P1785" i="4" s="1"/>
  <c r="Q1785" i="4" s="1"/>
  <c r="R1785" i="4" s="1"/>
  <c r="K1784" i="4"/>
  <c r="L1784" i="4" s="1"/>
  <c r="M1784" i="4" s="1"/>
  <c r="N1784" i="4" s="1"/>
  <c r="O1784" i="4" s="1"/>
  <c r="P1784" i="4" s="1"/>
  <c r="Q1784" i="4" s="1"/>
  <c r="R1784" i="4" s="1"/>
  <c r="I1784" i="4"/>
  <c r="J1784" i="4" s="1"/>
  <c r="N1783" i="4"/>
  <c r="M1783" i="4"/>
  <c r="J1783" i="4"/>
  <c r="K1783" i="4" s="1"/>
  <c r="L1783" i="4" s="1"/>
  <c r="I1783" i="4"/>
  <c r="H1776" i="4"/>
  <c r="H1774" i="4"/>
  <c r="G1774" i="4"/>
  <c r="G1776" i="4" s="1"/>
  <c r="P1771" i="4"/>
  <c r="Q1771" i="4" s="1"/>
  <c r="R1771" i="4" s="1"/>
  <c r="O1771" i="4"/>
  <c r="L1771" i="4"/>
  <c r="M1771" i="4" s="1"/>
  <c r="N1771" i="4" s="1"/>
  <c r="K1771" i="4"/>
  <c r="J1771" i="4"/>
  <c r="I1771" i="4"/>
  <c r="N1769" i="4"/>
  <c r="O1769" i="4" s="1"/>
  <c r="P1769" i="4" s="1"/>
  <c r="Q1769" i="4" s="1"/>
  <c r="R1769" i="4" s="1"/>
  <c r="M1769" i="4"/>
  <c r="J1769" i="4"/>
  <c r="K1769" i="4" s="1"/>
  <c r="L1769" i="4" s="1"/>
  <c r="I1769" i="4"/>
  <c r="P1768" i="4"/>
  <c r="Q1768" i="4" s="1"/>
  <c r="R1768" i="4" s="1"/>
  <c r="H1768" i="4"/>
  <c r="I1768" i="4" s="1"/>
  <c r="J1768" i="4" s="1"/>
  <c r="K1768" i="4" s="1"/>
  <c r="L1768" i="4" s="1"/>
  <c r="M1768" i="4" s="1"/>
  <c r="N1768" i="4" s="1"/>
  <c r="O1768" i="4" s="1"/>
  <c r="F1768" i="4"/>
  <c r="F1774" i="4" s="1"/>
  <c r="E1768" i="4"/>
  <c r="C1768" i="4"/>
  <c r="J1767" i="4"/>
  <c r="K1767" i="4" s="1"/>
  <c r="L1767" i="4" s="1"/>
  <c r="M1767" i="4" s="1"/>
  <c r="N1767" i="4" s="1"/>
  <c r="O1767" i="4" s="1"/>
  <c r="P1767" i="4" s="1"/>
  <c r="Q1767" i="4" s="1"/>
  <c r="R1767" i="4" s="1"/>
  <c r="I1767" i="4"/>
  <c r="L1766" i="4"/>
  <c r="M1766" i="4" s="1"/>
  <c r="N1766" i="4" s="1"/>
  <c r="O1766" i="4" s="1"/>
  <c r="P1766" i="4" s="1"/>
  <c r="Q1766" i="4" s="1"/>
  <c r="R1766" i="4" s="1"/>
  <c r="K1766" i="4"/>
  <c r="I1766" i="4"/>
  <c r="J1766" i="4" s="1"/>
  <c r="N1765" i="4"/>
  <c r="O1765" i="4" s="1"/>
  <c r="P1765" i="4" s="1"/>
  <c r="Q1765" i="4" s="1"/>
  <c r="R1765" i="4" s="1"/>
  <c r="I1765" i="4"/>
  <c r="J1765" i="4" s="1"/>
  <c r="K1765" i="4" s="1"/>
  <c r="L1765" i="4" s="1"/>
  <c r="M1765" i="4" s="1"/>
  <c r="E1765" i="4"/>
  <c r="L1764" i="4"/>
  <c r="M1764" i="4" s="1"/>
  <c r="N1764" i="4" s="1"/>
  <c r="O1764" i="4" s="1"/>
  <c r="P1764" i="4" s="1"/>
  <c r="Q1764" i="4" s="1"/>
  <c r="R1764" i="4" s="1"/>
  <c r="I1764" i="4"/>
  <c r="J1764" i="4" s="1"/>
  <c r="K1764" i="4" s="1"/>
  <c r="E1764" i="4"/>
  <c r="I1763" i="4"/>
  <c r="J1763" i="4" s="1"/>
  <c r="K1763" i="4" s="1"/>
  <c r="L1763" i="4" s="1"/>
  <c r="M1763" i="4" s="1"/>
  <c r="N1763" i="4" s="1"/>
  <c r="O1763" i="4" s="1"/>
  <c r="P1763" i="4" s="1"/>
  <c r="Q1763" i="4" s="1"/>
  <c r="R1763" i="4" s="1"/>
  <c r="K1761" i="4"/>
  <c r="L1761" i="4" s="1"/>
  <c r="M1761" i="4" s="1"/>
  <c r="N1761" i="4" s="1"/>
  <c r="O1761" i="4" s="1"/>
  <c r="P1761" i="4" s="1"/>
  <c r="Q1761" i="4" s="1"/>
  <c r="R1761" i="4" s="1"/>
  <c r="J1761" i="4"/>
  <c r="I1761" i="4"/>
  <c r="I1760" i="4"/>
  <c r="J1760" i="4" s="1"/>
  <c r="K1760" i="4" s="1"/>
  <c r="L1760" i="4" s="1"/>
  <c r="M1760" i="4" s="1"/>
  <c r="N1760" i="4" s="1"/>
  <c r="O1760" i="4" s="1"/>
  <c r="P1760" i="4" s="1"/>
  <c r="Q1760" i="4" s="1"/>
  <c r="R1760" i="4" s="1"/>
  <c r="R1759" i="4"/>
  <c r="Q1759" i="4"/>
  <c r="E1759" i="4"/>
  <c r="E1774" i="4" s="1"/>
  <c r="D1759" i="4"/>
  <c r="O1758" i="4"/>
  <c r="P1758" i="4" s="1"/>
  <c r="Q1758" i="4" s="1"/>
  <c r="R1758" i="4" s="1"/>
  <c r="K1758" i="4"/>
  <c r="L1758" i="4" s="1"/>
  <c r="M1758" i="4" s="1"/>
  <c r="N1758" i="4" s="1"/>
  <c r="J1758" i="4"/>
  <c r="I1758" i="4"/>
  <c r="Q1757" i="4"/>
  <c r="R1757" i="4" s="1"/>
  <c r="I1757" i="4"/>
  <c r="J1757" i="4" s="1"/>
  <c r="K1757" i="4" s="1"/>
  <c r="L1757" i="4" s="1"/>
  <c r="M1757" i="4" s="1"/>
  <c r="N1757" i="4" s="1"/>
  <c r="O1757" i="4" s="1"/>
  <c r="P1757" i="4" s="1"/>
  <c r="H1757" i="4"/>
  <c r="C1757" i="4"/>
  <c r="M1756" i="4"/>
  <c r="N1756" i="4" s="1"/>
  <c r="O1756" i="4" s="1"/>
  <c r="P1756" i="4" s="1"/>
  <c r="Q1756" i="4" s="1"/>
  <c r="R1756" i="4" s="1"/>
  <c r="I1756" i="4"/>
  <c r="J1756" i="4" s="1"/>
  <c r="K1756" i="4" s="1"/>
  <c r="L1756" i="4" s="1"/>
  <c r="O1755" i="4"/>
  <c r="P1755" i="4" s="1"/>
  <c r="Q1755" i="4" s="1"/>
  <c r="R1755" i="4" s="1"/>
  <c r="K1755" i="4"/>
  <c r="L1755" i="4" s="1"/>
  <c r="M1755" i="4" s="1"/>
  <c r="N1755" i="4" s="1"/>
  <c r="J1755" i="4"/>
  <c r="I1755" i="4"/>
  <c r="I1754" i="4"/>
  <c r="D1754" i="4"/>
  <c r="C1754" i="4"/>
  <c r="C1774" i="4" s="1"/>
  <c r="C1776" i="4" s="1"/>
  <c r="H1750" i="4"/>
  <c r="G1750" i="4"/>
  <c r="F1750" i="4"/>
  <c r="E1750" i="4"/>
  <c r="D1750" i="4"/>
  <c r="C1750" i="4"/>
  <c r="I1747" i="4"/>
  <c r="J1747" i="4" s="1"/>
  <c r="R1738" i="4"/>
  <c r="Q1738" i="4"/>
  <c r="P1738" i="4"/>
  <c r="O1738" i="4"/>
  <c r="N1738" i="4"/>
  <c r="M1738" i="4"/>
  <c r="L1738" i="4"/>
  <c r="K1738" i="4"/>
  <c r="J1738" i="4"/>
  <c r="I1738" i="4"/>
  <c r="H1738" i="4"/>
  <c r="H1740" i="4" s="1"/>
  <c r="G1738" i="4"/>
  <c r="G1740" i="4" s="1"/>
  <c r="F1738" i="4"/>
  <c r="F1740" i="4" s="1"/>
  <c r="E1738" i="4"/>
  <c r="E1740" i="4" s="1"/>
  <c r="D1738" i="4"/>
  <c r="D1740" i="4" s="1"/>
  <c r="C1738" i="4"/>
  <c r="C1740" i="4" s="1"/>
  <c r="H1717" i="4"/>
  <c r="G1717" i="4"/>
  <c r="F1717" i="4"/>
  <c r="E1717" i="4"/>
  <c r="D1717" i="4"/>
  <c r="C1717" i="4"/>
  <c r="K1714" i="4"/>
  <c r="L1714" i="4" s="1"/>
  <c r="M1714" i="4" s="1"/>
  <c r="N1714" i="4" s="1"/>
  <c r="O1714" i="4" s="1"/>
  <c r="P1714" i="4" s="1"/>
  <c r="Q1714" i="4" s="1"/>
  <c r="R1714" i="4" s="1"/>
  <c r="J1714" i="4"/>
  <c r="I1714" i="4"/>
  <c r="I1713" i="4"/>
  <c r="J1713" i="4" s="1"/>
  <c r="K1713" i="4" s="1"/>
  <c r="L1713" i="4" s="1"/>
  <c r="M1713" i="4" s="1"/>
  <c r="N1713" i="4" s="1"/>
  <c r="O1713" i="4" s="1"/>
  <c r="P1713" i="4" s="1"/>
  <c r="Q1713" i="4" s="1"/>
  <c r="R1713" i="4" s="1"/>
  <c r="O1712" i="4"/>
  <c r="P1712" i="4" s="1"/>
  <c r="Q1712" i="4" s="1"/>
  <c r="R1712" i="4" s="1"/>
  <c r="K1712" i="4"/>
  <c r="L1712" i="4" s="1"/>
  <c r="M1712" i="4" s="1"/>
  <c r="N1712" i="4" s="1"/>
  <c r="J1712" i="4"/>
  <c r="I1712" i="4"/>
  <c r="Q1711" i="4"/>
  <c r="R1711" i="4" s="1"/>
  <c r="I1711" i="4"/>
  <c r="J1711" i="4" s="1"/>
  <c r="K1711" i="4" s="1"/>
  <c r="L1711" i="4" s="1"/>
  <c r="M1711" i="4" s="1"/>
  <c r="N1711" i="4" s="1"/>
  <c r="O1711" i="4" s="1"/>
  <c r="P1711" i="4" s="1"/>
  <c r="K1710" i="4"/>
  <c r="L1710" i="4" s="1"/>
  <c r="M1710" i="4" s="1"/>
  <c r="N1710" i="4" s="1"/>
  <c r="O1710" i="4" s="1"/>
  <c r="P1710" i="4" s="1"/>
  <c r="Q1710" i="4" s="1"/>
  <c r="R1710" i="4" s="1"/>
  <c r="J1710" i="4"/>
  <c r="I1710" i="4"/>
  <c r="M1709" i="4"/>
  <c r="N1709" i="4" s="1"/>
  <c r="O1709" i="4" s="1"/>
  <c r="P1709" i="4" s="1"/>
  <c r="Q1709" i="4" s="1"/>
  <c r="R1709" i="4" s="1"/>
  <c r="I1709" i="4"/>
  <c r="J1709" i="4" s="1"/>
  <c r="K1709" i="4" s="1"/>
  <c r="L1709" i="4" s="1"/>
  <c r="K1708" i="4"/>
  <c r="L1708" i="4" s="1"/>
  <c r="M1708" i="4" s="1"/>
  <c r="N1708" i="4" s="1"/>
  <c r="O1708" i="4" s="1"/>
  <c r="P1708" i="4" s="1"/>
  <c r="Q1708" i="4" s="1"/>
  <c r="R1708" i="4" s="1"/>
  <c r="J1708" i="4"/>
  <c r="I1708" i="4"/>
  <c r="I1707" i="4"/>
  <c r="G1703" i="4"/>
  <c r="F1703" i="4"/>
  <c r="R1692" i="4"/>
  <c r="Q1692" i="4"/>
  <c r="P1692" i="4"/>
  <c r="O1692" i="4"/>
  <c r="N1692" i="4"/>
  <c r="M1692" i="4"/>
  <c r="L1692" i="4"/>
  <c r="K1692" i="4"/>
  <c r="J1692" i="4"/>
  <c r="I1692" i="4"/>
  <c r="H1692" i="4"/>
  <c r="G1692" i="4"/>
  <c r="F1692" i="4"/>
  <c r="E1692" i="4"/>
  <c r="D1692" i="4"/>
  <c r="C1692" i="4"/>
  <c r="G1685" i="4"/>
  <c r="F1685" i="4"/>
  <c r="F1695" i="4" s="1"/>
  <c r="J1680" i="4"/>
  <c r="K1680" i="4" s="1"/>
  <c r="L1680" i="4" s="1"/>
  <c r="M1680" i="4" s="1"/>
  <c r="N1680" i="4" s="1"/>
  <c r="O1680" i="4" s="1"/>
  <c r="P1680" i="4" s="1"/>
  <c r="Q1680" i="4" s="1"/>
  <c r="R1680" i="4" s="1"/>
  <c r="I1680" i="4"/>
  <c r="P1679" i="4"/>
  <c r="Q1679" i="4" s="1"/>
  <c r="R1679" i="4" s="1"/>
  <c r="L1679" i="4"/>
  <c r="M1679" i="4" s="1"/>
  <c r="N1679" i="4" s="1"/>
  <c r="O1679" i="4" s="1"/>
  <c r="K1679" i="4"/>
  <c r="J1679" i="4"/>
  <c r="C1678" i="4"/>
  <c r="J1677" i="4"/>
  <c r="K1677" i="4" s="1"/>
  <c r="L1677" i="4" s="1"/>
  <c r="M1677" i="4" s="1"/>
  <c r="N1677" i="4" s="1"/>
  <c r="O1677" i="4" s="1"/>
  <c r="P1677" i="4" s="1"/>
  <c r="Q1677" i="4" s="1"/>
  <c r="R1677" i="4" s="1"/>
  <c r="I1677" i="4"/>
  <c r="L1675" i="4"/>
  <c r="M1675" i="4" s="1"/>
  <c r="N1675" i="4" s="1"/>
  <c r="O1675" i="4" s="1"/>
  <c r="P1675" i="4" s="1"/>
  <c r="Q1675" i="4" s="1"/>
  <c r="R1675" i="4" s="1"/>
  <c r="K1675" i="4"/>
  <c r="J1675" i="4"/>
  <c r="L1674" i="4"/>
  <c r="M1674" i="4" s="1"/>
  <c r="N1674" i="4" s="1"/>
  <c r="O1674" i="4" s="1"/>
  <c r="P1674" i="4" s="1"/>
  <c r="Q1674" i="4" s="1"/>
  <c r="R1674" i="4" s="1"/>
  <c r="I1674" i="4"/>
  <c r="J1674" i="4" s="1"/>
  <c r="K1674" i="4" s="1"/>
  <c r="J1673" i="4"/>
  <c r="K1673" i="4" s="1"/>
  <c r="L1673" i="4" s="1"/>
  <c r="M1673" i="4" s="1"/>
  <c r="N1673" i="4" s="1"/>
  <c r="O1673" i="4" s="1"/>
  <c r="P1673" i="4" s="1"/>
  <c r="Q1673" i="4" s="1"/>
  <c r="R1673" i="4" s="1"/>
  <c r="I1673" i="4"/>
  <c r="Q1672" i="4"/>
  <c r="R1672" i="4" s="1"/>
  <c r="I1672" i="4"/>
  <c r="J1672" i="4" s="1"/>
  <c r="K1672" i="4" s="1"/>
  <c r="L1672" i="4" s="1"/>
  <c r="M1672" i="4" s="1"/>
  <c r="N1672" i="4" s="1"/>
  <c r="O1672" i="4" s="1"/>
  <c r="P1672" i="4" s="1"/>
  <c r="K1671" i="4"/>
  <c r="L1671" i="4" s="1"/>
  <c r="M1671" i="4" s="1"/>
  <c r="N1671" i="4" s="1"/>
  <c r="O1671" i="4" s="1"/>
  <c r="P1671" i="4" s="1"/>
  <c r="Q1671" i="4" s="1"/>
  <c r="R1671" i="4" s="1"/>
  <c r="J1671" i="4"/>
  <c r="I1671" i="4"/>
  <c r="E1671" i="4"/>
  <c r="C1671" i="4"/>
  <c r="K1670" i="4"/>
  <c r="L1670" i="4" s="1"/>
  <c r="M1670" i="4" s="1"/>
  <c r="N1670" i="4" s="1"/>
  <c r="O1670" i="4" s="1"/>
  <c r="P1670" i="4" s="1"/>
  <c r="Q1670" i="4" s="1"/>
  <c r="R1670" i="4" s="1"/>
  <c r="J1670" i="4"/>
  <c r="I1670" i="4"/>
  <c r="L1669" i="4"/>
  <c r="M1669" i="4" s="1"/>
  <c r="N1669" i="4" s="1"/>
  <c r="O1669" i="4" s="1"/>
  <c r="P1669" i="4" s="1"/>
  <c r="Q1669" i="4" s="1"/>
  <c r="R1669" i="4" s="1"/>
  <c r="I1669" i="4"/>
  <c r="J1669" i="4" s="1"/>
  <c r="K1669" i="4" s="1"/>
  <c r="J1667" i="4"/>
  <c r="K1667" i="4" s="1"/>
  <c r="L1667" i="4" s="1"/>
  <c r="M1667" i="4" s="1"/>
  <c r="N1667" i="4" s="1"/>
  <c r="O1667" i="4" s="1"/>
  <c r="P1667" i="4" s="1"/>
  <c r="Q1667" i="4" s="1"/>
  <c r="R1667" i="4" s="1"/>
  <c r="I1667" i="4"/>
  <c r="Q1664" i="4"/>
  <c r="R1664" i="4" s="1"/>
  <c r="I1664" i="4"/>
  <c r="J1664" i="4" s="1"/>
  <c r="K1664" i="4" s="1"/>
  <c r="L1664" i="4" s="1"/>
  <c r="M1664" i="4" s="1"/>
  <c r="N1664" i="4" s="1"/>
  <c r="O1664" i="4" s="1"/>
  <c r="P1664" i="4" s="1"/>
  <c r="E1664" i="4"/>
  <c r="P1663" i="4"/>
  <c r="Q1663" i="4" s="1"/>
  <c r="R1663" i="4" s="1"/>
  <c r="L1663" i="4"/>
  <c r="M1663" i="4" s="1"/>
  <c r="N1663" i="4" s="1"/>
  <c r="O1663" i="4" s="1"/>
  <c r="K1663" i="4"/>
  <c r="J1663" i="4"/>
  <c r="I1663" i="4"/>
  <c r="R1661" i="4"/>
  <c r="Q1661" i="4"/>
  <c r="E1661" i="4"/>
  <c r="D1661" i="4"/>
  <c r="D1685" i="4" s="1"/>
  <c r="E1659" i="4"/>
  <c r="E1685" i="4" s="1"/>
  <c r="K1657" i="4"/>
  <c r="L1657" i="4" s="1"/>
  <c r="M1657" i="4" s="1"/>
  <c r="N1657" i="4" s="1"/>
  <c r="O1657" i="4" s="1"/>
  <c r="P1657" i="4" s="1"/>
  <c r="Q1657" i="4" s="1"/>
  <c r="R1657" i="4" s="1"/>
  <c r="J1657" i="4"/>
  <c r="H1655" i="4"/>
  <c r="O1654" i="4"/>
  <c r="P1654" i="4" s="1"/>
  <c r="Q1654" i="4" s="1"/>
  <c r="R1654" i="4" s="1"/>
  <c r="K1654" i="4"/>
  <c r="L1654" i="4" s="1"/>
  <c r="M1654" i="4" s="1"/>
  <c r="N1654" i="4" s="1"/>
  <c r="J1654" i="4"/>
  <c r="O1653" i="4"/>
  <c r="P1653" i="4" s="1"/>
  <c r="Q1653" i="4" s="1"/>
  <c r="R1653" i="4" s="1"/>
  <c r="L1653" i="4"/>
  <c r="M1653" i="4" s="1"/>
  <c r="N1653" i="4" s="1"/>
  <c r="K1653" i="4"/>
  <c r="J1653" i="4"/>
  <c r="I1652" i="4"/>
  <c r="J1652" i="4" s="1"/>
  <c r="K1652" i="4" s="1"/>
  <c r="L1652" i="4" s="1"/>
  <c r="M1652" i="4" s="1"/>
  <c r="N1652" i="4" s="1"/>
  <c r="O1652" i="4" s="1"/>
  <c r="P1652" i="4" s="1"/>
  <c r="Q1652" i="4" s="1"/>
  <c r="R1652" i="4" s="1"/>
  <c r="J1649" i="4"/>
  <c r="K1649" i="4" s="1"/>
  <c r="L1649" i="4" s="1"/>
  <c r="M1649" i="4" s="1"/>
  <c r="N1649" i="4" s="1"/>
  <c r="O1649" i="4" s="1"/>
  <c r="P1649" i="4" s="1"/>
  <c r="Q1649" i="4" s="1"/>
  <c r="R1649" i="4" s="1"/>
  <c r="I1649" i="4"/>
  <c r="E1649" i="4"/>
  <c r="M1648" i="4"/>
  <c r="N1648" i="4" s="1"/>
  <c r="O1648" i="4" s="1"/>
  <c r="P1648" i="4" s="1"/>
  <c r="Q1648" i="4" s="1"/>
  <c r="R1648" i="4" s="1"/>
  <c r="I1648" i="4"/>
  <c r="J1648" i="4" s="1"/>
  <c r="K1648" i="4" s="1"/>
  <c r="L1648" i="4" s="1"/>
  <c r="L1647" i="4"/>
  <c r="M1647" i="4" s="1"/>
  <c r="N1647" i="4" s="1"/>
  <c r="O1647" i="4" s="1"/>
  <c r="P1647" i="4" s="1"/>
  <c r="Q1647" i="4" s="1"/>
  <c r="R1647" i="4" s="1"/>
  <c r="K1647" i="4"/>
  <c r="J1647" i="4"/>
  <c r="I1647" i="4"/>
  <c r="M1646" i="4"/>
  <c r="N1646" i="4" s="1"/>
  <c r="O1646" i="4" s="1"/>
  <c r="P1646" i="4" s="1"/>
  <c r="Q1646" i="4" s="1"/>
  <c r="R1646" i="4" s="1"/>
  <c r="I1646" i="4"/>
  <c r="J1646" i="4" s="1"/>
  <c r="K1646" i="4" s="1"/>
  <c r="L1646" i="4" s="1"/>
  <c r="E1646" i="4"/>
  <c r="M1645" i="4"/>
  <c r="N1645" i="4" s="1"/>
  <c r="O1645" i="4" s="1"/>
  <c r="P1645" i="4" s="1"/>
  <c r="Q1645" i="4" s="1"/>
  <c r="R1645" i="4" s="1"/>
  <c r="I1645" i="4"/>
  <c r="J1645" i="4" s="1"/>
  <c r="K1645" i="4" s="1"/>
  <c r="L1645" i="4" s="1"/>
  <c r="R1644" i="4"/>
  <c r="K1644" i="4"/>
  <c r="L1644" i="4" s="1"/>
  <c r="M1644" i="4" s="1"/>
  <c r="N1644" i="4" s="1"/>
  <c r="O1644" i="4" s="1"/>
  <c r="P1644" i="4" s="1"/>
  <c r="Q1644" i="4" s="1"/>
  <c r="J1644" i="4"/>
  <c r="I1644" i="4"/>
  <c r="M1642" i="4"/>
  <c r="N1642" i="4" s="1"/>
  <c r="O1642" i="4" s="1"/>
  <c r="P1642" i="4" s="1"/>
  <c r="Q1642" i="4" s="1"/>
  <c r="R1642" i="4" s="1"/>
  <c r="L1642" i="4"/>
  <c r="I1642" i="4"/>
  <c r="J1642" i="4" s="1"/>
  <c r="K1642" i="4" s="1"/>
  <c r="J1641" i="4"/>
  <c r="K1641" i="4" s="1"/>
  <c r="L1641" i="4" s="1"/>
  <c r="M1641" i="4" s="1"/>
  <c r="N1641" i="4" s="1"/>
  <c r="O1641" i="4" s="1"/>
  <c r="P1641" i="4" s="1"/>
  <c r="Q1641" i="4" s="1"/>
  <c r="R1641" i="4" s="1"/>
  <c r="I1641" i="4"/>
  <c r="I1640" i="4"/>
  <c r="C1640" i="4"/>
  <c r="P1635" i="4"/>
  <c r="O1635" i="4"/>
  <c r="N1635" i="4"/>
  <c r="M1635" i="4"/>
  <c r="L1635" i="4"/>
  <c r="K1635" i="4"/>
  <c r="J1635" i="4"/>
  <c r="I1635" i="4"/>
  <c r="H1635" i="4"/>
  <c r="G1635" i="4"/>
  <c r="F1635" i="4"/>
  <c r="C1635" i="4"/>
  <c r="R1628" i="4"/>
  <c r="R1635" i="4" s="1"/>
  <c r="Q1628" i="4"/>
  <c r="Q1635" i="4" s="1"/>
  <c r="D1628" i="4"/>
  <c r="H1615" i="4"/>
  <c r="G1615" i="4"/>
  <c r="R1613" i="4"/>
  <c r="Q1613" i="4"/>
  <c r="P1613" i="4"/>
  <c r="O1613" i="4"/>
  <c r="N1613" i="4"/>
  <c r="M1613" i="4"/>
  <c r="L1613" i="4"/>
  <c r="K1613" i="4"/>
  <c r="J1613" i="4"/>
  <c r="I1613" i="4"/>
  <c r="H1613" i="4"/>
  <c r="G1613" i="4"/>
  <c r="F1613" i="4"/>
  <c r="F1615" i="4" s="1"/>
  <c r="E1613" i="4"/>
  <c r="D1613" i="4"/>
  <c r="C1613" i="4"/>
  <c r="C1615" i="4" s="1"/>
  <c r="R1592" i="4"/>
  <c r="Q1592" i="4"/>
  <c r="E1592" i="4"/>
  <c r="D1592" i="4"/>
  <c r="C1592" i="4"/>
  <c r="I1585" i="4"/>
  <c r="H1585" i="4"/>
  <c r="G1585" i="4"/>
  <c r="F1585" i="4"/>
  <c r="D1585" i="4"/>
  <c r="Q1583" i="4"/>
  <c r="R1583" i="4" s="1"/>
  <c r="E1583" i="4"/>
  <c r="E1585" i="4" s="1"/>
  <c r="D1583" i="4"/>
  <c r="I1572" i="4"/>
  <c r="J1572" i="4" s="1"/>
  <c r="E1570" i="4"/>
  <c r="C1570" i="4"/>
  <c r="C1585" i="4" s="1"/>
  <c r="H1565" i="4"/>
  <c r="G1565" i="4"/>
  <c r="F1565" i="4"/>
  <c r="C1565" i="4"/>
  <c r="R1556" i="4"/>
  <c r="Q1556" i="4"/>
  <c r="D1556" i="4"/>
  <c r="Q1555" i="4"/>
  <c r="R1555" i="4" s="1"/>
  <c r="N1555" i="4"/>
  <c r="O1555" i="4" s="1"/>
  <c r="P1555" i="4" s="1"/>
  <c r="I1555" i="4"/>
  <c r="J1555" i="4" s="1"/>
  <c r="K1555" i="4" s="1"/>
  <c r="L1555" i="4" s="1"/>
  <c r="M1555" i="4" s="1"/>
  <c r="Q1553" i="4"/>
  <c r="R1553" i="4" s="1"/>
  <c r="L1553" i="4"/>
  <c r="M1553" i="4" s="1"/>
  <c r="N1553" i="4" s="1"/>
  <c r="O1553" i="4" s="1"/>
  <c r="P1553" i="4" s="1"/>
  <c r="K1553" i="4"/>
  <c r="I1553" i="4"/>
  <c r="J1553" i="4" s="1"/>
  <c r="E1553" i="4"/>
  <c r="R1552" i="4"/>
  <c r="P1552" i="4"/>
  <c r="Q1552" i="4" s="1"/>
  <c r="K1552" i="4"/>
  <c r="L1552" i="4" s="1"/>
  <c r="M1552" i="4" s="1"/>
  <c r="N1552" i="4" s="1"/>
  <c r="O1552" i="4" s="1"/>
  <c r="J1552" i="4"/>
  <c r="I1552" i="4"/>
  <c r="Q1551" i="4"/>
  <c r="R1551" i="4" s="1"/>
  <c r="I1551" i="4"/>
  <c r="J1551" i="4" s="1"/>
  <c r="K1551" i="4" s="1"/>
  <c r="L1551" i="4" s="1"/>
  <c r="M1551" i="4" s="1"/>
  <c r="N1551" i="4" s="1"/>
  <c r="O1551" i="4" s="1"/>
  <c r="P1551" i="4" s="1"/>
  <c r="R1550" i="4"/>
  <c r="L1550" i="4"/>
  <c r="M1550" i="4" s="1"/>
  <c r="N1550" i="4" s="1"/>
  <c r="O1550" i="4" s="1"/>
  <c r="P1550" i="4" s="1"/>
  <c r="Q1550" i="4" s="1"/>
  <c r="K1550" i="4"/>
  <c r="J1550" i="4"/>
  <c r="I1550" i="4"/>
  <c r="R1549" i="4"/>
  <c r="L1549" i="4"/>
  <c r="M1549" i="4" s="1"/>
  <c r="N1549" i="4" s="1"/>
  <c r="O1549" i="4" s="1"/>
  <c r="P1549" i="4" s="1"/>
  <c r="Q1549" i="4" s="1"/>
  <c r="I1549" i="4"/>
  <c r="J1549" i="4" s="1"/>
  <c r="K1549" i="4" s="1"/>
  <c r="E1549" i="4"/>
  <c r="I1548" i="4"/>
  <c r="J1548" i="4" s="1"/>
  <c r="I1540" i="4"/>
  <c r="G1540" i="4"/>
  <c r="F1540" i="4"/>
  <c r="D1540" i="4"/>
  <c r="D1542" i="4" s="1"/>
  <c r="R1513" i="4"/>
  <c r="Q1513" i="4"/>
  <c r="P1513" i="4"/>
  <c r="O1513" i="4"/>
  <c r="N1513" i="4"/>
  <c r="M1513" i="4"/>
  <c r="L1513" i="4"/>
  <c r="K1513" i="4"/>
  <c r="J1513" i="4"/>
  <c r="I1513" i="4"/>
  <c r="H1513" i="4"/>
  <c r="H1540" i="4" s="1"/>
  <c r="E1513" i="4"/>
  <c r="E1540" i="4" s="1"/>
  <c r="C1513" i="4"/>
  <c r="C1540" i="4" s="1"/>
  <c r="J1498" i="4"/>
  <c r="I1498" i="4"/>
  <c r="R1493" i="4"/>
  <c r="Q1493" i="4"/>
  <c r="P1493" i="4"/>
  <c r="O1493" i="4"/>
  <c r="N1493" i="4"/>
  <c r="M1493" i="4"/>
  <c r="L1493" i="4"/>
  <c r="K1493" i="4"/>
  <c r="J1493" i="4"/>
  <c r="I1493" i="4"/>
  <c r="H1493" i="4"/>
  <c r="G1493" i="4"/>
  <c r="F1493" i="4"/>
  <c r="E1493" i="4"/>
  <c r="D1493" i="4"/>
  <c r="C1493" i="4"/>
  <c r="Q1488" i="4"/>
  <c r="R1488" i="4" s="1"/>
  <c r="E1488" i="4"/>
  <c r="D1488" i="4"/>
  <c r="G1484" i="4"/>
  <c r="F1484" i="4"/>
  <c r="E1481" i="4"/>
  <c r="P1479" i="4"/>
  <c r="Q1479" i="4" s="1"/>
  <c r="M1479" i="4"/>
  <c r="N1479" i="4" s="1"/>
  <c r="O1479" i="4" s="1"/>
  <c r="J1479" i="4"/>
  <c r="K1479" i="4" s="1"/>
  <c r="L1479" i="4" s="1"/>
  <c r="I1479" i="4"/>
  <c r="E1478" i="4"/>
  <c r="C1478" i="4"/>
  <c r="I1476" i="4"/>
  <c r="J1476" i="4" s="1"/>
  <c r="K1476" i="4" s="1"/>
  <c r="L1476" i="4" s="1"/>
  <c r="M1476" i="4" s="1"/>
  <c r="N1476" i="4" s="1"/>
  <c r="O1476" i="4" s="1"/>
  <c r="P1476" i="4" s="1"/>
  <c r="Q1476" i="4" s="1"/>
  <c r="R1476" i="4" s="1"/>
  <c r="E1475" i="4"/>
  <c r="K1470" i="4"/>
  <c r="L1470" i="4" s="1"/>
  <c r="M1470" i="4" s="1"/>
  <c r="N1470" i="4" s="1"/>
  <c r="O1470" i="4" s="1"/>
  <c r="P1470" i="4" s="1"/>
  <c r="Q1470" i="4" s="1"/>
  <c r="R1470" i="4" s="1"/>
  <c r="I1470" i="4"/>
  <c r="J1470" i="4" s="1"/>
  <c r="E1470" i="4"/>
  <c r="D1470" i="4"/>
  <c r="K1467" i="4"/>
  <c r="L1467" i="4" s="1"/>
  <c r="M1467" i="4" s="1"/>
  <c r="N1467" i="4" s="1"/>
  <c r="O1467" i="4" s="1"/>
  <c r="P1467" i="4" s="1"/>
  <c r="Q1467" i="4" s="1"/>
  <c r="R1467" i="4" s="1"/>
  <c r="I1467" i="4"/>
  <c r="J1467" i="4" s="1"/>
  <c r="I1466" i="4"/>
  <c r="J1466" i="4" s="1"/>
  <c r="K1466" i="4" s="1"/>
  <c r="L1466" i="4" s="1"/>
  <c r="M1466" i="4" s="1"/>
  <c r="N1466" i="4" s="1"/>
  <c r="O1466" i="4" s="1"/>
  <c r="P1466" i="4" s="1"/>
  <c r="Q1466" i="4" s="1"/>
  <c r="R1466" i="4" s="1"/>
  <c r="M1465" i="4"/>
  <c r="N1465" i="4" s="1"/>
  <c r="O1465" i="4" s="1"/>
  <c r="P1465" i="4" s="1"/>
  <c r="Q1465" i="4" s="1"/>
  <c r="R1465" i="4" s="1"/>
  <c r="Q1460" i="4"/>
  <c r="R1460" i="4" s="1"/>
  <c r="O1460" i="4"/>
  <c r="P1460" i="4" s="1"/>
  <c r="N1460" i="4"/>
  <c r="M1460" i="4"/>
  <c r="I1457" i="4"/>
  <c r="J1457" i="4" s="1"/>
  <c r="K1457" i="4" s="1"/>
  <c r="L1457" i="4" s="1"/>
  <c r="M1457" i="4" s="1"/>
  <c r="N1457" i="4" s="1"/>
  <c r="O1457" i="4" s="1"/>
  <c r="P1457" i="4" s="1"/>
  <c r="Q1457" i="4" s="1"/>
  <c r="R1457" i="4" s="1"/>
  <c r="E1456" i="4"/>
  <c r="P1455" i="4"/>
  <c r="Q1455" i="4" s="1"/>
  <c r="R1455" i="4" s="1"/>
  <c r="J1455" i="4"/>
  <c r="K1455" i="4" s="1"/>
  <c r="L1455" i="4" s="1"/>
  <c r="M1455" i="4" s="1"/>
  <c r="N1455" i="4" s="1"/>
  <c r="O1455" i="4" s="1"/>
  <c r="I1455" i="4"/>
  <c r="P1452" i="4"/>
  <c r="Q1452" i="4" s="1"/>
  <c r="R1452" i="4" s="1"/>
  <c r="J1452" i="4"/>
  <c r="K1452" i="4" s="1"/>
  <c r="L1452" i="4" s="1"/>
  <c r="M1452" i="4" s="1"/>
  <c r="N1452" i="4" s="1"/>
  <c r="O1452" i="4" s="1"/>
  <c r="I1452" i="4"/>
  <c r="K1451" i="4"/>
  <c r="L1451" i="4" s="1"/>
  <c r="M1451" i="4" s="1"/>
  <c r="N1451" i="4" s="1"/>
  <c r="O1451" i="4" s="1"/>
  <c r="P1451" i="4" s="1"/>
  <c r="Q1451" i="4" s="1"/>
  <c r="R1451" i="4" s="1"/>
  <c r="J1451" i="4"/>
  <c r="H1451" i="4"/>
  <c r="I1451" i="4" s="1"/>
  <c r="F1449" i="4"/>
  <c r="E1449" i="4"/>
  <c r="E1484" i="4" s="1"/>
  <c r="M1448" i="4"/>
  <c r="N1448" i="4" s="1"/>
  <c r="O1448" i="4" s="1"/>
  <c r="P1448" i="4" s="1"/>
  <c r="Q1448" i="4" s="1"/>
  <c r="R1448" i="4" s="1"/>
  <c r="L1448" i="4"/>
  <c r="I1448" i="4"/>
  <c r="J1448" i="4" s="1"/>
  <c r="K1448" i="4" s="1"/>
  <c r="Q1447" i="4"/>
  <c r="R1447" i="4" s="1"/>
  <c r="N1447" i="4"/>
  <c r="O1447" i="4" s="1"/>
  <c r="P1447" i="4" s="1"/>
  <c r="I1447" i="4"/>
  <c r="J1447" i="4" s="1"/>
  <c r="K1447" i="4" s="1"/>
  <c r="L1447" i="4" s="1"/>
  <c r="M1447" i="4" s="1"/>
  <c r="H1446" i="4"/>
  <c r="K1445" i="4"/>
  <c r="L1445" i="4" s="1"/>
  <c r="M1445" i="4" s="1"/>
  <c r="N1445" i="4" s="1"/>
  <c r="O1445" i="4" s="1"/>
  <c r="P1445" i="4" s="1"/>
  <c r="Q1445" i="4" s="1"/>
  <c r="R1445" i="4" s="1"/>
  <c r="J1445" i="4"/>
  <c r="I1445" i="4"/>
  <c r="M1444" i="4"/>
  <c r="N1444" i="4" s="1"/>
  <c r="O1444" i="4" s="1"/>
  <c r="P1444" i="4" s="1"/>
  <c r="Q1444" i="4" s="1"/>
  <c r="R1444" i="4" s="1"/>
  <c r="I1444" i="4"/>
  <c r="J1444" i="4" s="1"/>
  <c r="K1444" i="4" s="1"/>
  <c r="L1444" i="4" s="1"/>
  <c r="P1442" i="4"/>
  <c r="Q1442" i="4" s="1"/>
  <c r="R1442" i="4" s="1"/>
  <c r="K1442" i="4"/>
  <c r="L1442" i="4" s="1"/>
  <c r="M1442" i="4" s="1"/>
  <c r="N1442" i="4" s="1"/>
  <c r="O1442" i="4" s="1"/>
  <c r="J1442" i="4"/>
  <c r="L1440" i="4"/>
  <c r="M1440" i="4" s="1"/>
  <c r="N1440" i="4" s="1"/>
  <c r="O1440" i="4" s="1"/>
  <c r="P1440" i="4" s="1"/>
  <c r="Q1440" i="4" s="1"/>
  <c r="R1440" i="4" s="1"/>
  <c r="I1440" i="4"/>
  <c r="J1440" i="4" s="1"/>
  <c r="K1440" i="4" s="1"/>
  <c r="J1439" i="4"/>
  <c r="K1439" i="4" s="1"/>
  <c r="L1439" i="4" s="1"/>
  <c r="M1439" i="4" s="1"/>
  <c r="N1439" i="4" s="1"/>
  <c r="O1439" i="4" s="1"/>
  <c r="P1439" i="4" s="1"/>
  <c r="Q1439" i="4" s="1"/>
  <c r="R1439" i="4" s="1"/>
  <c r="I1439" i="4"/>
  <c r="H1439" i="4"/>
  <c r="D1439" i="4"/>
  <c r="I1438" i="4"/>
  <c r="F1438" i="4"/>
  <c r="D1438" i="4"/>
  <c r="D1484" i="4" s="1"/>
  <c r="C1438" i="4"/>
  <c r="C1484" i="4" s="1"/>
  <c r="H1433" i="4"/>
  <c r="G1433" i="4"/>
  <c r="F1433" i="4"/>
  <c r="E1433" i="4"/>
  <c r="C1433" i="4"/>
  <c r="P1430" i="4"/>
  <c r="Q1430" i="4" s="1"/>
  <c r="R1430" i="4" s="1"/>
  <c r="K1430" i="4"/>
  <c r="L1430" i="4" s="1"/>
  <c r="M1430" i="4" s="1"/>
  <c r="N1430" i="4" s="1"/>
  <c r="O1430" i="4" s="1"/>
  <c r="J1430" i="4"/>
  <c r="L1428" i="4"/>
  <c r="M1428" i="4" s="1"/>
  <c r="N1428" i="4" s="1"/>
  <c r="O1428" i="4" s="1"/>
  <c r="P1428" i="4" s="1"/>
  <c r="Q1428" i="4" s="1"/>
  <c r="R1428" i="4" s="1"/>
  <c r="J1428" i="4"/>
  <c r="K1428" i="4" s="1"/>
  <c r="I1428" i="4"/>
  <c r="N1426" i="4"/>
  <c r="O1426" i="4" s="1"/>
  <c r="P1426" i="4" s="1"/>
  <c r="Q1426" i="4" s="1"/>
  <c r="R1426" i="4" s="1"/>
  <c r="M1426" i="4"/>
  <c r="I1426" i="4"/>
  <c r="J1426" i="4" s="1"/>
  <c r="K1426" i="4" s="1"/>
  <c r="L1426" i="4" s="1"/>
  <c r="L1425" i="4"/>
  <c r="M1425" i="4" s="1"/>
  <c r="N1425" i="4" s="1"/>
  <c r="O1425" i="4" s="1"/>
  <c r="P1425" i="4" s="1"/>
  <c r="Q1425" i="4" s="1"/>
  <c r="R1425" i="4" s="1"/>
  <c r="J1425" i="4"/>
  <c r="K1425" i="4" s="1"/>
  <c r="I1425" i="4"/>
  <c r="R1423" i="4"/>
  <c r="Q1423" i="4"/>
  <c r="D1423" i="4"/>
  <c r="D1433" i="4" s="1"/>
  <c r="K1422" i="4"/>
  <c r="L1422" i="4" s="1"/>
  <c r="M1422" i="4" s="1"/>
  <c r="N1422" i="4" s="1"/>
  <c r="O1422" i="4" s="1"/>
  <c r="P1422" i="4" s="1"/>
  <c r="Q1422" i="4" s="1"/>
  <c r="R1422" i="4" s="1"/>
  <c r="I1422" i="4"/>
  <c r="J1422" i="4" s="1"/>
  <c r="K1421" i="4"/>
  <c r="L1421" i="4" s="1"/>
  <c r="M1421" i="4" s="1"/>
  <c r="N1421" i="4" s="1"/>
  <c r="O1421" i="4" s="1"/>
  <c r="P1421" i="4" s="1"/>
  <c r="Q1421" i="4" s="1"/>
  <c r="R1421" i="4" s="1"/>
  <c r="J1421" i="4"/>
  <c r="I1421" i="4"/>
  <c r="O1420" i="4"/>
  <c r="P1420" i="4" s="1"/>
  <c r="Q1420" i="4" s="1"/>
  <c r="R1420" i="4" s="1"/>
  <c r="I1420" i="4"/>
  <c r="J1420" i="4" s="1"/>
  <c r="K1420" i="4" s="1"/>
  <c r="L1420" i="4" s="1"/>
  <c r="M1420" i="4" s="1"/>
  <c r="N1420" i="4" s="1"/>
  <c r="I1419" i="4"/>
  <c r="J1419" i="4" s="1"/>
  <c r="K1419" i="4" s="1"/>
  <c r="L1419" i="4" s="1"/>
  <c r="M1419" i="4" s="1"/>
  <c r="N1419" i="4" s="1"/>
  <c r="O1419" i="4" s="1"/>
  <c r="P1419" i="4" s="1"/>
  <c r="Q1419" i="4" s="1"/>
  <c r="R1419" i="4" s="1"/>
  <c r="O1418" i="4"/>
  <c r="P1418" i="4" s="1"/>
  <c r="Q1418" i="4" s="1"/>
  <c r="R1418" i="4" s="1"/>
  <c r="M1418" i="4"/>
  <c r="N1418" i="4" s="1"/>
  <c r="I1418" i="4"/>
  <c r="J1418" i="4" s="1"/>
  <c r="K1418" i="4" s="1"/>
  <c r="L1418" i="4" s="1"/>
  <c r="R1417" i="4"/>
  <c r="N1417" i="4"/>
  <c r="O1417" i="4" s="1"/>
  <c r="P1417" i="4" s="1"/>
  <c r="Q1417" i="4" s="1"/>
  <c r="M1417" i="4"/>
  <c r="I1417" i="4"/>
  <c r="J1417" i="4" s="1"/>
  <c r="K1417" i="4" s="1"/>
  <c r="L1417" i="4" s="1"/>
  <c r="Q1416" i="4"/>
  <c r="R1416" i="4" s="1"/>
  <c r="M1416" i="4"/>
  <c r="N1416" i="4" s="1"/>
  <c r="O1416" i="4" s="1"/>
  <c r="P1416" i="4" s="1"/>
  <c r="L1416" i="4"/>
  <c r="I1416" i="4"/>
  <c r="J1416" i="4" s="1"/>
  <c r="K1416" i="4" s="1"/>
  <c r="R1414" i="4"/>
  <c r="Q1414" i="4"/>
  <c r="M1414" i="4"/>
  <c r="N1414" i="4" s="1"/>
  <c r="O1414" i="4" s="1"/>
  <c r="P1414" i="4" s="1"/>
  <c r="I1414" i="4"/>
  <c r="J1414" i="4" s="1"/>
  <c r="K1414" i="4" s="1"/>
  <c r="L1414" i="4" s="1"/>
  <c r="Q1412" i="4"/>
  <c r="R1412" i="4" s="1"/>
  <c r="P1412" i="4"/>
  <c r="L1412" i="4"/>
  <c r="M1412" i="4" s="1"/>
  <c r="N1412" i="4" s="1"/>
  <c r="O1412" i="4" s="1"/>
  <c r="K1412" i="4"/>
  <c r="I1412" i="4"/>
  <c r="J1412" i="4" s="1"/>
  <c r="J1411" i="4"/>
  <c r="K1411" i="4" s="1"/>
  <c r="L1411" i="4" s="1"/>
  <c r="M1411" i="4" s="1"/>
  <c r="N1411" i="4" s="1"/>
  <c r="O1411" i="4" s="1"/>
  <c r="P1411" i="4" s="1"/>
  <c r="Q1411" i="4" s="1"/>
  <c r="R1411" i="4" s="1"/>
  <c r="I1411" i="4"/>
  <c r="I1409" i="4"/>
  <c r="C1396" i="4"/>
  <c r="R1393" i="4"/>
  <c r="Q1393" i="4"/>
  <c r="E1393" i="4"/>
  <c r="D1393" i="4"/>
  <c r="R1387" i="4"/>
  <c r="Q1387" i="4"/>
  <c r="E1387" i="4"/>
  <c r="D1387" i="4"/>
  <c r="H1381" i="4"/>
  <c r="H1396" i="4" s="1"/>
  <c r="G1381" i="4"/>
  <c r="G1396" i="4" s="1"/>
  <c r="F1381" i="4"/>
  <c r="F1396" i="4" s="1"/>
  <c r="E1381" i="4"/>
  <c r="D1381" i="4"/>
  <c r="C1381" i="4"/>
  <c r="N1375" i="4"/>
  <c r="O1375" i="4" s="1"/>
  <c r="P1375" i="4" s="1"/>
  <c r="Q1375" i="4" s="1"/>
  <c r="R1375" i="4" s="1"/>
  <c r="M1375" i="4"/>
  <c r="K1375" i="4"/>
  <c r="L1375" i="4" s="1"/>
  <c r="I1375" i="4"/>
  <c r="J1375" i="4" s="1"/>
  <c r="Q1372" i="4"/>
  <c r="R1372" i="4" s="1"/>
  <c r="P1372" i="4"/>
  <c r="M1372" i="4"/>
  <c r="N1372" i="4" s="1"/>
  <c r="O1372" i="4" s="1"/>
  <c r="K1372" i="4"/>
  <c r="L1372" i="4" s="1"/>
  <c r="I1372" i="4"/>
  <c r="J1372" i="4" s="1"/>
  <c r="R1360" i="4"/>
  <c r="K1360" i="4"/>
  <c r="L1360" i="4" s="1"/>
  <c r="M1360" i="4" s="1"/>
  <c r="N1360" i="4" s="1"/>
  <c r="O1360" i="4" s="1"/>
  <c r="P1360" i="4" s="1"/>
  <c r="Q1360" i="4" s="1"/>
  <c r="J1360" i="4"/>
  <c r="I1360" i="4"/>
  <c r="I1359" i="4"/>
  <c r="H1353" i="4"/>
  <c r="E1353" i="4"/>
  <c r="E1396" i="4" s="1"/>
  <c r="D1353" i="4"/>
  <c r="C1353" i="4"/>
  <c r="K1351" i="4"/>
  <c r="L1351" i="4" s="1"/>
  <c r="I1351" i="4"/>
  <c r="J1351" i="4" s="1"/>
  <c r="J1353" i="4" s="1"/>
  <c r="G1344" i="4"/>
  <c r="R1342" i="4"/>
  <c r="Q1342" i="4"/>
  <c r="P1342" i="4"/>
  <c r="O1342" i="4"/>
  <c r="N1342" i="4"/>
  <c r="M1342" i="4"/>
  <c r="L1342" i="4"/>
  <c r="K1342" i="4"/>
  <c r="J1342" i="4"/>
  <c r="I1342" i="4"/>
  <c r="I1344" i="4" s="1"/>
  <c r="H1342" i="4"/>
  <c r="G1342" i="4"/>
  <c r="F1342" i="4"/>
  <c r="E1342" i="4"/>
  <c r="D1342" i="4"/>
  <c r="C1342" i="4"/>
  <c r="C1344" i="4" s="1"/>
  <c r="R1318" i="4"/>
  <c r="Q1318" i="4"/>
  <c r="E1318" i="4"/>
  <c r="D1318" i="4"/>
  <c r="C1318" i="4"/>
  <c r="H1312" i="4"/>
  <c r="G1312" i="4"/>
  <c r="F1312" i="4"/>
  <c r="D1312" i="4"/>
  <c r="C1312" i="4"/>
  <c r="R1287" i="4"/>
  <c r="Q1287" i="4"/>
  <c r="J1286" i="4"/>
  <c r="I1286" i="4"/>
  <c r="I1312" i="4" s="1"/>
  <c r="R1275" i="4"/>
  <c r="Q1275" i="4"/>
  <c r="E1275" i="4"/>
  <c r="D1275" i="4"/>
  <c r="R1274" i="4"/>
  <c r="Q1274" i="4"/>
  <c r="E1274" i="4"/>
  <c r="E1312" i="4" s="1"/>
  <c r="E1344" i="4" s="1"/>
  <c r="D1274" i="4"/>
  <c r="R1267" i="4"/>
  <c r="Q1267" i="4"/>
  <c r="P1267" i="4"/>
  <c r="P152" i="4" s="1"/>
  <c r="O1267" i="4"/>
  <c r="N1267" i="4"/>
  <c r="M1267" i="4"/>
  <c r="L1267" i="4"/>
  <c r="L152" i="4" s="1"/>
  <c r="K1267" i="4"/>
  <c r="J1267" i="4"/>
  <c r="I1267" i="4"/>
  <c r="H1267" i="4"/>
  <c r="H152" i="4" s="1"/>
  <c r="G1267" i="4"/>
  <c r="F1267" i="4"/>
  <c r="E1267" i="4"/>
  <c r="D1267" i="4"/>
  <c r="D152" i="4" s="1"/>
  <c r="C1267" i="4"/>
  <c r="H1231" i="4"/>
  <c r="G1231" i="4"/>
  <c r="R1229" i="4"/>
  <c r="Q1229" i="4"/>
  <c r="F1229" i="4"/>
  <c r="E1229" i="4"/>
  <c r="D1229" i="4"/>
  <c r="C1229" i="4"/>
  <c r="H1221" i="4"/>
  <c r="G1221" i="4"/>
  <c r="F1221" i="4"/>
  <c r="E1221" i="4"/>
  <c r="D1221" i="4"/>
  <c r="M1217" i="4"/>
  <c r="N1217" i="4" s="1"/>
  <c r="O1217" i="4" s="1"/>
  <c r="P1217" i="4" s="1"/>
  <c r="Q1217" i="4" s="1"/>
  <c r="R1217" i="4" s="1"/>
  <c r="L1217" i="4"/>
  <c r="I1217" i="4"/>
  <c r="J1217" i="4" s="1"/>
  <c r="K1217" i="4" s="1"/>
  <c r="N1215" i="4"/>
  <c r="O1215" i="4" s="1"/>
  <c r="P1215" i="4" s="1"/>
  <c r="Q1215" i="4" s="1"/>
  <c r="R1215" i="4" s="1"/>
  <c r="L1215" i="4"/>
  <c r="M1215" i="4" s="1"/>
  <c r="K1215" i="4"/>
  <c r="J1215" i="4"/>
  <c r="I1215" i="4"/>
  <c r="C1214" i="4"/>
  <c r="R1211" i="4"/>
  <c r="Q1211" i="4"/>
  <c r="E1211" i="4"/>
  <c r="N1210" i="4"/>
  <c r="O1210" i="4" s="1"/>
  <c r="P1210" i="4" s="1"/>
  <c r="Q1210" i="4" s="1"/>
  <c r="R1210" i="4" s="1"/>
  <c r="M1210" i="4"/>
  <c r="L1210" i="4"/>
  <c r="I1210" i="4"/>
  <c r="J1210" i="4" s="1"/>
  <c r="K1210" i="4" s="1"/>
  <c r="C1210" i="4"/>
  <c r="F1207" i="4"/>
  <c r="D1207" i="4"/>
  <c r="Q1206" i="4"/>
  <c r="R1206" i="4" s="1"/>
  <c r="O1206" i="4"/>
  <c r="P1206" i="4" s="1"/>
  <c r="J1206" i="4"/>
  <c r="K1206" i="4" s="1"/>
  <c r="L1206" i="4" s="1"/>
  <c r="M1206" i="4" s="1"/>
  <c r="N1206" i="4" s="1"/>
  <c r="I1206" i="4"/>
  <c r="O1205" i="4"/>
  <c r="P1205" i="4" s="1"/>
  <c r="Q1205" i="4" s="1"/>
  <c r="R1205" i="4" s="1"/>
  <c r="L1205" i="4"/>
  <c r="M1205" i="4" s="1"/>
  <c r="N1205" i="4" s="1"/>
  <c r="K1205" i="4"/>
  <c r="I1205" i="4"/>
  <c r="J1205" i="4" s="1"/>
  <c r="Q1204" i="4"/>
  <c r="R1204" i="4" s="1"/>
  <c r="O1204" i="4"/>
  <c r="P1204" i="4" s="1"/>
  <c r="J1204" i="4"/>
  <c r="K1204" i="4" s="1"/>
  <c r="L1204" i="4" s="1"/>
  <c r="M1204" i="4" s="1"/>
  <c r="N1204" i="4" s="1"/>
  <c r="I1204" i="4"/>
  <c r="M1202" i="4"/>
  <c r="N1202" i="4" s="1"/>
  <c r="O1202" i="4" s="1"/>
  <c r="P1202" i="4" s="1"/>
  <c r="Q1202" i="4" s="1"/>
  <c r="R1202" i="4" s="1"/>
  <c r="K1202" i="4"/>
  <c r="L1202" i="4" s="1"/>
  <c r="I1202" i="4"/>
  <c r="J1202" i="4" s="1"/>
  <c r="N1201" i="4"/>
  <c r="O1201" i="4" s="1"/>
  <c r="P1201" i="4" s="1"/>
  <c r="Q1201" i="4" s="1"/>
  <c r="R1201" i="4" s="1"/>
  <c r="I1201" i="4"/>
  <c r="J1201" i="4" s="1"/>
  <c r="K1201" i="4" s="1"/>
  <c r="L1201" i="4" s="1"/>
  <c r="M1201" i="4" s="1"/>
  <c r="I1200" i="4"/>
  <c r="J1200" i="4" s="1"/>
  <c r="K1200" i="4" s="1"/>
  <c r="L1200" i="4" s="1"/>
  <c r="M1200" i="4" s="1"/>
  <c r="N1200" i="4" s="1"/>
  <c r="O1200" i="4" s="1"/>
  <c r="P1200" i="4" s="1"/>
  <c r="Q1200" i="4" s="1"/>
  <c r="R1200" i="4" s="1"/>
  <c r="N1197" i="4"/>
  <c r="O1197" i="4" s="1"/>
  <c r="P1197" i="4" s="1"/>
  <c r="Q1197" i="4" s="1"/>
  <c r="R1197" i="4" s="1"/>
  <c r="M1197" i="4"/>
  <c r="K1197" i="4"/>
  <c r="L1197" i="4" s="1"/>
  <c r="I1197" i="4"/>
  <c r="J1197" i="4" s="1"/>
  <c r="Q1196" i="4"/>
  <c r="R1196" i="4" s="1"/>
  <c r="P1196" i="4"/>
  <c r="K1196" i="4"/>
  <c r="L1196" i="4" s="1"/>
  <c r="M1196" i="4" s="1"/>
  <c r="N1196" i="4" s="1"/>
  <c r="O1196" i="4" s="1"/>
  <c r="I1196" i="4"/>
  <c r="J1196" i="4" s="1"/>
  <c r="O1195" i="4"/>
  <c r="P1195" i="4" s="1"/>
  <c r="Q1195" i="4" s="1"/>
  <c r="R1195" i="4" s="1"/>
  <c r="M1195" i="4"/>
  <c r="N1195" i="4" s="1"/>
  <c r="K1195" i="4"/>
  <c r="L1195" i="4" s="1"/>
  <c r="J1195" i="4"/>
  <c r="I1195" i="4"/>
  <c r="K1194" i="4"/>
  <c r="L1194" i="4" s="1"/>
  <c r="M1194" i="4" s="1"/>
  <c r="N1194" i="4" s="1"/>
  <c r="O1194" i="4" s="1"/>
  <c r="P1194" i="4" s="1"/>
  <c r="Q1194" i="4" s="1"/>
  <c r="R1194" i="4" s="1"/>
  <c r="I1194" i="4"/>
  <c r="J1194" i="4" s="1"/>
  <c r="I1193" i="4"/>
  <c r="J1193" i="4" s="1"/>
  <c r="K1193" i="4" s="1"/>
  <c r="L1193" i="4" s="1"/>
  <c r="M1193" i="4" s="1"/>
  <c r="N1193" i="4" s="1"/>
  <c r="O1193" i="4" s="1"/>
  <c r="P1193" i="4" s="1"/>
  <c r="Q1193" i="4" s="1"/>
  <c r="R1193" i="4" s="1"/>
  <c r="P1192" i="4"/>
  <c r="Q1192" i="4" s="1"/>
  <c r="R1192" i="4" s="1"/>
  <c r="K1192" i="4"/>
  <c r="L1192" i="4" s="1"/>
  <c r="M1192" i="4" s="1"/>
  <c r="N1192" i="4" s="1"/>
  <c r="O1192" i="4" s="1"/>
  <c r="I1192" i="4"/>
  <c r="J1192" i="4" s="1"/>
  <c r="C1191" i="4"/>
  <c r="O1190" i="4"/>
  <c r="P1190" i="4" s="1"/>
  <c r="Q1190" i="4" s="1"/>
  <c r="R1190" i="4" s="1"/>
  <c r="N1190" i="4"/>
  <c r="K1190" i="4"/>
  <c r="L1190" i="4" s="1"/>
  <c r="M1190" i="4" s="1"/>
  <c r="J1190" i="4"/>
  <c r="I1190" i="4"/>
  <c r="J1189" i="4"/>
  <c r="K1189" i="4" s="1"/>
  <c r="L1189" i="4" s="1"/>
  <c r="M1189" i="4" s="1"/>
  <c r="N1189" i="4" s="1"/>
  <c r="O1189" i="4" s="1"/>
  <c r="P1189" i="4" s="1"/>
  <c r="Q1189" i="4" s="1"/>
  <c r="R1189" i="4" s="1"/>
  <c r="I1189" i="4"/>
  <c r="D1189" i="4"/>
  <c r="K1188" i="4"/>
  <c r="L1188" i="4" s="1"/>
  <c r="M1188" i="4" s="1"/>
  <c r="N1188" i="4" s="1"/>
  <c r="O1188" i="4" s="1"/>
  <c r="P1188" i="4" s="1"/>
  <c r="Q1188" i="4" s="1"/>
  <c r="R1188" i="4" s="1"/>
  <c r="I1188" i="4"/>
  <c r="J1188" i="4" s="1"/>
  <c r="Q1187" i="4"/>
  <c r="R1187" i="4" s="1"/>
  <c r="M1185" i="4"/>
  <c r="N1185" i="4" s="1"/>
  <c r="O1185" i="4" s="1"/>
  <c r="P1185" i="4" s="1"/>
  <c r="Q1185" i="4" s="1"/>
  <c r="R1185" i="4" s="1"/>
  <c r="L1185" i="4"/>
  <c r="K1185" i="4"/>
  <c r="I1185" i="4"/>
  <c r="J1185" i="4" s="1"/>
  <c r="R1183" i="4"/>
  <c r="M1183" i="4"/>
  <c r="N1183" i="4" s="1"/>
  <c r="O1183" i="4" s="1"/>
  <c r="P1183" i="4" s="1"/>
  <c r="Q1183" i="4" s="1"/>
  <c r="K1183" i="4"/>
  <c r="L1183" i="4" s="1"/>
  <c r="J1183" i="4"/>
  <c r="I1183" i="4"/>
  <c r="I1182" i="4"/>
  <c r="H1182" i="4"/>
  <c r="H1177" i="4"/>
  <c r="G1177" i="4"/>
  <c r="D1177" i="4"/>
  <c r="R1175" i="4"/>
  <c r="L1175" i="4"/>
  <c r="M1175" i="4" s="1"/>
  <c r="N1175" i="4" s="1"/>
  <c r="O1175" i="4" s="1"/>
  <c r="P1175" i="4" s="1"/>
  <c r="Q1175" i="4" s="1"/>
  <c r="K1175" i="4"/>
  <c r="J1175" i="4"/>
  <c r="I1175" i="4"/>
  <c r="L1173" i="4"/>
  <c r="M1173" i="4" s="1"/>
  <c r="N1173" i="4" s="1"/>
  <c r="O1173" i="4" s="1"/>
  <c r="P1173" i="4" s="1"/>
  <c r="Q1173" i="4" s="1"/>
  <c r="R1173" i="4" s="1"/>
  <c r="J1173" i="4"/>
  <c r="K1173" i="4" s="1"/>
  <c r="I1173" i="4"/>
  <c r="O1172" i="4"/>
  <c r="P1172" i="4" s="1"/>
  <c r="Q1172" i="4" s="1"/>
  <c r="R1172" i="4" s="1"/>
  <c r="J1172" i="4"/>
  <c r="K1172" i="4" s="1"/>
  <c r="L1172" i="4" s="1"/>
  <c r="M1172" i="4" s="1"/>
  <c r="N1172" i="4" s="1"/>
  <c r="I1172" i="4"/>
  <c r="M1168" i="4"/>
  <c r="N1168" i="4" s="1"/>
  <c r="O1168" i="4" s="1"/>
  <c r="P1168" i="4" s="1"/>
  <c r="Q1168" i="4" s="1"/>
  <c r="R1168" i="4" s="1"/>
  <c r="L1168" i="4"/>
  <c r="J1168" i="4"/>
  <c r="K1168" i="4" s="1"/>
  <c r="I1168" i="4"/>
  <c r="R1167" i="4"/>
  <c r="L1167" i="4"/>
  <c r="M1167" i="4" s="1"/>
  <c r="N1167" i="4" s="1"/>
  <c r="O1167" i="4" s="1"/>
  <c r="P1167" i="4" s="1"/>
  <c r="Q1167" i="4" s="1"/>
  <c r="K1167" i="4"/>
  <c r="J1167" i="4"/>
  <c r="I1167" i="4"/>
  <c r="R1166" i="4"/>
  <c r="J1166" i="4"/>
  <c r="K1166" i="4" s="1"/>
  <c r="L1166" i="4" s="1"/>
  <c r="M1166" i="4" s="1"/>
  <c r="N1166" i="4" s="1"/>
  <c r="O1166" i="4" s="1"/>
  <c r="P1166" i="4" s="1"/>
  <c r="Q1166" i="4" s="1"/>
  <c r="I1166" i="4"/>
  <c r="J1165" i="4"/>
  <c r="I1165" i="4"/>
  <c r="P1164" i="4"/>
  <c r="Q1164" i="4" s="1"/>
  <c r="R1164" i="4" s="1"/>
  <c r="M1164" i="4"/>
  <c r="N1164" i="4" s="1"/>
  <c r="O1164" i="4" s="1"/>
  <c r="L1164" i="4"/>
  <c r="J1164" i="4"/>
  <c r="K1164" i="4" s="1"/>
  <c r="I1164" i="4"/>
  <c r="F1164" i="4"/>
  <c r="E1164" i="4"/>
  <c r="D1164" i="4"/>
  <c r="C1164" i="4"/>
  <c r="K1163" i="4"/>
  <c r="L1163" i="4" s="1"/>
  <c r="M1163" i="4" s="1"/>
  <c r="N1163" i="4" s="1"/>
  <c r="O1163" i="4" s="1"/>
  <c r="P1163" i="4" s="1"/>
  <c r="Q1163" i="4" s="1"/>
  <c r="R1163" i="4" s="1"/>
  <c r="J1163" i="4"/>
  <c r="I1163" i="4"/>
  <c r="F1163" i="4"/>
  <c r="E1163" i="4"/>
  <c r="D1163" i="4"/>
  <c r="C1163" i="4"/>
  <c r="L1162" i="4"/>
  <c r="J1162" i="4"/>
  <c r="K1162" i="4" s="1"/>
  <c r="I1162" i="4"/>
  <c r="I1177" i="4" s="1"/>
  <c r="F1162" i="4"/>
  <c r="F1177" i="4" s="1"/>
  <c r="E1162" i="4"/>
  <c r="D1162" i="4"/>
  <c r="C1162" i="4"/>
  <c r="C1177" i="4" s="1"/>
  <c r="G1155" i="4"/>
  <c r="D1153" i="4"/>
  <c r="D1155" i="4" s="1"/>
  <c r="H1151" i="4"/>
  <c r="G1151" i="4"/>
  <c r="G1153" i="4" s="1"/>
  <c r="F1151" i="4"/>
  <c r="D1151" i="4"/>
  <c r="C1151" i="4"/>
  <c r="C1153" i="4" s="1"/>
  <c r="J1149" i="4"/>
  <c r="K1149" i="4" s="1"/>
  <c r="L1149" i="4" s="1"/>
  <c r="M1149" i="4" s="1"/>
  <c r="N1149" i="4" s="1"/>
  <c r="O1149" i="4" s="1"/>
  <c r="P1149" i="4" s="1"/>
  <c r="Q1149" i="4" s="1"/>
  <c r="R1149" i="4" s="1"/>
  <c r="I1149" i="4"/>
  <c r="P1148" i="4"/>
  <c r="Q1148" i="4" s="1"/>
  <c r="R1148" i="4" s="1"/>
  <c r="J1148" i="4"/>
  <c r="K1148" i="4" s="1"/>
  <c r="L1148" i="4" s="1"/>
  <c r="M1148" i="4" s="1"/>
  <c r="N1148" i="4" s="1"/>
  <c r="O1148" i="4" s="1"/>
  <c r="I1148" i="4"/>
  <c r="E1148" i="4"/>
  <c r="E1151" i="4" s="1"/>
  <c r="C1148" i="4"/>
  <c r="I1146" i="4"/>
  <c r="J1146" i="4" s="1"/>
  <c r="K1146" i="4" s="1"/>
  <c r="L1146" i="4" s="1"/>
  <c r="M1146" i="4" s="1"/>
  <c r="N1146" i="4" s="1"/>
  <c r="O1146" i="4" s="1"/>
  <c r="P1146" i="4" s="1"/>
  <c r="Q1146" i="4" s="1"/>
  <c r="R1146" i="4" s="1"/>
  <c r="N1144" i="4"/>
  <c r="L1144" i="4"/>
  <c r="M1144" i="4" s="1"/>
  <c r="J1144" i="4"/>
  <c r="K1144" i="4" s="1"/>
  <c r="I1144" i="4"/>
  <c r="I1141" i="4"/>
  <c r="G1141" i="4"/>
  <c r="F1141" i="4"/>
  <c r="F1153" i="4" s="1"/>
  <c r="E1141" i="4"/>
  <c r="E1153" i="4" s="1"/>
  <c r="D1141" i="4"/>
  <c r="C1141" i="4"/>
  <c r="R1137" i="4"/>
  <c r="Q1137" i="4"/>
  <c r="E1137" i="4"/>
  <c r="D1137" i="4"/>
  <c r="R1136" i="4"/>
  <c r="Q1136" i="4"/>
  <c r="E1136" i="4"/>
  <c r="D1136" i="4"/>
  <c r="L1135" i="4"/>
  <c r="M1135" i="4" s="1"/>
  <c r="N1135" i="4" s="1"/>
  <c r="O1135" i="4" s="1"/>
  <c r="P1135" i="4" s="1"/>
  <c r="Q1135" i="4" s="1"/>
  <c r="R1135" i="4" s="1"/>
  <c r="J1135" i="4"/>
  <c r="K1135" i="4" s="1"/>
  <c r="I1135" i="4"/>
  <c r="J1134" i="4"/>
  <c r="K1134" i="4" s="1"/>
  <c r="L1134" i="4" s="1"/>
  <c r="M1134" i="4" s="1"/>
  <c r="N1134" i="4" s="1"/>
  <c r="O1134" i="4" s="1"/>
  <c r="P1134" i="4" s="1"/>
  <c r="Q1134" i="4" s="1"/>
  <c r="R1134" i="4" s="1"/>
  <c r="I1134" i="4"/>
  <c r="M1133" i="4"/>
  <c r="N1133" i="4" s="1"/>
  <c r="O1133" i="4" s="1"/>
  <c r="P1133" i="4" s="1"/>
  <c r="Q1133" i="4" s="1"/>
  <c r="R1133" i="4" s="1"/>
  <c r="L1133" i="4"/>
  <c r="J1133" i="4"/>
  <c r="K1133" i="4" s="1"/>
  <c r="I1133" i="4"/>
  <c r="R1132" i="4"/>
  <c r="L1132" i="4"/>
  <c r="M1132" i="4" s="1"/>
  <c r="N1132" i="4" s="1"/>
  <c r="O1132" i="4" s="1"/>
  <c r="P1132" i="4" s="1"/>
  <c r="Q1132" i="4" s="1"/>
  <c r="K1132" i="4"/>
  <c r="J1132" i="4"/>
  <c r="I1132" i="4"/>
  <c r="J1131" i="4"/>
  <c r="K1131" i="4" s="1"/>
  <c r="L1131" i="4" s="1"/>
  <c r="M1131" i="4" s="1"/>
  <c r="N1131" i="4" s="1"/>
  <c r="O1131" i="4" s="1"/>
  <c r="P1131" i="4" s="1"/>
  <c r="Q1131" i="4" s="1"/>
  <c r="R1131" i="4" s="1"/>
  <c r="H1131" i="4"/>
  <c r="I1131" i="4" s="1"/>
  <c r="E1131" i="4"/>
  <c r="J1130" i="4"/>
  <c r="K1130" i="4" s="1"/>
  <c r="L1130" i="4" s="1"/>
  <c r="M1130" i="4" s="1"/>
  <c r="N1130" i="4" s="1"/>
  <c r="O1130" i="4" s="1"/>
  <c r="P1130" i="4" s="1"/>
  <c r="Q1130" i="4" s="1"/>
  <c r="R1130" i="4" s="1"/>
  <c r="I1130" i="4"/>
  <c r="N1129" i="4"/>
  <c r="O1129" i="4" s="1"/>
  <c r="P1129" i="4" s="1"/>
  <c r="Q1129" i="4" s="1"/>
  <c r="R1129" i="4" s="1"/>
  <c r="L1129" i="4"/>
  <c r="M1129" i="4" s="1"/>
  <c r="J1129" i="4"/>
  <c r="K1129" i="4" s="1"/>
  <c r="I1129" i="4"/>
  <c r="J1128" i="4"/>
  <c r="K1128" i="4" s="1"/>
  <c r="L1128" i="4" s="1"/>
  <c r="M1128" i="4" s="1"/>
  <c r="N1128" i="4" s="1"/>
  <c r="O1128" i="4" s="1"/>
  <c r="P1128" i="4" s="1"/>
  <c r="Q1128" i="4" s="1"/>
  <c r="R1128" i="4" s="1"/>
  <c r="I1128" i="4"/>
  <c r="N1127" i="4"/>
  <c r="O1127" i="4" s="1"/>
  <c r="P1127" i="4" s="1"/>
  <c r="Q1127" i="4" s="1"/>
  <c r="R1127" i="4" s="1"/>
  <c r="L1127" i="4"/>
  <c r="M1127" i="4" s="1"/>
  <c r="J1127" i="4"/>
  <c r="K1127" i="4" s="1"/>
  <c r="I1127" i="4"/>
  <c r="J1125" i="4"/>
  <c r="I1125" i="4"/>
  <c r="L1123" i="4"/>
  <c r="J1123" i="4"/>
  <c r="K1123" i="4" s="1"/>
  <c r="I1123" i="4"/>
  <c r="H1118" i="4"/>
  <c r="D1118" i="4"/>
  <c r="H1116" i="4"/>
  <c r="G1116" i="4"/>
  <c r="F1116" i="4"/>
  <c r="F1118" i="4" s="1"/>
  <c r="E1116" i="4"/>
  <c r="D1116" i="4"/>
  <c r="I1114" i="4"/>
  <c r="J1114" i="4" s="1"/>
  <c r="K1114" i="4" s="1"/>
  <c r="L1114" i="4" s="1"/>
  <c r="M1114" i="4" s="1"/>
  <c r="N1114" i="4" s="1"/>
  <c r="O1114" i="4" s="1"/>
  <c r="P1114" i="4" s="1"/>
  <c r="Q1114" i="4" s="1"/>
  <c r="R1114" i="4" s="1"/>
  <c r="N1113" i="4"/>
  <c r="O1113" i="4" s="1"/>
  <c r="P1113" i="4" s="1"/>
  <c r="Q1113" i="4" s="1"/>
  <c r="R1113" i="4" s="1"/>
  <c r="K1113" i="4"/>
  <c r="L1113" i="4" s="1"/>
  <c r="M1113" i="4" s="1"/>
  <c r="J1113" i="4"/>
  <c r="I1113" i="4"/>
  <c r="Q1112" i="4"/>
  <c r="R1112" i="4" s="1"/>
  <c r="J1112" i="4"/>
  <c r="K1112" i="4" s="1"/>
  <c r="L1112" i="4" s="1"/>
  <c r="M1112" i="4" s="1"/>
  <c r="N1112" i="4" s="1"/>
  <c r="O1112" i="4" s="1"/>
  <c r="P1112" i="4" s="1"/>
  <c r="I1112" i="4"/>
  <c r="N1111" i="4"/>
  <c r="O1111" i="4" s="1"/>
  <c r="P1111" i="4" s="1"/>
  <c r="Q1111" i="4" s="1"/>
  <c r="R1111" i="4" s="1"/>
  <c r="K1111" i="4"/>
  <c r="L1111" i="4" s="1"/>
  <c r="M1111" i="4" s="1"/>
  <c r="J1111" i="4"/>
  <c r="I1111" i="4"/>
  <c r="J1110" i="4"/>
  <c r="K1110" i="4" s="1"/>
  <c r="I1110" i="4"/>
  <c r="C1110" i="4"/>
  <c r="C1116" i="4" s="1"/>
  <c r="I1107" i="4"/>
  <c r="H1107" i="4"/>
  <c r="G1107" i="4"/>
  <c r="G1118" i="4" s="1"/>
  <c r="F1107" i="4"/>
  <c r="E1107" i="4"/>
  <c r="E1118" i="4" s="1"/>
  <c r="D1107" i="4"/>
  <c r="C1107" i="4"/>
  <c r="C1118" i="4" s="1"/>
  <c r="M1104" i="4"/>
  <c r="N1104" i="4" s="1"/>
  <c r="O1104" i="4" s="1"/>
  <c r="P1104" i="4" s="1"/>
  <c r="Q1104" i="4" s="1"/>
  <c r="R1104" i="4" s="1"/>
  <c r="L1104" i="4"/>
  <c r="K1104" i="4"/>
  <c r="I1104" i="4"/>
  <c r="J1104" i="4" s="1"/>
  <c r="R1102" i="4"/>
  <c r="M1102" i="4"/>
  <c r="N1102" i="4" s="1"/>
  <c r="O1102" i="4" s="1"/>
  <c r="P1102" i="4" s="1"/>
  <c r="Q1102" i="4" s="1"/>
  <c r="K1102" i="4"/>
  <c r="L1102" i="4" s="1"/>
  <c r="J1102" i="4"/>
  <c r="I1102" i="4"/>
  <c r="I1101" i="4"/>
  <c r="J1101" i="4" s="1"/>
  <c r="K1101" i="4" s="1"/>
  <c r="L1101" i="4" s="1"/>
  <c r="M1101" i="4" s="1"/>
  <c r="N1101" i="4" s="1"/>
  <c r="O1101" i="4" s="1"/>
  <c r="P1101" i="4" s="1"/>
  <c r="Q1101" i="4" s="1"/>
  <c r="R1101" i="4" s="1"/>
  <c r="K1100" i="4"/>
  <c r="J1100" i="4"/>
  <c r="I1100" i="4"/>
  <c r="I1086" i="4"/>
  <c r="H1086" i="4"/>
  <c r="H1088" i="4" s="1"/>
  <c r="G1086" i="4"/>
  <c r="G1088" i="4" s="1"/>
  <c r="F1086" i="4"/>
  <c r="F1088" i="4" s="1"/>
  <c r="C1086" i="4"/>
  <c r="K1084" i="4"/>
  <c r="I1084" i="4"/>
  <c r="J1084" i="4" s="1"/>
  <c r="D1082" i="4"/>
  <c r="M1081" i="4"/>
  <c r="L1081" i="4"/>
  <c r="K1081" i="4"/>
  <c r="J1081" i="4"/>
  <c r="H1076" i="4"/>
  <c r="G1076" i="4"/>
  <c r="F1076" i="4"/>
  <c r="E1076" i="4"/>
  <c r="D1076" i="4"/>
  <c r="C1076" i="4"/>
  <c r="C1088" i="4" s="1"/>
  <c r="I1074" i="4"/>
  <c r="K1072" i="4"/>
  <c r="J1072" i="4"/>
  <c r="I1072" i="4"/>
  <c r="E1066" i="4"/>
  <c r="R1064" i="4"/>
  <c r="Q1064" i="4"/>
  <c r="P1064" i="4"/>
  <c r="O1064" i="4"/>
  <c r="N1064" i="4"/>
  <c r="M1064" i="4"/>
  <c r="L1064" i="4"/>
  <c r="K1064" i="4"/>
  <c r="J1064" i="4"/>
  <c r="I1064" i="4"/>
  <c r="H1064" i="4"/>
  <c r="H1066" i="4" s="1"/>
  <c r="G1064" i="4"/>
  <c r="F1064" i="4"/>
  <c r="E1064" i="4"/>
  <c r="D1064" i="4"/>
  <c r="D1066" i="4" s="1"/>
  <c r="C1064" i="4"/>
  <c r="R1009" i="4"/>
  <c r="Q1009" i="4"/>
  <c r="P1009" i="4"/>
  <c r="O1009" i="4"/>
  <c r="N1009" i="4"/>
  <c r="M1009" i="4"/>
  <c r="L1009" i="4"/>
  <c r="K1009" i="4"/>
  <c r="J1009" i="4"/>
  <c r="I1009" i="4"/>
  <c r="H1009" i="4"/>
  <c r="E1009" i="4"/>
  <c r="D1009" i="4"/>
  <c r="C1009" i="4"/>
  <c r="H1003" i="4"/>
  <c r="G1003" i="4"/>
  <c r="F1003" i="4"/>
  <c r="F110" i="4" s="1"/>
  <c r="E1003" i="4"/>
  <c r="D1003" i="4"/>
  <c r="C1003" i="4"/>
  <c r="R1001" i="4"/>
  <c r="Q1001" i="4"/>
  <c r="M1000" i="4"/>
  <c r="N1000" i="4" s="1"/>
  <c r="O1000" i="4" s="1"/>
  <c r="P1000" i="4" s="1"/>
  <c r="Q1000" i="4" s="1"/>
  <c r="R1000" i="4" s="1"/>
  <c r="L1000" i="4"/>
  <c r="I1000" i="4"/>
  <c r="J1000" i="4" s="1"/>
  <c r="K1000" i="4" s="1"/>
  <c r="C994" i="4"/>
  <c r="C986" i="4"/>
  <c r="I983" i="4"/>
  <c r="J983" i="4" s="1"/>
  <c r="K983" i="4" s="1"/>
  <c r="L983" i="4" s="1"/>
  <c r="M983" i="4" s="1"/>
  <c r="N983" i="4" s="1"/>
  <c r="O983" i="4" s="1"/>
  <c r="P983" i="4" s="1"/>
  <c r="Q983" i="4" s="1"/>
  <c r="R983" i="4" s="1"/>
  <c r="O982" i="4"/>
  <c r="P982" i="4" s="1"/>
  <c r="Q982" i="4" s="1"/>
  <c r="R982" i="4" s="1"/>
  <c r="N982" i="4"/>
  <c r="K982" i="4"/>
  <c r="L982" i="4" s="1"/>
  <c r="M982" i="4" s="1"/>
  <c r="J982" i="4"/>
  <c r="I982" i="4"/>
  <c r="I981" i="4"/>
  <c r="H977" i="4"/>
  <c r="G977" i="4"/>
  <c r="F977" i="4"/>
  <c r="E977" i="4"/>
  <c r="D977" i="4"/>
  <c r="C977" i="4"/>
  <c r="R975" i="4"/>
  <c r="O975" i="4"/>
  <c r="P975" i="4" s="1"/>
  <c r="Q975" i="4" s="1"/>
  <c r="K975" i="4"/>
  <c r="L975" i="4" s="1"/>
  <c r="M975" i="4" s="1"/>
  <c r="N975" i="4" s="1"/>
  <c r="J975" i="4"/>
  <c r="I975" i="4"/>
  <c r="P974" i="4"/>
  <c r="Q974" i="4" s="1"/>
  <c r="R974" i="4" s="1"/>
  <c r="M974" i="4"/>
  <c r="N974" i="4" s="1"/>
  <c r="O974" i="4" s="1"/>
  <c r="L974" i="4"/>
  <c r="I974" i="4"/>
  <c r="J974" i="4" s="1"/>
  <c r="K974" i="4" s="1"/>
  <c r="J973" i="4"/>
  <c r="K973" i="4" s="1"/>
  <c r="L973" i="4" s="1"/>
  <c r="M973" i="4" s="1"/>
  <c r="N973" i="4" s="1"/>
  <c r="O973" i="4" s="1"/>
  <c r="P973" i="4" s="1"/>
  <c r="Q973" i="4" s="1"/>
  <c r="R973" i="4" s="1"/>
  <c r="I973" i="4"/>
  <c r="L972" i="4"/>
  <c r="M972" i="4" s="1"/>
  <c r="N972" i="4" s="1"/>
  <c r="O972" i="4" s="1"/>
  <c r="P972" i="4" s="1"/>
  <c r="Q972" i="4" s="1"/>
  <c r="R972" i="4" s="1"/>
  <c r="I972" i="4"/>
  <c r="J972" i="4" s="1"/>
  <c r="K972" i="4" s="1"/>
  <c r="K971" i="4"/>
  <c r="L971" i="4" s="1"/>
  <c r="M971" i="4" s="1"/>
  <c r="N971" i="4" s="1"/>
  <c r="O971" i="4" s="1"/>
  <c r="P971" i="4" s="1"/>
  <c r="Q971" i="4" s="1"/>
  <c r="R971" i="4" s="1"/>
  <c r="J971" i="4"/>
  <c r="I971" i="4"/>
  <c r="I970" i="4"/>
  <c r="C962" i="4"/>
  <c r="H960" i="4"/>
  <c r="G960" i="4"/>
  <c r="F960" i="4"/>
  <c r="E960" i="4"/>
  <c r="E962" i="4" s="1"/>
  <c r="D960" i="4"/>
  <c r="D962" i="4" s="1"/>
  <c r="C960" i="4"/>
  <c r="R796" i="4"/>
  <c r="Q796" i="4"/>
  <c r="P796" i="4"/>
  <c r="O796" i="4"/>
  <c r="N796" i="4"/>
  <c r="M796" i="4"/>
  <c r="L796" i="4"/>
  <c r="K796" i="4"/>
  <c r="J796" i="4"/>
  <c r="I796" i="4"/>
  <c r="G796" i="4"/>
  <c r="F796" i="4"/>
  <c r="E796" i="4"/>
  <c r="D796" i="4"/>
  <c r="C796" i="4"/>
  <c r="H779" i="4"/>
  <c r="H796" i="4" s="1"/>
  <c r="G779" i="4"/>
  <c r="I772" i="4"/>
  <c r="H772" i="4"/>
  <c r="G772" i="4"/>
  <c r="E772" i="4"/>
  <c r="D772" i="4"/>
  <c r="C758" i="4"/>
  <c r="F754" i="4"/>
  <c r="C754" i="4"/>
  <c r="F753" i="4"/>
  <c r="C753" i="4"/>
  <c r="F750" i="4"/>
  <c r="O749" i="4"/>
  <c r="P749" i="4" s="1"/>
  <c r="Q749" i="4" s="1"/>
  <c r="R749" i="4" s="1"/>
  <c r="K749" i="4"/>
  <c r="L749" i="4" s="1"/>
  <c r="M749" i="4" s="1"/>
  <c r="N749" i="4" s="1"/>
  <c r="J749" i="4"/>
  <c r="I749" i="4"/>
  <c r="C749" i="4"/>
  <c r="J748" i="4"/>
  <c r="K748" i="4" s="1"/>
  <c r="L748" i="4" s="1"/>
  <c r="M748" i="4" s="1"/>
  <c r="N748" i="4" s="1"/>
  <c r="O748" i="4" s="1"/>
  <c r="P748" i="4" s="1"/>
  <c r="Q748" i="4" s="1"/>
  <c r="R748" i="4" s="1"/>
  <c r="I748" i="4"/>
  <c r="F746" i="4"/>
  <c r="R745" i="4"/>
  <c r="F745" i="4"/>
  <c r="F772" i="4" s="1"/>
  <c r="F109" i="4" s="1"/>
  <c r="C745" i="4"/>
  <c r="C772" i="4" s="1"/>
  <c r="F742" i="4"/>
  <c r="N726" i="4"/>
  <c r="O726" i="4" s="1"/>
  <c r="P726" i="4" s="1"/>
  <c r="Q726" i="4" s="1"/>
  <c r="R726" i="4" s="1"/>
  <c r="M726" i="4"/>
  <c r="I726" i="4"/>
  <c r="J726" i="4" s="1"/>
  <c r="K726" i="4" s="1"/>
  <c r="L726" i="4" s="1"/>
  <c r="O724" i="4"/>
  <c r="P724" i="4" s="1"/>
  <c r="Q724" i="4" s="1"/>
  <c r="R724" i="4" s="1"/>
  <c r="K724" i="4"/>
  <c r="L724" i="4" s="1"/>
  <c r="M724" i="4" s="1"/>
  <c r="N724" i="4" s="1"/>
  <c r="J724" i="4"/>
  <c r="I724" i="4"/>
  <c r="I723" i="4"/>
  <c r="J723" i="4" s="1"/>
  <c r="K722" i="4"/>
  <c r="J722" i="4"/>
  <c r="I722" i="4"/>
  <c r="H717" i="4"/>
  <c r="G717" i="4"/>
  <c r="F717" i="4"/>
  <c r="E717" i="4"/>
  <c r="D717" i="4"/>
  <c r="C717" i="4"/>
  <c r="Q710" i="4"/>
  <c r="R710" i="4" s="1"/>
  <c r="P709" i="4"/>
  <c r="Q709" i="4" s="1"/>
  <c r="R709" i="4" s="1"/>
  <c r="O709" i="4"/>
  <c r="K709" i="4"/>
  <c r="L709" i="4" s="1"/>
  <c r="M709" i="4" s="1"/>
  <c r="N709" i="4" s="1"/>
  <c r="J709" i="4"/>
  <c r="I708" i="4"/>
  <c r="J708" i="4" s="1"/>
  <c r="K708" i="4" s="1"/>
  <c r="L708" i="4" s="1"/>
  <c r="M708" i="4" s="1"/>
  <c r="N708" i="4" s="1"/>
  <c r="O708" i="4" s="1"/>
  <c r="P708" i="4" s="1"/>
  <c r="Q708" i="4" s="1"/>
  <c r="R708" i="4" s="1"/>
  <c r="O707" i="4"/>
  <c r="P707" i="4" s="1"/>
  <c r="Q707" i="4" s="1"/>
  <c r="R707" i="4" s="1"/>
  <c r="N707" i="4"/>
  <c r="K707" i="4"/>
  <c r="L707" i="4" s="1"/>
  <c r="M707" i="4" s="1"/>
  <c r="J707" i="4"/>
  <c r="I707" i="4"/>
  <c r="I706" i="4"/>
  <c r="K698" i="4"/>
  <c r="L698" i="4" s="1"/>
  <c r="M698" i="4" s="1"/>
  <c r="N698" i="4" s="1"/>
  <c r="O698" i="4" s="1"/>
  <c r="P698" i="4" s="1"/>
  <c r="Q698" i="4" s="1"/>
  <c r="R698" i="4" s="1"/>
  <c r="J698" i="4"/>
  <c r="I698" i="4"/>
  <c r="I697" i="4"/>
  <c r="J697" i="4" s="1"/>
  <c r="C690" i="4"/>
  <c r="J688" i="4"/>
  <c r="I688" i="4"/>
  <c r="I690" i="4" s="1"/>
  <c r="H688" i="4"/>
  <c r="G688" i="4"/>
  <c r="G690" i="4" s="1"/>
  <c r="F688" i="4"/>
  <c r="F690" i="4" s="1"/>
  <c r="E688" i="4"/>
  <c r="E690" i="4" s="1"/>
  <c r="D688" i="4"/>
  <c r="C688" i="4"/>
  <c r="R685" i="4"/>
  <c r="O685" i="4"/>
  <c r="P685" i="4" s="1"/>
  <c r="Q685" i="4" s="1"/>
  <c r="K685" i="4"/>
  <c r="L685" i="4" s="1"/>
  <c r="M685" i="4" s="1"/>
  <c r="N685" i="4" s="1"/>
  <c r="J685" i="4"/>
  <c r="L684" i="4"/>
  <c r="K684" i="4"/>
  <c r="K688" i="4" s="1"/>
  <c r="J684" i="4"/>
  <c r="I679" i="4"/>
  <c r="H679" i="4"/>
  <c r="G679" i="4"/>
  <c r="F679" i="4"/>
  <c r="E679" i="4"/>
  <c r="D679" i="4"/>
  <c r="C679" i="4"/>
  <c r="L677" i="4"/>
  <c r="M677" i="4" s="1"/>
  <c r="N677" i="4" s="1"/>
  <c r="O677" i="4" s="1"/>
  <c r="P677" i="4" s="1"/>
  <c r="Q677" i="4" s="1"/>
  <c r="R677" i="4" s="1"/>
  <c r="K677" i="4"/>
  <c r="J677" i="4"/>
  <c r="J676" i="4"/>
  <c r="R667" i="4"/>
  <c r="Q667" i="4"/>
  <c r="P667" i="4"/>
  <c r="O667" i="4"/>
  <c r="N667" i="4"/>
  <c r="M667" i="4"/>
  <c r="L667" i="4"/>
  <c r="K667" i="4"/>
  <c r="J667" i="4"/>
  <c r="I667" i="4"/>
  <c r="H667" i="4"/>
  <c r="G667" i="4"/>
  <c r="G669" i="4" s="1"/>
  <c r="F667" i="4"/>
  <c r="E667" i="4"/>
  <c r="D667" i="4"/>
  <c r="C667" i="4"/>
  <c r="C669" i="4" s="1"/>
  <c r="R636" i="4"/>
  <c r="R122" i="4" s="1"/>
  <c r="Q636" i="4"/>
  <c r="C636" i="4"/>
  <c r="R634" i="4"/>
  <c r="Q634" i="4"/>
  <c r="D634" i="4"/>
  <c r="H630" i="4"/>
  <c r="G630" i="4"/>
  <c r="F630" i="4"/>
  <c r="E630" i="4"/>
  <c r="D630" i="4"/>
  <c r="C630" i="4"/>
  <c r="O618" i="4"/>
  <c r="P618" i="4" s="1"/>
  <c r="Q618" i="4" s="1"/>
  <c r="R618" i="4" s="1"/>
  <c r="L618" i="4"/>
  <c r="M618" i="4" s="1"/>
  <c r="N618" i="4" s="1"/>
  <c r="K618" i="4"/>
  <c r="H618" i="4"/>
  <c r="I618" i="4" s="1"/>
  <c r="J618" i="4" s="1"/>
  <c r="J612" i="4"/>
  <c r="I612" i="4"/>
  <c r="I630" i="4" s="1"/>
  <c r="I599" i="4"/>
  <c r="H599" i="4"/>
  <c r="G599" i="4"/>
  <c r="F599" i="4"/>
  <c r="E599" i="4"/>
  <c r="D599" i="4"/>
  <c r="C599" i="4"/>
  <c r="P597" i="4"/>
  <c r="Q597" i="4" s="1"/>
  <c r="R597" i="4" s="1"/>
  <c r="L597" i="4"/>
  <c r="M597" i="4" s="1"/>
  <c r="N597" i="4" s="1"/>
  <c r="O597" i="4" s="1"/>
  <c r="I597" i="4"/>
  <c r="J597" i="4" s="1"/>
  <c r="K597" i="4" s="1"/>
  <c r="K596" i="4"/>
  <c r="L596" i="4" s="1"/>
  <c r="M596" i="4" s="1"/>
  <c r="N596" i="4" s="1"/>
  <c r="O596" i="4" s="1"/>
  <c r="P596" i="4" s="1"/>
  <c r="Q596" i="4" s="1"/>
  <c r="R596" i="4" s="1"/>
  <c r="J596" i="4"/>
  <c r="I596" i="4"/>
  <c r="P594" i="4"/>
  <c r="Q594" i="4" s="1"/>
  <c r="R594" i="4" s="1"/>
  <c r="M594" i="4"/>
  <c r="N594" i="4" s="1"/>
  <c r="O594" i="4" s="1"/>
  <c r="I594" i="4"/>
  <c r="J594" i="4" s="1"/>
  <c r="K594" i="4" s="1"/>
  <c r="L594" i="4" s="1"/>
  <c r="O593" i="4"/>
  <c r="P593" i="4" s="1"/>
  <c r="Q593" i="4" s="1"/>
  <c r="R593" i="4" s="1"/>
  <c r="K593" i="4"/>
  <c r="L593" i="4" s="1"/>
  <c r="M593" i="4" s="1"/>
  <c r="N593" i="4" s="1"/>
  <c r="J593" i="4"/>
  <c r="I593" i="4"/>
  <c r="E591" i="4"/>
  <c r="J589" i="4"/>
  <c r="K589" i="4" s="1"/>
  <c r="L589" i="4" s="1"/>
  <c r="M589" i="4" s="1"/>
  <c r="N589" i="4" s="1"/>
  <c r="O589" i="4" s="1"/>
  <c r="P589" i="4" s="1"/>
  <c r="Q589" i="4" s="1"/>
  <c r="R589" i="4" s="1"/>
  <c r="I589" i="4"/>
  <c r="L588" i="4"/>
  <c r="K588" i="4"/>
  <c r="J588" i="4"/>
  <c r="I588" i="4"/>
  <c r="R578" i="4"/>
  <c r="Q578" i="4"/>
  <c r="C578" i="4"/>
  <c r="C580" i="4" s="1"/>
  <c r="R576" i="4"/>
  <c r="Q576" i="4"/>
  <c r="D576" i="4"/>
  <c r="R572" i="4"/>
  <c r="Q572" i="4"/>
  <c r="D572" i="4"/>
  <c r="C572" i="4"/>
  <c r="R570" i="4"/>
  <c r="Q570" i="4"/>
  <c r="E570" i="4"/>
  <c r="E572" i="4" s="1"/>
  <c r="D570" i="4"/>
  <c r="H566" i="4"/>
  <c r="G566" i="4"/>
  <c r="F566" i="4"/>
  <c r="E566" i="4"/>
  <c r="D566" i="4"/>
  <c r="C566" i="4"/>
  <c r="J560" i="4"/>
  <c r="K560" i="4" s="1"/>
  <c r="L560" i="4" s="1"/>
  <c r="M560" i="4" s="1"/>
  <c r="N560" i="4" s="1"/>
  <c r="O560" i="4" s="1"/>
  <c r="P560" i="4" s="1"/>
  <c r="Q560" i="4" s="1"/>
  <c r="R560" i="4" s="1"/>
  <c r="I560" i="4"/>
  <c r="I559" i="4"/>
  <c r="K555" i="4"/>
  <c r="H555" i="4"/>
  <c r="G555" i="4"/>
  <c r="F555" i="4"/>
  <c r="F580" i="4" s="1"/>
  <c r="E555" i="4"/>
  <c r="D555" i="4"/>
  <c r="C555" i="4"/>
  <c r="K549" i="4"/>
  <c r="L549" i="4" s="1"/>
  <c r="J549" i="4"/>
  <c r="J555" i="4" s="1"/>
  <c r="J95" i="4" s="1"/>
  <c r="I549" i="4"/>
  <c r="I555" i="4" s="1"/>
  <c r="H542" i="4"/>
  <c r="R540" i="4"/>
  <c r="Q540" i="4"/>
  <c r="P540" i="4"/>
  <c r="O540" i="4"/>
  <c r="N540" i="4"/>
  <c r="M540" i="4"/>
  <c r="L540" i="4"/>
  <c r="K540" i="4"/>
  <c r="J540" i="4"/>
  <c r="I540" i="4"/>
  <c r="H540" i="4"/>
  <c r="G540" i="4"/>
  <c r="F540" i="4"/>
  <c r="E540" i="4"/>
  <c r="D540" i="4"/>
  <c r="C540" i="4"/>
  <c r="Q487" i="4"/>
  <c r="C487" i="4"/>
  <c r="R485" i="4"/>
  <c r="R487" i="4" s="1"/>
  <c r="R120" i="4" s="1"/>
  <c r="Q485" i="4"/>
  <c r="D485" i="4"/>
  <c r="G481" i="4"/>
  <c r="F481" i="4"/>
  <c r="C481" i="4"/>
  <c r="K479" i="4"/>
  <c r="L479" i="4" s="1"/>
  <c r="M479" i="4" s="1"/>
  <c r="N479" i="4" s="1"/>
  <c r="O479" i="4" s="1"/>
  <c r="P479" i="4" s="1"/>
  <c r="Q479" i="4" s="1"/>
  <c r="R479" i="4" s="1"/>
  <c r="J479" i="4"/>
  <c r="I479" i="4"/>
  <c r="M476" i="4"/>
  <c r="N476" i="4" s="1"/>
  <c r="O476" i="4" s="1"/>
  <c r="P476" i="4" s="1"/>
  <c r="Q476" i="4" s="1"/>
  <c r="R476" i="4" s="1"/>
  <c r="K476" i="4"/>
  <c r="L476" i="4" s="1"/>
  <c r="I476" i="4"/>
  <c r="J476" i="4" s="1"/>
  <c r="I475" i="4"/>
  <c r="J475" i="4" s="1"/>
  <c r="K475" i="4" s="1"/>
  <c r="L475" i="4" s="1"/>
  <c r="M475" i="4" s="1"/>
  <c r="N475" i="4" s="1"/>
  <c r="O475" i="4" s="1"/>
  <c r="P475" i="4" s="1"/>
  <c r="Q475" i="4" s="1"/>
  <c r="R475" i="4" s="1"/>
  <c r="D475" i="4"/>
  <c r="D481" i="4" s="1"/>
  <c r="I474" i="4"/>
  <c r="K473" i="4"/>
  <c r="J473" i="4"/>
  <c r="I473" i="4"/>
  <c r="H471" i="4"/>
  <c r="H481" i="4" s="1"/>
  <c r="E458" i="4"/>
  <c r="E481" i="4" s="1"/>
  <c r="H454" i="4"/>
  <c r="G454" i="4"/>
  <c r="G542" i="4" s="1"/>
  <c r="F454" i="4"/>
  <c r="F542" i="4" s="1"/>
  <c r="D454" i="4"/>
  <c r="C454" i="4"/>
  <c r="N452" i="4"/>
  <c r="O452" i="4" s="1"/>
  <c r="P452" i="4" s="1"/>
  <c r="Q452" i="4" s="1"/>
  <c r="R452" i="4" s="1"/>
  <c r="L452" i="4"/>
  <c r="M452" i="4" s="1"/>
  <c r="K452" i="4"/>
  <c r="J452" i="4"/>
  <c r="I452" i="4"/>
  <c r="M451" i="4"/>
  <c r="N451" i="4" s="1"/>
  <c r="O451" i="4" s="1"/>
  <c r="P451" i="4" s="1"/>
  <c r="Q451" i="4" s="1"/>
  <c r="R451" i="4" s="1"/>
  <c r="L451" i="4"/>
  <c r="I451" i="4"/>
  <c r="J451" i="4" s="1"/>
  <c r="K451" i="4" s="1"/>
  <c r="P450" i="4"/>
  <c r="Q450" i="4" s="1"/>
  <c r="R450" i="4" s="1"/>
  <c r="K450" i="4"/>
  <c r="L450" i="4" s="1"/>
  <c r="M450" i="4" s="1"/>
  <c r="N450" i="4" s="1"/>
  <c r="O450" i="4" s="1"/>
  <c r="J450" i="4"/>
  <c r="I450" i="4"/>
  <c r="I449" i="4"/>
  <c r="J449" i="4" s="1"/>
  <c r="K449" i="4" s="1"/>
  <c r="L449" i="4" s="1"/>
  <c r="M449" i="4" s="1"/>
  <c r="N449" i="4" s="1"/>
  <c r="O449" i="4" s="1"/>
  <c r="P449" i="4" s="1"/>
  <c r="Q449" i="4" s="1"/>
  <c r="R449" i="4" s="1"/>
  <c r="L448" i="4"/>
  <c r="M448" i="4" s="1"/>
  <c r="N448" i="4" s="1"/>
  <c r="O448" i="4" s="1"/>
  <c r="P448" i="4" s="1"/>
  <c r="Q448" i="4" s="1"/>
  <c r="R448" i="4" s="1"/>
  <c r="K448" i="4"/>
  <c r="J448" i="4"/>
  <c r="I448" i="4"/>
  <c r="E448" i="4"/>
  <c r="M447" i="4"/>
  <c r="N447" i="4" s="1"/>
  <c r="O447" i="4" s="1"/>
  <c r="P447" i="4" s="1"/>
  <c r="Q447" i="4" s="1"/>
  <c r="R447" i="4" s="1"/>
  <c r="J447" i="4"/>
  <c r="K447" i="4" s="1"/>
  <c r="L447" i="4" s="1"/>
  <c r="I447" i="4"/>
  <c r="D447" i="4"/>
  <c r="J444" i="4"/>
  <c r="K444" i="4" s="1"/>
  <c r="L444" i="4" s="1"/>
  <c r="M444" i="4" s="1"/>
  <c r="N444" i="4" s="1"/>
  <c r="O444" i="4" s="1"/>
  <c r="P444" i="4" s="1"/>
  <c r="Q444" i="4" s="1"/>
  <c r="R444" i="4" s="1"/>
  <c r="I444" i="4"/>
  <c r="E444" i="4"/>
  <c r="O443" i="4"/>
  <c r="P443" i="4" s="1"/>
  <c r="Q443" i="4" s="1"/>
  <c r="R443" i="4" s="1"/>
  <c r="I443" i="4"/>
  <c r="J443" i="4" s="1"/>
  <c r="K443" i="4" s="1"/>
  <c r="L443" i="4" s="1"/>
  <c r="M443" i="4" s="1"/>
  <c r="N443" i="4" s="1"/>
  <c r="E443" i="4"/>
  <c r="L442" i="4"/>
  <c r="M442" i="4" s="1"/>
  <c r="N442" i="4" s="1"/>
  <c r="O442" i="4" s="1"/>
  <c r="P442" i="4" s="1"/>
  <c r="Q442" i="4" s="1"/>
  <c r="R442" i="4" s="1"/>
  <c r="K442" i="4"/>
  <c r="J442" i="4"/>
  <c r="I442" i="4"/>
  <c r="E442" i="4"/>
  <c r="E454" i="4" s="1"/>
  <c r="I441" i="4"/>
  <c r="H434" i="4"/>
  <c r="H432" i="4"/>
  <c r="G432" i="4"/>
  <c r="D432" i="4"/>
  <c r="K430" i="4"/>
  <c r="L430" i="4" s="1"/>
  <c r="M430" i="4" s="1"/>
  <c r="N430" i="4" s="1"/>
  <c r="O430" i="4" s="1"/>
  <c r="P430" i="4" s="1"/>
  <c r="Q430" i="4" s="1"/>
  <c r="R430" i="4" s="1"/>
  <c r="I430" i="4"/>
  <c r="J430" i="4" s="1"/>
  <c r="J427" i="4"/>
  <c r="K427" i="4" s="1"/>
  <c r="L427" i="4" s="1"/>
  <c r="M427" i="4" s="1"/>
  <c r="N427" i="4" s="1"/>
  <c r="O427" i="4" s="1"/>
  <c r="P427" i="4" s="1"/>
  <c r="Q427" i="4" s="1"/>
  <c r="R427" i="4" s="1"/>
  <c r="I427" i="4"/>
  <c r="R426" i="4"/>
  <c r="Q426" i="4"/>
  <c r="E423" i="4"/>
  <c r="E422" i="4"/>
  <c r="L421" i="4"/>
  <c r="M421" i="4" s="1"/>
  <c r="N421" i="4" s="1"/>
  <c r="O421" i="4" s="1"/>
  <c r="P421" i="4" s="1"/>
  <c r="Q421" i="4" s="1"/>
  <c r="R421" i="4" s="1"/>
  <c r="K421" i="4"/>
  <c r="J421" i="4"/>
  <c r="I421" i="4"/>
  <c r="E421" i="4"/>
  <c r="K420" i="4"/>
  <c r="L420" i="4" s="1"/>
  <c r="M420" i="4" s="1"/>
  <c r="N420" i="4" s="1"/>
  <c r="O420" i="4" s="1"/>
  <c r="P420" i="4" s="1"/>
  <c r="Q420" i="4" s="1"/>
  <c r="R420" i="4" s="1"/>
  <c r="J420" i="4"/>
  <c r="I420" i="4"/>
  <c r="E418" i="4"/>
  <c r="E417" i="4"/>
  <c r="E432" i="4" s="1"/>
  <c r="E416" i="4"/>
  <c r="E415" i="4"/>
  <c r="L414" i="4"/>
  <c r="M414" i="4" s="1"/>
  <c r="N414" i="4" s="1"/>
  <c r="O414" i="4" s="1"/>
  <c r="P414" i="4" s="1"/>
  <c r="Q414" i="4" s="1"/>
  <c r="R414" i="4" s="1"/>
  <c r="I414" i="4"/>
  <c r="J414" i="4" s="1"/>
  <c r="K414" i="4" s="1"/>
  <c r="F412" i="4"/>
  <c r="F432" i="4" s="1"/>
  <c r="F434" i="4" s="1"/>
  <c r="E412" i="4"/>
  <c r="M410" i="4"/>
  <c r="N410" i="4" s="1"/>
  <c r="O410" i="4" s="1"/>
  <c r="P410" i="4" s="1"/>
  <c r="Q410" i="4" s="1"/>
  <c r="R410" i="4" s="1"/>
  <c r="I410" i="4"/>
  <c r="J410" i="4" s="1"/>
  <c r="K410" i="4" s="1"/>
  <c r="L410" i="4" s="1"/>
  <c r="K409" i="4"/>
  <c r="L409" i="4" s="1"/>
  <c r="M409" i="4" s="1"/>
  <c r="N409" i="4" s="1"/>
  <c r="O409" i="4" s="1"/>
  <c r="P409" i="4" s="1"/>
  <c r="Q409" i="4" s="1"/>
  <c r="R409" i="4" s="1"/>
  <c r="J409" i="4"/>
  <c r="I409" i="4"/>
  <c r="L407" i="4"/>
  <c r="M407" i="4" s="1"/>
  <c r="N407" i="4" s="1"/>
  <c r="O407" i="4" s="1"/>
  <c r="P407" i="4" s="1"/>
  <c r="Q407" i="4" s="1"/>
  <c r="R407" i="4" s="1"/>
  <c r="I407" i="4"/>
  <c r="J407" i="4" s="1"/>
  <c r="K407" i="4" s="1"/>
  <c r="N405" i="4"/>
  <c r="O405" i="4" s="1"/>
  <c r="P405" i="4" s="1"/>
  <c r="Q405" i="4" s="1"/>
  <c r="R405" i="4" s="1"/>
  <c r="J405" i="4"/>
  <c r="K405" i="4" s="1"/>
  <c r="L405" i="4" s="1"/>
  <c r="M405" i="4" s="1"/>
  <c r="I405" i="4"/>
  <c r="I404" i="4"/>
  <c r="J404" i="4" s="1"/>
  <c r="K404" i="4" s="1"/>
  <c r="L404" i="4" s="1"/>
  <c r="M404" i="4" s="1"/>
  <c r="N404" i="4" s="1"/>
  <c r="O404" i="4" s="1"/>
  <c r="P404" i="4" s="1"/>
  <c r="Q404" i="4" s="1"/>
  <c r="R404" i="4" s="1"/>
  <c r="K403" i="4"/>
  <c r="J403" i="4"/>
  <c r="I403" i="4"/>
  <c r="E403" i="4"/>
  <c r="C403" i="4"/>
  <c r="C432" i="4" s="1"/>
  <c r="H399" i="4"/>
  <c r="G399" i="4"/>
  <c r="G434" i="4" s="1"/>
  <c r="F399" i="4"/>
  <c r="I396" i="4"/>
  <c r="J396" i="4" s="1"/>
  <c r="K396" i="4" s="1"/>
  <c r="L396" i="4" s="1"/>
  <c r="M396" i="4" s="1"/>
  <c r="N396" i="4" s="1"/>
  <c r="O396" i="4" s="1"/>
  <c r="P396" i="4" s="1"/>
  <c r="Q396" i="4" s="1"/>
  <c r="R396" i="4" s="1"/>
  <c r="K395" i="4"/>
  <c r="L395" i="4" s="1"/>
  <c r="M395" i="4" s="1"/>
  <c r="N395" i="4" s="1"/>
  <c r="O395" i="4" s="1"/>
  <c r="P395" i="4" s="1"/>
  <c r="Q395" i="4" s="1"/>
  <c r="R395" i="4" s="1"/>
  <c r="I395" i="4"/>
  <c r="J395" i="4" s="1"/>
  <c r="O394" i="4"/>
  <c r="P394" i="4" s="1"/>
  <c r="Q394" i="4" s="1"/>
  <c r="R394" i="4" s="1"/>
  <c r="J394" i="4"/>
  <c r="K394" i="4" s="1"/>
  <c r="L394" i="4" s="1"/>
  <c r="M394" i="4" s="1"/>
  <c r="N394" i="4" s="1"/>
  <c r="I394" i="4"/>
  <c r="D394" i="4"/>
  <c r="I392" i="4"/>
  <c r="J392" i="4" s="1"/>
  <c r="K392" i="4" s="1"/>
  <c r="L392" i="4" s="1"/>
  <c r="M392" i="4" s="1"/>
  <c r="N392" i="4" s="1"/>
  <c r="O392" i="4" s="1"/>
  <c r="P392" i="4" s="1"/>
  <c r="Q392" i="4" s="1"/>
  <c r="R392" i="4" s="1"/>
  <c r="E392" i="4"/>
  <c r="I391" i="4"/>
  <c r="J391" i="4" s="1"/>
  <c r="K391" i="4" s="1"/>
  <c r="L391" i="4" s="1"/>
  <c r="M391" i="4" s="1"/>
  <c r="N391" i="4" s="1"/>
  <c r="O391" i="4" s="1"/>
  <c r="P391" i="4" s="1"/>
  <c r="Q391" i="4" s="1"/>
  <c r="R391" i="4" s="1"/>
  <c r="I390" i="4"/>
  <c r="J390" i="4" s="1"/>
  <c r="K390" i="4" s="1"/>
  <c r="L390" i="4" s="1"/>
  <c r="M390" i="4" s="1"/>
  <c r="N390" i="4" s="1"/>
  <c r="O390" i="4" s="1"/>
  <c r="P390" i="4" s="1"/>
  <c r="Q390" i="4" s="1"/>
  <c r="R390" i="4" s="1"/>
  <c r="M389" i="4"/>
  <c r="N389" i="4" s="1"/>
  <c r="O389" i="4" s="1"/>
  <c r="P389" i="4" s="1"/>
  <c r="Q389" i="4" s="1"/>
  <c r="R389" i="4" s="1"/>
  <c r="K389" i="4"/>
  <c r="L389" i="4" s="1"/>
  <c r="I389" i="4"/>
  <c r="J389" i="4" s="1"/>
  <c r="C389" i="4"/>
  <c r="C399" i="4" s="1"/>
  <c r="K388" i="4"/>
  <c r="L388" i="4" s="1"/>
  <c r="M388" i="4" s="1"/>
  <c r="N388" i="4" s="1"/>
  <c r="O388" i="4" s="1"/>
  <c r="P388" i="4" s="1"/>
  <c r="Q388" i="4" s="1"/>
  <c r="R388" i="4" s="1"/>
  <c r="J388" i="4"/>
  <c r="I388" i="4"/>
  <c r="D388" i="4"/>
  <c r="M387" i="4"/>
  <c r="N387" i="4" s="1"/>
  <c r="O387" i="4" s="1"/>
  <c r="P387" i="4" s="1"/>
  <c r="Q387" i="4" s="1"/>
  <c r="R387" i="4" s="1"/>
  <c r="J387" i="4"/>
  <c r="K387" i="4" s="1"/>
  <c r="L387" i="4" s="1"/>
  <c r="I387" i="4"/>
  <c r="E387" i="4"/>
  <c r="C387" i="4"/>
  <c r="J386" i="4"/>
  <c r="K386" i="4" s="1"/>
  <c r="L386" i="4" s="1"/>
  <c r="M386" i="4" s="1"/>
  <c r="N386" i="4" s="1"/>
  <c r="O386" i="4" s="1"/>
  <c r="P386" i="4" s="1"/>
  <c r="Q386" i="4" s="1"/>
  <c r="R386" i="4" s="1"/>
  <c r="I386" i="4"/>
  <c r="F385" i="4"/>
  <c r="E385" i="4"/>
  <c r="E399" i="4" s="1"/>
  <c r="D385" i="4"/>
  <c r="D399" i="4" s="1"/>
  <c r="D93" i="4" s="1"/>
  <c r="D101" i="4" s="1"/>
  <c r="K384" i="4"/>
  <c r="L384" i="4" s="1"/>
  <c r="J384" i="4"/>
  <c r="J399" i="4" s="1"/>
  <c r="J93" i="4" s="1"/>
  <c r="D373" i="4"/>
  <c r="R371" i="4"/>
  <c r="Q371" i="4"/>
  <c r="E371" i="4"/>
  <c r="D371" i="4"/>
  <c r="C371" i="4"/>
  <c r="H364" i="4"/>
  <c r="G364" i="4"/>
  <c r="F364" i="4"/>
  <c r="F373" i="4" s="1"/>
  <c r="E364" i="4"/>
  <c r="D364" i="4"/>
  <c r="C364" i="4"/>
  <c r="I354" i="4"/>
  <c r="J354" i="4" s="1"/>
  <c r="K354" i="4" s="1"/>
  <c r="L354" i="4" s="1"/>
  <c r="M354" i="4" s="1"/>
  <c r="N354" i="4" s="1"/>
  <c r="O354" i="4" s="1"/>
  <c r="P354" i="4" s="1"/>
  <c r="Q354" i="4" s="1"/>
  <c r="R354" i="4" s="1"/>
  <c r="K353" i="4"/>
  <c r="L353" i="4" s="1"/>
  <c r="M353" i="4" s="1"/>
  <c r="N353" i="4" s="1"/>
  <c r="O353" i="4" s="1"/>
  <c r="P353" i="4" s="1"/>
  <c r="Q353" i="4" s="1"/>
  <c r="R353" i="4" s="1"/>
  <c r="J353" i="4"/>
  <c r="I353" i="4"/>
  <c r="I351" i="4"/>
  <c r="J351" i="4" s="1"/>
  <c r="K351" i="4" s="1"/>
  <c r="L351" i="4" s="1"/>
  <c r="M351" i="4" s="1"/>
  <c r="N351" i="4" s="1"/>
  <c r="O351" i="4" s="1"/>
  <c r="P351" i="4" s="1"/>
  <c r="Q351" i="4" s="1"/>
  <c r="R351" i="4" s="1"/>
  <c r="K350" i="4"/>
  <c r="L350" i="4" s="1"/>
  <c r="M350" i="4" s="1"/>
  <c r="N350" i="4" s="1"/>
  <c r="O350" i="4" s="1"/>
  <c r="P350" i="4" s="1"/>
  <c r="Q350" i="4" s="1"/>
  <c r="R350" i="4" s="1"/>
  <c r="J350" i="4"/>
  <c r="I350" i="4"/>
  <c r="I349" i="4"/>
  <c r="J349" i="4" s="1"/>
  <c r="E349" i="4"/>
  <c r="I345" i="4"/>
  <c r="H345" i="4"/>
  <c r="H373" i="4" s="1"/>
  <c r="G345" i="4"/>
  <c r="G58" i="4" s="1"/>
  <c r="F345" i="4"/>
  <c r="E345" i="4"/>
  <c r="D345" i="4"/>
  <c r="C345" i="4"/>
  <c r="C373" i="4" s="1"/>
  <c r="K341" i="4"/>
  <c r="I341" i="4"/>
  <c r="J341" i="4" s="1"/>
  <c r="J345" i="4" s="1"/>
  <c r="G334" i="4"/>
  <c r="H332" i="4"/>
  <c r="G332" i="4"/>
  <c r="F332" i="4"/>
  <c r="F334" i="4" s="1"/>
  <c r="D332" i="4"/>
  <c r="C332" i="4"/>
  <c r="J330" i="4"/>
  <c r="K330" i="4" s="1"/>
  <c r="L330" i="4" s="1"/>
  <c r="M330" i="4" s="1"/>
  <c r="N330" i="4" s="1"/>
  <c r="O330" i="4" s="1"/>
  <c r="P330" i="4" s="1"/>
  <c r="Q330" i="4" s="1"/>
  <c r="R330" i="4" s="1"/>
  <c r="I330" i="4"/>
  <c r="I329" i="4"/>
  <c r="E329" i="4"/>
  <c r="L328" i="4"/>
  <c r="M328" i="4" s="1"/>
  <c r="N328" i="4" s="1"/>
  <c r="O328" i="4" s="1"/>
  <c r="P328" i="4" s="1"/>
  <c r="Q328" i="4" s="1"/>
  <c r="R328" i="4" s="1"/>
  <c r="J328" i="4"/>
  <c r="K328" i="4" s="1"/>
  <c r="I328" i="4"/>
  <c r="J327" i="4"/>
  <c r="K327" i="4" s="1"/>
  <c r="I327" i="4"/>
  <c r="E327" i="4"/>
  <c r="E332" i="4" s="1"/>
  <c r="E334" i="4" s="1"/>
  <c r="H323" i="4"/>
  <c r="H57" i="4" s="1"/>
  <c r="G323" i="4"/>
  <c r="F323" i="4"/>
  <c r="E323" i="4"/>
  <c r="D323" i="4"/>
  <c r="D57" i="4" s="1"/>
  <c r="C323" i="4"/>
  <c r="C334" i="4" s="1"/>
  <c r="I321" i="4"/>
  <c r="F314" i="4"/>
  <c r="F375" i="4" s="1"/>
  <c r="C314" i="4"/>
  <c r="H312" i="4"/>
  <c r="H314" i="4" s="1"/>
  <c r="G312" i="4"/>
  <c r="G314" i="4" s="1"/>
  <c r="C312" i="4"/>
  <c r="J309" i="4"/>
  <c r="K309" i="4" s="1"/>
  <c r="L309" i="4" s="1"/>
  <c r="M309" i="4" s="1"/>
  <c r="N309" i="4" s="1"/>
  <c r="O309" i="4" s="1"/>
  <c r="P309" i="4" s="1"/>
  <c r="Q309" i="4" s="1"/>
  <c r="R309" i="4" s="1"/>
  <c r="I309" i="4"/>
  <c r="I308" i="4"/>
  <c r="J308" i="4" s="1"/>
  <c r="K308" i="4" s="1"/>
  <c r="L308" i="4" s="1"/>
  <c r="M308" i="4" s="1"/>
  <c r="N308" i="4" s="1"/>
  <c r="O308" i="4" s="1"/>
  <c r="P308" i="4" s="1"/>
  <c r="Q308" i="4" s="1"/>
  <c r="R308" i="4" s="1"/>
  <c r="I307" i="4"/>
  <c r="J307" i="4" s="1"/>
  <c r="K307" i="4" s="1"/>
  <c r="L307" i="4" s="1"/>
  <c r="M307" i="4" s="1"/>
  <c r="N307" i="4" s="1"/>
  <c r="O307" i="4" s="1"/>
  <c r="P307" i="4" s="1"/>
  <c r="Q307" i="4" s="1"/>
  <c r="R307" i="4" s="1"/>
  <c r="K306" i="4"/>
  <c r="L306" i="4" s="1"/>
  <c r="M306" i="4" s="1"/>
  <c r="N306" i="4" s="1"/>
  <c r="O306" i="4" s="1"/>
  <c r="P306" i="4" s="1"/>
  <c r="Q306" i="4" s="1"/>
  <c r="R306" i="4" s="1"/>
  <c r="I306" i="4"/>
  <c r="J306" i="4" s="1"/>
  <c r="F306" i="4"/>
  <c r="F312" i="4" s="1"/>
  <c r="E306" i="4"/>
  <c r="I305" i="4"/>
  <c r="J305" i="4" s="1"/>
  <c r="K305" i="4" s="1"/>
  <c r="L305" i="4" s="1"/>
  <c r="M305" i="4" s="1"/>
  <c r="N305" i="4" s="1"/>
  <c r="O305" i="4" s="1"/>
  <c r="P305" i="4" s="1"/>
  <c r="Q305" i="4" s="1"/>
  <c r="R305" i="4" s="1"/>
  <c r="E305" i="4"/>
  <c r="L304" i="4"/>
  <c r="M304" i="4" s="1"/>
  <c r="N304" i="4" s="1"/>
  <c r="O304" i="4" s="1"/>
  <c r="P304" i="4" s="1"/>
  <c r="Q304" i="4" s="1"/>
  <c r="R304" i="4" s="1"/>
  <c r="K304" i="4"/>
  <c r="E304" i="4"/>
  <c r="E312" i="4" s="1"/>
  <c r="K303" i="4"/>
  <c r="L303" i="4" s="1"/>
  <c r="M303" i="4" s="1"/>
  <c r="N303" i="4" s="1"/>
  <c r="O303" i="4" s="1"/>
  <c r="P303" i="4" s="1"/>
  <c r="Q303" i="4" s="1"/>
  <c r="R303" i="4" s="1"/>
  <c r="I303" i="4"/>
  <c r="J303" i="4" s="1"/>
  <c r="E303" i="4"/>
  <c r="K302" i="4"/>
  <c r="L302" i="4" s="1"/>
  <c r="M302" i="4" s="1"/>
  <c r="N302" i="4" s="1"/>
  <c r="O302" i="4" s="1"/>
  <c r="P302" i="4" s="1"/>
  <c r="Q302" i="4" s="1"/>
  <c r="R302" i="4" s="1"/>
  <c r="J302" i="4"/>
  <c r="I302" i="4"/>
  <c r="I299" i="4"/>
  <c r="J299" i="4" s="1"/>
  <c r="K299" i="4" s="1"/>
  <c r="L299" i="4" s="1"/>
  <c r="M299" i="4" s="1"/>
  <c r="N299" i="4" s="1"/>
  <c r="O299" i="4" s="1"/>
  <c r="P299" i="4" s="1"/>
  <c r="Q299" i="4" s="1"/>
  <c r="R299" i="4" s="1"/>
  <c r="N298" i="4"/>
  <c r="O298" i="4" s="1"/>
  <c r="P298" i="4" s="1"/>
  <c r="Q298" i="4" s="1"/>
  <c r="R298" i="4" s="1"/>
  <c r="K298" i="4"/>
  <c r="L298" i="4" s="1"/>
  <c r="M298" i="4" s="1"/>
  <c r="J298" i="4"/>
  <c r="I298" i="4"/>
  <c r="I296" i="4"/>
  <c r="J296" i="4" s="1"/>
  <c r="E296" i="4"/>
  <c r="D296" i="4"/>
  <c r="D312" i="4" s="1"/>
  <c r="D314" i="4" s="1"/>
  <c r="C296" i="4"/>
  <c r="H292" i="4"/>
  <c r="G292" i="4"/>
  <c r="F292" i="4"/>
  <c r="C292" i="4"/>
  <c r="I290" i="4"/>
  <c r="J290" i="4" s="1"/>
  <c r="K290" i="4" s="1"/>
  <c r="L290" i="4" s="1"/>
  <c r="M290" i="4" s="1"/>
  <c r="N290" i="4" s="1"/>
  <c r="O290" i="4" s="1"/>
  <c r="P290" i="4" s="1"/>
  <c r="Q290" i="4" s="1"/>
  <c r="R290" i="4" s="1"/>
  <c r="M289" i="4"/>
  <c r="N289" i="4" s="1"/>
  <c r="O289" i="4" s="1"/>
  <c r="P289" i="4" s="1"/>
  <c r="Q289" i="4" s="1"/>
  <c r="R289" i="4" s="1"/>
  <c r="K289" i="4"/>
  <c r="L289" i="4" s="1"/>
  <c r="I289" i="4"/>
  <c r="J289" i="4" s="1"/>
  <c r="E289" i="4"/>
  <c r="K288" i="4"/>
  <c r="L288" i="4" s="1"/>
  <c r="M288" i="4" s="1"/>
  <c r="N288" i="4" s="1"/>
  <c r="O288" i="4" s="1"/>
  <c r="P288" i="4" s="1"/>
  <c r="Q288" i="4" s="1"/>
  <c r="R288" i="4" s="1"/>
  <c r="J288" i="4"/>
  <c r="I288" i="4"/>
  <c r="E288" i="4"/>
  <c r="M287" i="4"/>
  <c r="N287" i="4" s="1"/>
  <c r="O287" i="4" s="1"/>
  <c r="P287" i="4" s="1"/>
  <c r="Q287" i="4" s="1"/>
  <c r="R287" i="4" s="1"/>
  <c r="J287" i="4"/>
  <c r="K287" i="4" s="1"/>
  <c r="L287" i="4" s="1"/>
  <c r="I287" i="4"/>
  <c r="I286" i="4"/>
  <c r="J286" i="4" s="1"/>
  <c r="K286" i="4" s="1"/>
  <c r="L286" i="4" s="1"/>
  <c r="M286" i="4" s="1"/>
  <c r="N286" i="4" s="1"/>
  <c r="O286" i="4" s="1"/>
  <c r="P286" i="4" s="1"/>
  <c r="Q286" i="4" s="1"/>
  <c r="R286" i="4" s="1"/>
  <c r="D286" i="4"/>
  <c r="D292" i="4" s="1"/>
  <c r="J285" i="4"/>
  <c r="K285" i="4" s="1"/>
  <c r="L285" i="4" s="1"/>
  <c r="M285" i="4" s="1"/>
  <c r="N285" i="4" s="1"/>
  <c r="O285" i="4" s="1"/>
  <c r="P285" i="4" s="1"/>
  <c r="Q285" i="4" s="1"/>
  <c r="R285" i="4" s="1"/>
  <c r="I285" i="4"/>
  <c r="J284" i="4"/>
  <c r="K284" i="4" s="1"/>
  <c r="L284" i="4" s="1"/>
  <c r="M284" i="4" s="1"/>
  <c r="N284" i="4" s="1"/>
  <c r="O284" i="4" s="1"/>
  <c r="P284" i="4" s="1"/>
  <c r="Q284" i="4" s="1"/>
  <c r="R284" i="4" s="1"/>
  <c r="I284" i="4"/>
  <c r="E284" i="4"/>
  <c r="C284" i="4"/>
  <c r="J283" i="4"/>
  <c r="K283" i="4" s="1"/>
  <c r="L283" i="4" s="1"/>
  <c r="M283" i="4" s="1"/>
  <c r="N283" i="4" s="1"/>
  <c r="O283" i="4" s="1"/>
  <c r="P283" i="4" s="1"/>
  <c r="Q283" i="4" s="1"/>
  <c r="R283" i="4" s="1"/>
  <c r="I283" i="4"/>
  <c r="E283" i="4"/>
  <c r="C283" i="4"/>
  <c r="J282" i="4"/>
  <c r="K282" i="4" s="1"/>
  <c r="L282" i="4" s="1"/>
  <c r="M282" i="4" s="1"/>
  <c r="N282" i="4" s="1"/>
  <c r="O282" i="4" s="1"/>
  <c r="P282" i="4" s="1"/>
  <c r="Q282" i="4" s="1"/>
  <c r="R282" i="4" s="1"/>
  <c r="I282" i="4"/>
  <c r="J281" i="4"/>
  <c r="K281" i="4" s="1"/>
  <c r="L281" i="4" s="1"/>
  <c r="M281" i="4" s="1"/>
  <c r="N281" i="4" s="1"/>
  <c r="O281" i="4" s="1"/>
  <c r="P281" i="4" s="1"/>
  <c r="Q281" i="4" s="1"/>
  <c r="R281" i="4" s="1"/>
  <c r="I281" i="4"/>
  <c r="J280" i="4"/>
  <c r="K280" i="4" s="1"/>
  <c r="L280" i="4" s="1"/>
  <c r="M280" i="4" s="1"/>
  <c r="N280" i="4" s="1"/>
  <c r="O280" i="4" s="1"/>
  <c r="P280" i="4" s="1"/>
  <c r="Q280" i="4" s="1"/>
  <c r="R280" i="4" s="1"/>
  <c r="I280" i="4"/>
  <c r="L279" i="4"/>
  <c r="M279" i="4" s="1"/>
  <c r="N279" i="4" s="1"/>
  <c r="O279" i="4" s="1"/>
  <c r="P279" i="4" s="1"/>
  <c r="Q279" i="4" s="1"/>
  <c r="R279" i="4" s="1"/>
  <c r="J279" i="4"/>
  <c r="K279" i="4" s="1"/>
  <c r="I279" i="4"/>
  <c r="J278" i="4"/>
  <c r="K278" i="4" s="1"/>
  <c r="L278" i="4" s="1"/>
  <c r="M278" i="4" s="1"/>
  <c r="N278" i="4" s="1"/>
  <c r="O278" i="4" s="1"/>
  <c r="P278" i="4" s="1"/>
  <c r="Q278" i="4" s="1"/>
  <c r="R278" i="4" s="1"/>
  <c r="I278" i="4"/>
  <c r="I292" i="4" s="1"/>
  <c r="J277" i="4"/>
  <c r="K277" i="4" s="1"/>
  <c r="I277" i="4"/>
  <c r="E277" i="4"/>
  <c r="F265" i="4"/>
  <c r="F267" i="4" s="1"/>
  <c r="F263" i="4"/>
  <c r="C263" i="4"/>
  <c r="C265" i="4" s="1"/>
  <c r="I259" i="4"/>
  <c r="H259" i="4"/>
  <c r="G259" i="4"/>
  <c r="F259" i="4"/>
  <c r="E259" i="4"/>
  <c r="D259" i="4"/>
  <c r="C259" i="4"/>
  <c r="R257" i="4"/>
  <c r="Q257" i="4"/>
  <c r="P257" i="4"/>
  <c r="O257" i="4"/>
  <c r="N257" i="4"/>
  <c r="M257" i="4"/>
  <c r="L257" i="4"/>
  <c r="K257" i="4"/>
  <c r="J257" i="4"/>
  <c r="I257" i="4"/>
  <c r="H257" i="4"/>
  <c r="G257" i="4"/>
  <c r="F257" i="4"/>
  <c r="E257" i="4"/>
  <c r="D257" i="4"/>
  <c r="C257" i="4"/>
  <c r="R256" i="4"/>
  <c r="Q256" i="4"/>
  <c r="P256" i="4"/>
  <c r="O256" i="4"/>
  <c r="N256" i="4"/>
  <c r="M256" i="4"/>
  <c r="L256" i="4"/>
  <c r="K256" i="4"/>
  <c r="J256" i="4"/>
  <c r="I256" i="4"/>
  <c r="I263" i="4" s="1"/>
  <c r="H256" i="4"/>
  <c r="H263" i="4" s="1"/>
  <c r="G256" i="4"/>
  <c r="G263" i="4" s="1"/>
  <c r="F256" i="4"/>
  <c r="E256" i="4"/>
  <c r="E263" i="4" s="1"/>
  <c r="D256" i="4"/>
  <c r="D263" i="4" s="1"/>
  <c r="J253" i="4"/>
  <c r="J36" i="4" s="1"/>
  <c r="O249" i="4"/>
  <c r="O253" i="4" s="1"/>
  <c r="N249" i="4"/>
  <c r="N253" i="4" s="1"/>
  <c r="K249" i="4"/>
  <c r="K253" i="4" s="1"/>
  <c r="J249" i="4"/>
  <c r="I249" i="4"/>
  <c r="I253" i="4" s="1"/>
  <c r="H249" i="4"/>
  <c r="H253" i="4" s="1"/>
  <c r="G249" i="4"/>
  <c r="G253" i="4" s="1"/>
  <c r="G265" i="4" s="1"/>
  <c r="G267" i="4" s="1"/>
  <c r="F249" i="4"/>
  <c r="F253" i="4" s="1"/>
  <c r="D249" i="4"/>
  <c r="D253" i="4" s="1"/>
  <c r="D265" i="4" s="1"/>
  <c r="C249" i="4"/>
  <c r="C253" i="4" s="1"/>
  <c r="E239" i="4"/>
  <c r="H238" i="4"/>
  <c r="G238" i="4"/>
  <c r="F238" i="4"/>
  <c r="E238" i="4"/>
  <c r="D238" i="4"/>
  <c r="C238" i="4"/>
  <c r="I237" i="4"/>
  <c r="H237" i="4"/>
  <c r="G237" i="4"/>
  <c r="F237" i="4"/>
  <c r="E237" i="4"/>
  <c r="D237" i="4"/>
  <c r="C237" i="4"/>
  <c r="H236" i="4"/>
  <c r="G236" i="4"/>
  <c r="F236" i="4"/>
  <c r="E236" i="4"/>
  <c r="D236" i="4"/>
  <c r="C236" i="4"/>
  <c r="H235" i="4"/>
  <c r="G235" i="4"/>
  <c r="F235" i="4"/>
  <c r="E235" i="4"/>
  <c r="D235" i="4"/>
  <c r="C235" i="4"/>
  <c r="H234" i="4"/>
  <c r="G234" i="4"/>
  <c r="F234" i="4"/>
  <c r="E234" i="4"/>
  <c r="C234" i="4"/>
  <c r="H233" i="4"/>
  <c r="G233" i="4"/>
  <c r="F233" i="4"/>
  <c r="E233" i="4"/>
  <c r="D233" i="4"/>
  <c r="C233" i="4"/>
  <c r="G232" i="4"/>
  <c r="G239" i="4" s="1"/>
  <c r="F232" i="4"/>
  <c r="F239" i="4" s="1"/>
  <c r="E232" i="4"/>
  <c r="D232" i="4"/>
  <c r="F229" i="4"/>
  <c r="F241" i="4" s="1"/>
  <c r="G226" i="4"/>
  <c r="F226" i="4"/>
  <c r="E226" i="4"/>
  <c r="D226" i="4"/>
  <c r="C226" i="4"/>
  <c r="H224" i="4"/>
  <c r="G224" i="4"/>
  <c r="F224" i="4"/>
  <c r="E224" i="4"/>
  <c r="D224" i="4"/>
  <c r="C224" i="4"/>
  <c r="G223" i="4"/>
  <c r="F223" i="4"/>
  <c r="R222" i="4"/>
  <c r="Q222" i="4"/>
  <c r="P222" i="4"/>
  <c r="O222" i="4"/>
  <c r="N222" i="4"/>
  <c r="M222" i="4"/>
  <c r="L222" i="4"/>
  <c r="K222" i="4"/>
  <c r="J222" i="4"/>
  <c r="I222" i="4"/>
  <c r="H222" i="4"/>
  <c r="G222" i="4"/>
  <c r="G229" i="4" s="1"/>
  <c r="G241" i="4" s="1"/>
  <c r="F222" i="4"/>
  <c r="C222" i="4"/>
  <c r="C229" i="4" s="1"/>
  <c r="R210" i="4"/>
  <c r="Q210" i="4"/>
  <c r="P210" i="4"/>
  <c r="O210" i="4"/>
  <c r="N210" i="4"/>
  <c r="M210" i="4"/>
  <c r="L210" i="4"/>
  <c r="K210" i="4"/>
  <c r="J210" i="4"/>
  <c r="I210" i="4"/>
  <c r="H210" i="4"/>
  <c r="G210" i="4"/>
  <c r="G211" i="4" s="1"/>
  <c r="G43" i="4" s="1"/>
  <c r="F210" i="4"/>
  <c r="E210" i="4"/>
  <c r="D210" i="4"/>
  <c r="C210" i="4"/>
  <c r="I209" i="4"/>
  <c r="I211" i="4" s="1"/>
  <c r="H209" i="4"/>
  <c r="H211" i="4" s="1"/>
  <c r="H43" i="4" s="1"/>
  <c r="G209" i="4"/>
  <c r="F209" i="4"/>
  <c r="F211" i="4" s="1"/>
  <c r="E209" i="4"/>
  <c r="E211" i="4" s="1"/>
  <c r="D209" i="4"/>
  <c r="D211" i="4" s="1"/>
  <c r="D43" i="4" s="1"/>
  <c r="R206" i="4"/>
  <c r="P206" i="4"/>
  <c r="O206" i="4"/>
  <c r="L206" i="4"/>
  <c r="K206" i="4"/>
  <c r="G206" i="4"/>
  <c r="G213" i="4" s="1"/>
  <c r="F206" i="4"/>
  <c r="F213" i="4" s="1"/>
  <c r="E206" i="4"/>
  <c r="E213" i="4" s="1"/>
  <c r="R205" i="4"/>
  <c r="Q205" i="4"/>
  <c r="P205" i="4"/>
  <c r="O205" i="4"/>
  <c r="N205" i="4"/>
  <c r="M205" i="4"/>
  <c r="L205" i="4"/>
  <c r="K205" i="4"/>
  <c r="J205" i="4"/>
  <c r="I205" i="4"/>
  <c r="H205" i="4"/>
  <c r="G205" i="4"/>
  <c r="F205" i="4"/>
  <c r="E205" i="4"/>
  <c r="D205" i="4"/>
  <c r="C205" i="4"/>
  <c r="R204" i="4"/>
  <c r="Q204" i="4"/>
  <c r="Q206" i="4" s="1"/>
  <c r="P204" i="4"/>
  <c r="O204" i="4"/>
  <c r="N204" i="4"/>
  <c r="N206" i="4" s="1"/>
  <c r="M204" i="4"/>
  <c r="M206" i="4" s="1"/>
  <c r="L204" i="4"/>
  <c r="K204" i="4"/>
  <c r="J204" i="4"/>
  <c r="J206" i="4" s="1"/>
  <c r="I204" i="4"/>
  <c r="I206" i="4" s="1"/>
  <c r="I213" i="4" s="1"/>
  <c r="H204" i="4"/>
  <c r="H206" i="4" s="1"/>
  <c r="H213" i="4" s="1"/>
  <c r="G204" i="4"/>
  <c r="F204" i="4"/>
  <c r="E204" i="4"/>
  <c r="D204" i="4"/>
  <c r="D206" i="4" s="1"/>
  <c r="D213" i="4" s="1"/>
  <c r="C204" i="4"/>
  <c r="C206" i="4" s="1"/>
  <c r="E197" i="4"/>
  <c r="I196" i="4"/>
  <c r="H196" i="4"/>
  <c r="G196" i="4"/>
  <c r="F196" i="4"/>
  <c r="F197" i="4" s="1"/>
  <c r="F23" i="4" s="1"/>
  <c r="E196" i="4"/>
  <c r="D196" i="4"/>
  <c r="C196" i="4"/>
  <c r="G195" i="4"/>
  <c r="G197" i="4" s="1"/>
  <c r="G23" i="4" s="1"/>
  <c r="F195" i="4"/>
  <c r="E195" i="4"/>
  <c r="D195" i="4"/>
  <c r="D197" i="4" s="1"/>
  <c r="C195" i="4"/>
  <c r="C197" i="4" s="1"/>
  <c r="C23" i="4" s="1"/>
  <c r="C192" i="4"/>
  <c r="C15" i="4" s="1"/>
  <c r="H191" i="4"/>
  <c r="G191" i="4"/>
  <c r="F191" i="4"/>
  <c r="C191" i="4"/>
  <c r="H190" i="4"/>
  <c r="H192" i="4" s="1"/>
  <c r="G190" i="4"/>
  <c r="G192" i="4" s="1"/>
  <c r="F190" i="4"/>
  <c r="F192" i="4" s="1"/>
  <c r="E190" i="4"/>
  <c r="D190" i="4"/>
  <c r="C190" i="4"/>
  <c r="G179" i="4"/>
  <c r="G42" i="4" s="1"/>
  <c r="C179" i="4"/>
  <c r="C181" i="4" s="1"/>
  <c r="R178" i="4"/>
  <c r="Q178" i="4"/>
  <c r="P178" i="4"/>
  <c r="O178" i="4"/>
  <c r="N178" i="4"/>
  <c r="M178" i="4"/>
  <c r="L178" i="4"/>
  <c r="K178" i="4"/>
  <c r="J178" i="4"/>
  <c r="I178" i="4"/>
  <c r="H178" i="4"/>
  <c r="G178" i="4"/>
  <c r="F178" i="4"/>
  <c r="E178" i="4"/>
  <c r="D178" i="4"/>
  <c r="R177" i="4"/>
  <c r="Q177" i="4"/>
  <c r="P177" i="4"/>
  <c r="O177" i="4"/>
  <c r="N177" i="4"/>
  <c r="M177" i="4"/>
  <c r="M179" i="4" s="1"/>
  <c r="M42" i="4" s="1"/>
  <c r="L177" i="4"/>
  <c r="K177" i="4"/>
  <c r="J177" i="4"/>
  <c r="I177" i="4"/>
  <c r="I179" i="4" s="1"/>
  <c r="I42" i="4" s="1"/>
  <c r="H177" i="4"/>
  <c r="G177" i="4"/>
  <c r="F177" i="4"/>
  <c r="E177" i="4"/>
  <c r="E179" i="4" s="1"/>
  <c r="E42" i="4" s="1"/>
  <c r="D177" i="4"/>
  <c r="C177" i="4"/>
  <c r="D176" i="4"/>
  <c r="R175" i="4"/>
  <c r="R179" i="4" s="1"/>
  <c r="R42" i="4" s="1"/>
  <c r="Q175" i="4"/>
  <c r="Q179" i="4" s="1"/>
  <c r="Q42" i="4" s="1"/>
  <c r="P175" i="4"/>
  <c r="P179" i="4" s="1"/>
  <c r="O175" i="4"/>
  <c r="O179" i="4" s="1"/>
  <c r="N175" i="4"/>
  <c r="N179" i="4" s="1"/>
  <c r="N42" i="4" s="1"/>
  <c r="M175" i="4"/>
  <c r="L175" i="4"/>
  <c r="L179" i="4" s="1"/>
  <c r="K175" i="4"/>
  <c r="K179" i="4" s="1"/>
  <c r="K42" i="4" s="1"/>
  <c r="J175" i="4"/>
  <c r="J179" i="4" s="1"/>
  <c r="J42" i="4" s="1"/>
  <c r="I175" i="4"/>
  <c r="H175" i="4"/>
  <c r="H179" i="4" s="1"/>
  <c r="G175" i="4"/>
  <c r="F175" i="4"/>
  <c r="F179" i="4" s="1"/>
  <c r="F42" i="4" s="1"/>
  <c r="E175" i="4"/>
  <c r="D175" i="4"/>
  <c r="F172" i="4"/>
  <c r="F34" i="4" s="1"/>
  <c r="R171" i="4"/>
  <c r="R172" i="4" s="1"/>
  <c r="Q171" i="4"/>
  <c r="Q172" i="4" s="1"/>
  <c r="P171" i="4"/>
  <c r="O171" i="4"/>
  <c r="N171" i="4"/>
  <c r="N172" i="4" s="1"/>
  <c r="M171" i="4"/>
  <c r="L171" i="4"/>
  <c r="K171" i="4"/>
  <c r="J171" i="4"/>
  <c r="J172" i="4" s="1"/>
  <c r="I171" i="4"/>
  <c r="H171" i="4"/>
  <c r="G171" i="4"/>
  <c r="F171" i="4"/>
  <c r="E171" i="4"/>
  <c r="D171" i="4"/>
  <c r="R170" i="4"/>
  <c r="Q170" i="4"/>
  <c r="P170" i="4"/>
  <c r="P172" i="4" s="1"/>
  <c r="O170" i="4"/>
  <c r="O172" i="4" s="1"/>
  <c r="N170" i="4"/>
  <c r="M170" i="4"/>
  <c r="M172" i="4" s="1"/>
  <c r="L170" i="4"/>
  <c r="L172" i="4" s="1"/>
  <c r="K170" i="4"/>
  <c r="K172" i="4" s="1"/>
  <c r="J170" i="4"/>
  <c r="I170" i="4"/>
  <c r="I172" i="4" s="1"/>
  <c r="H170" i="4"/>
  <c r="H172" i="4" s="1"/>
  <c r="G170" i="4"/>
  <c r="G172" i="4" s="1"/>
  <c r="F170" i="4"/>
  <c r="E170" i="4"/>
  <c r="E172" i="4" s="1"/>
  <c r="D170" i="4"/>
  <c r="D172" i="4" s="1"/>
  <c r="C170" i="4"/>
  <c r="C172" i="4" s="1"/>
  <c r="H160" i="4"/>
  <c r="G160" i="4"/>
  <c r="F160" i="4"/>
  <c r="E160" i="4"/>
  <c r="D160" i="4"/>
  <c r="C160" i="4"/>
  <c r="I159" i="4"/>
  <c r="H159" i="4"/>
  <c r="G159" i="4"/>
  <c r="F159" i="4"/>
  <c r="D159" i="4"/>
  <c r="C159" i="4"/>
  <c r="H158" i="4"/>
  <c r="G158" i="4"/>
  <c r="G161" i="4" s="1"/>
  <c r="G22" i="4" s="1"/>
  <c r="F158" i="4"/>
  <c r="E158" i="4"/>
  <c r="D158" i="4"/>
  <c r="G157" i="4"/>
  <c r="F157" i="4"/>
  <c r="F161" i="4" s="1"/>
  <c r="E157" i="4"/>
  <c r="D157" i="4"/>
  <c r="D161" i="4" s="1"/>
  <c r="D22" i="4" s="1"/>
  <c r="C157" i="4"/>
  <c r="J153" i="4"/>
  <c r="H153" i="4"/>
  <c r="G153" i="4"/>
  <c r="F153" i="4"/>
  <c r="E153" i="4"/>
  <c r="D153" i="4"/>
  <c r="C153" i="4"/>
  <c r="R152" i="4"/>
  <c r="Q152" i="4"/>
  <c r="O152" i="4"/>
  <c r="N152" i="4"/>
  <c r="M152" i="4"/>
  <c r="K152" i="4"/>
  <c r="J152" i="4"/>
  <c r="I152" i="4"/>
  <c r="G152" i="4"/>
  <c r="F152" i="4"/>
  <c r="E152" i="4"/>
  <c r="C152" i="4"/>
  <c r="I151" i="4"/>
  <c r="H151" i="4"/>
  <c r="G151" i="4"/>
  <c r="G154" i="4" s="1"/>
  <c r="F151" i="4"/>
  <c r="D151" i="4"/>
  <c r="C151" i="4"/>
  <c r="H150" i="4"/>
  <c r="H154" i="4" s="1"/>
  <c r="G150" i="4"/>
  <c r="F150" i="4"/>
  <c r="F154" i="4" s="1"/>
  <c r="F163" i="4" s="1"/>
  <c r="E150" i="4"/>
  <c r="D150" i="4"/>
  <c r="D154" i="4" s="1"/>
  <c r="C150" i="4"/>
  <c r="C154" i="4" s="1"/>
  <c r="R136" i="4"/>
  <c r="Q136" i="4"/>
  <c r="P136" i="4"/>
  <c r="O136" i="4"/>
  <c r="N136" i="4"/>
  <c r="M136" i="4"/>
  <c r="L136" i="4"/>
  <c r="K136" i="4"/>
  <c r="J136" i="4"/>
  <c r="I136" i="4"/>
  <c r="H136" i="4"/>
  <c r="G136" i="4"/>
  <c r="F136" i="4"/>
  <c r="E136" i="4"/>
  <c r="D136" i="4"/>
  <c r="C136" i="4"/>
  <c r="H135" i="4"/>
  <c r="G135" i="4"/>
  <c r="F135" i="4"/>
  <c r="E135" i="4"/>
  <c r="D135" i="4"/>
  <c r="C135" i="4"/>
  <c r="Q133" i="4"/>
  <c r="P133" i="4"/>
  <c r="O133" i="4"/>
  <c r="M133" i="4"/>
  <c r="L133" i="4"/>
  <c r="K133" i="4"/>
  <c r="I133" i="4"/>
  <c r="H133" i="4"/>
  <c r="G133" i="4"/>
  <c r="E133" i="4"/>
  <c r="D133" i="4"/>
  <c r="C133" i="4"/>
  <c r="R132" i="4"/>
  <c r="Q132" i="4"/>
  <c r="P132" i="4"/>
  <c r="O132" i="4"/>
  <c r="N132" i="4"/>
  <c r="M132" i="4"/>
  <c r="L132" i="4"/>
  <c r="K132" i="4"/>
  <c r="J132" i="4"/>
  <c r="I132" i="4"/>
  <c r="H132" i="4"/>
  <c r="G132" i="4"/>
  <c r="F132" i="4"/>
  <c r="C132" i="4"/>
  <c r="R131" i="4"/>
  <c r="Q131" i="4"/>
  <c r="P131" i="4"/>
  <c r="O131" i="4"/>
  <c r="N131" i="4"/>
  <c r="M131" i="4"/>
  <c r="L131" i="4"/>
  <c r="K131" i="4"/>
  <c r="J131" i="4"/>
  <c r="I131" i="4"/>
  <c r="H131" i="4"/>
  <c r="H138" i="4" s="1"/>
  <c r="H41" i="4" s="1"/>
  <c r="G131" i="4"/>
  <c r="G138" i="4" s="1"/>
  <c r="G41" i="4" s="1"/>
  <c r="F131" i="4"/>
  <c r="E131" i="4"/>
  <c r="D131" i="4"/>
  <c r="C131" i="4"/>
  <c r="C138" i="4" s="1"/>
  <c r="C41" i="4" s="1"/>
  <c r="R125" i="4"/>
  <c r="Q125" i="4"/>
  <c r="P125" i="4"/>
  <c r="O125" i="4"/>
  <c r="N125" i="4"/>
  <c r="M125" i="4"/>
  <c r="L125" i="4"/>
  <c r="K125" i="4"/>
  <c r="J125" i="4"/>
  <c r="I125" i="4"/>
  <c r="H125" i="4"/>
  <c r="G125" i="4"/>
  <c r="F125" i="4"/>
  <c r="E125" i="4"/>
  <c r="D125" i="4"/>
  <c r="C125" i="4"/>
  <c r="R124" i="4"/>
  <c r="Q124" i="4"/>
  <c r="P124" i="4"/>
  <c r="O124" i="4"/>
  <c r="N124" i="4"/>
  <c r="M124" i="4"/>
  <c r="L124" i="4"/>
  <c r="K124" i="4"/>
  <c r="J124" i="4"/>
  <c r="I124" i="4"/>
  <c r="H124" i="4"/>
  <c r="G124" i="4"/>
  <c r="F124" i="4"/>
  <c r="E124" i="4"/>
  <c r="D124" i="4"/>
  <c r="C124" i="4"/>
  <c r="Q122" i="4"/>
  <c r="Q127" i="4" s="1"/>
  <c r="P122" i="4"/>
  <c r="P127" i="4" s="1"/>
  <c r="O122" i="4"/>
  <c r="N122" i="4"/>
  <c r="M122" i="4"/>
  <c r="L122" i="4"/>
  <c r="K122" i="4"/>
  <c r="J122" i="4"/>
  <c r="I122" i="4"/>
  <c r="H122" i="4"/>
  <c r="G122" i="4"/>
  <c r="F122" i="4"/>
  <c r="C122" i="4"/>
  <c r="Q121" i="4"/>
  <c r="P121" i="4"/>
  <c r="O121" i="4"/>
  <c r="N121" i="4"/>
  <c r="M121" i="4"/>
  <c r="M127" i="4" s="1"/>
  <c r="L121" i="4"/>
  <c r="L127" i="4" s="1"/>
  <c r="K121" i="4"/>
  <c r="K127" i="4" s="1"/>
  <c r="J121" i="4"/>
  <c r="I121" i="4"/>
  <c r="H121" i="4"/>
  <c r="G121" i="4"/>
  <c r="F121" i="4"/>
  <c r="E121" i="4"/>
  <c r="D121" i="4"/>
  <c r="C121" i="4"/>
  <c r="Q120" i="4"/>
  <c r="P120" i="4"/>
  <c r="O120" i="4"/>
  <c r="O127" i="4" s="1"/>
  <c r="N120" i="4"/>
  <c r="N127" i="4" s="1"/>
  <c r="N33" i="4" s="1"/>
  <c r="M120" i="4"/>
  <c r="L120" i="4"/>
  <c r="K120" i="4"/>
  <c r="J120" i="4"/>
  <c r="J127" i="4" s="1"/>
  <c r="I120" i="4"/>
  <c r="I127" i="4" s="1"/>
  <c r="H120" i="4"/>
  <c r="H127" i="4" s="1"/>
  <c r="G120" i="4"/>
  <c r="G127" i="4" s="1"/>
  <c r="F120" i="4"/>
  <c r="F127" i="4" s="1"/>
  <c r="C120" i="4"/>
  <c r="C127" i="4" s="1"/>
  <c r="I111" i="4"/>
  <c r="H111" i="4"/>
  <c r="G111" i="4"/>
  <c r="G112" i="4" s="1"/>
  <c r="G21" i="4" s="1"/>
  <c r="F111" i="4"/>
  <c r="C111" i="4"/>
  <c r="H110" i="4"/>
  <c r="G110" i="4"/>
  <c r="E110" i="4"/>
  <c r="D110" i="4"/>
  <c r="C110" i="4"/>
  <c r="I109" i="4"/>
  <c r="H109" i="4"/>
  <c r="H112" i="4" s="1"/>
  <c r="H21" i="4" s="1"/>
  <c r="G109" i="4"/>
  <c r="E109" i="4"/>
  <c r="D109" i="4"/>
  <c r="C109" i="4"/>
  <c r="K108" i="4"/>
  <c r="J108" i="4"/>
  <c r="I108" i="4"/>
  <c r="H108" i="4"/>
  <c r="G108" i="4"/>
  <c r="F108" i="4"/>
  <c r="E108" i="4"/>
  <c r="D108" i="4"/>
  <c r="C108" i="4"/>
  <c r="I107" i="4"/>
  <c r="H107" i="4"/>
  <c r="G107" i="4"/>
  <c r="F107" i="4"/>
  <c r="E107" i="4"/>
  <c r="D107" i="4"/>
  <c r="C107" i="4"/>
  <c r="C112" i="4" s="1"/>
  <c r="C21" i="4" s="1"/>
  <c r="H106" i="4"/>
  <c r="G106" i="4"/>
  <c r="F106" i="4"/>
  <c r="E106" i="4"/>
  <c r="D106" i="4"/>
  <c r="C106" i="4"/>
  <c r="H105" i="4"/>
  <c r="G105" i="4"/>
  <c r="F105" i="4"/>
  <c r="E105" i="4"/>
  <c r="D105" i="4"/>
  <c r="C105" i="4"/>
  <c r="H104" i="4"/>
  <c r="G104" i="4"/>
  <c r="F104" i="4"/>
  <c r="D104" i="4"/>
  <c r="C104" i="4"/>
  <c r="H100" i="4"/>
  <c r="G100" i="4"/>
  <c r="F100" i="4"/>
  <c r="E100" i="4"/>
  <c r="D100" i="4"/>
  <c r="C100" i="4"/>
  <c r="H99" i="4"/>
  <c r="G99" i="4"/>
  <c r="F99" i="4"/>
  <c r="E99" i="4"/>
  <c r="D99" i="4"/>
  <c r="C99" i="4"/>
  <c r="H98" i="4"/>
  <c r="G98" i="4"/>
  <c r="F98" i="4"/>
  <c r="E98" i="4"/>
  <c r="D98" i="4"/>
  <c r="C98" i="4"/>
  <c r="I97" i="4"/>
  <c r="H97" i="4"/>
  <c r="G97" i="4"/>
  <c r="F97" i="4"/>
  <c r="E97" i="4"/>
  <c r="D97" i="4"/>
  <c r="C97" i="4"/>
  <c r="I96" i="4"/>
  <c r="H96" i="4"/>
  <c r="G96" i="4"/>
  <c r="F96" i="4"/>
  <c r="E96" i="4"/>
  <c r="D96" i="4"/>
  <c r="C96" i="4"/>
  <c r="K95" i="4"/>
  <c r="I95" i="4"/>
  <c r="H95" i="4"/>
  <c r="G95" i="4"/>
  <c r="F95" i="4"/>
  <c r="E95" i="4"/>
  <c r="D95" i="4"/>
  <c r="C95" i="4"/>
  <c r="H94" i="4"/>
  <c r="G94" i="4"/>
  <c r="F94" i="4"/>
  <c r="E94" i="4"/>
  <c r="D94" i="4"/>
  <c r="C94" i="4"/>
  <c r="H93" i="4"/>
  <c r="H101" i="4" s="1"/>
  <c r="G93" i="4"/>
  <c r="G101" i="4" s="1"/>
  <c r="F93" i="4"/>
  <c r="F101" i="4" s="1"/>
  <c r="E93" i="4"/>
  <c r="E101" i="4" s="1"/>
  <c r="C93" i="4"/>
  <c r="C101" i="4" s="1"/>
  <c r="R81" i="4"/>
  <c r="Q81" i="4"/>
  <c r="P81" i="4"/>
  <c r="O81" i="4"/>
  <c r="N81" i="4"/>
  <c r="M81" i="4"/>
  <c r="L81" i="4"/>
  <c r="K81" i="4"/>
  <c r="J81" i="4"/>
  <c r="I81" i="4"/>
  <c r="H81" i="4"/>
  <c r="G81" i="4"/>
  <c r="F81" i="4"/>
  <c r="E81" i="4"/>
  <c r="D81" i="4"/>
  <c r="C81" i="4"/>
  <c r="R74" i="4"/>
  <c r="R75" i="4" s="1"/>
  <c r="Q74" i="4"/>
  <c r="Q75" i="4" s="1"/>
  <c r="P74" i="4"/>
  <c r="P75" i="4" s="1"/>
  <c r="O74" i="4"/>
  <c r="O75" i="4" s="1"/>
  <c r="N74" i="4"/>
  <c r="N75" i="4" s="1"/>
  <c r="M74" i="4"/>
  <c r="M75" i="4" s="1"/>
  <c r="L74" i="4"/>
  <c r="L75" i="4" s="1"/>
  <c r="K74" i="4"/>
  <c r="K75" i="4" s="1"/>
  <c r="J74" i="4"/>
  <c r="J75" i="4" s="1"/>
  <c r="I74" i="4"/>
  <c r="I75" i="4" s="1"/>
  <c r="H74" i="4"/>
  <c r="H75" i="4" s="1"/>
  <c r="G74" i="4"/>
  <c r="G75" i="4" s="1"/>
  <c r="F74" i="4"/>
  <c r="F75" i="4" s="1"/>
  <c r="E74" i="4"/>
  <c r="E75" i="4" s="1"/>
  <c r="D74" i="4"/>
  <c r="D75" i="4" s="1"/>
  <c r="C74" i="4"/>
  <c r="C75" i="4" s="1"/>
  <c r="H64" i="4"/>
  <c r="G64" i="4"/>
  <c r="F64" i="4"/>
  <c r="E64" i="4"/>
  <c r="D64" i="4"/>
  <c r="C64" i="4"/>
  <c r="H63" i="4"/>
  <c r="G63" i="4"/>
  <c r="F63" i="4"/>
  <c r="E63" i="4"/>
  <c r="D63" i="4"/>
  <c r="C63" i="4"/>
  <c r="H62" i="4"/>
  <c r="H65" i="4" s="1"/>
  <c r="H20" i="4" s="1"/>
  <c r="G62" i="4"/>
  <c r="G65" i="4" s="1"/>
  <c r="G20" i="4" s="1"/>
  <c r="F62" i="4"/>
  <c r="F65" i="4" s="1"/>
  <c r="F20" i="4" s="1"/>
  <c r="D62" i="4"/>
  <c r="D65" i="4" s="1"/>
  <c r="D20" i="4" s="1"/>
  <c r="C62" i="4"/>
  <c r="C65" i="4" s="1"/>
  <c r="C20" i="4" s="1"/>
  <c r="J58" i="4"/>
  <c r="I58" i="4"/>
  <c r="H58" i="4"/>
  <c r="F58" i="4"/>
  <c r="E58" i="4"/>
  <c r="D58" i="4"/>
  <c r="G57" i="4"/>
  <c r="F57" i="4"/>
  <c r="E57" i="4"/>
  <c r="C57" i="4"/>
  <c r="I56" i="4"/>
  <c r="H56" i="4"/>
  <c r="H59" i="4" s="1"/>
  <c r="G56" i="4"/>
  <c r="G59" i="4" s="1"/>
  <c r="F56" i="4"/>
  <c r="F59" i="4" s="1"/>
  <c r="D56" i="4"/>
  <c r="D59" i="4" s="1"/>
  <c r="C56" i="4"/>
  <c r="H44" i="4"/>
  <c r="G44" i="4"/>
  <c r="F44" i="4"/>
  <c r="E44" i="4"/>
  <c r="D44" i="4"/>
  <c r="C44" i="4"/>
  <c r="I43" i="4"/>
  <c r="F43" i="4"/>
  <c r="E43" i="4"/>
  <c r="P42" i="4"/>
  <c r="L42" i="4"/>
  <c r="H42" i="4"/>
  <c r="C42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O36" i="4"/>
  <c r="N36" i="4"/>
  <c r="K36" i="4"/>
  <c r="I36" i="4"/>
  <c r="G36" i="4"/>
  <c r="F36" i="4"/>
  <c r="D36" i="4"/>
  <c r="C36" i="4"/>
  <c r="Q35" i="4"/>
  <c r="P35" i="4"/>
  <c r="O35" i="4"/>
  <c r="N35" i="4"/>
  <c r="M35" i="4"/>
  <c r="L35" i="4"/>
  <c r="I35" i="4"/>
  <c r="G35" i="4"/>
  <c r="F35" i="4"/>
  <c r="E35" i="4"/>
  <c r="O34" i="4"/>
  <c r="K34" i="4"/>
  <c r="G34" i="4"/>
  <c r="C34" i="4"/>
  <c r="G24" i="4"/>
  <c r="F24" i="4"/>
  <c r="E24" i="4"/>
  <c r="E23" i="4"/>
  <c r="D23" i="4"/>
  <c r="F22" i="4"/>
  <c r="G16" i="4"/>
  <c r="F16" i="4"/>
  <c r="C16" i="4"/>
  <c r="H15" i="4"/>
  <c r="F14" i="4"/>
  <c r="H32" i="5" l="1"/>
  <c r="H83" i="5"/>
  <c r="H85" i="5" s="1"/>
  <c r="P83" i="5"/>
  <c r="P32" i="5"/>
  <c r="F14" i="5"/>
  <c r="F163" i="5"/>
  <c r="D12" i="5"/>
  <c r="D67" i="5"/>
  <c r="D85" i="5"/>
  <c r="H13" i="5"/>
  <c r="H114" i="5"/>
  <c r="N33" i="5"/>
  <c r="L83" i="5"/>
  <c r="L32" i="5"/>
  <c r="L37" i="5" s="1"/>
  <c r="H45" i="5"/>
  <c r="H67" i="5"/>
  <c r="H12" i="5"/>
  <c r="C140" i="5"/>
  <c r="C33" i="5"/>
  <c r="O83" i="5"/>
  <c r="O32" i="5"/>
  <c r="C13" i="5"/>
  <c r="H140" i="5"/>
  <c r="E199" i="5"/>
  <c r="E15" i="5"/>
  <c r="E334" i="5"/>
  <c r="E63" i="5"/>
  <c r="C434" i="5"/>
  <c r="C104" i="5"/>
  <c r="C112" i="5" s="1"/>
  <c r="C21" i="5" s="1"/>
  <c r="K83" i="5"/>
  <c r="K32" i="5"/>
  <c r="F33" i="5"/>
  <c r="K33" i="5"/>
  <c r="F16" i="5"/>
  <c r="H33" i="5"/>
  <c r="H36" i="5"/>
  <c r="C83" i="5"/>
  <c r="C32" i="5"/>
  <c r="C37" i="5" s="1"/>
  <c r="C47" i="5" s="1"/>
  <c r="F138" i="5"/>
  <c r="F41" i="5" s="1"/>
  <c r="F183" i="5"/>
  <c r="R181" i="5"/>
  <c r="E314" i="5"/>
  <c r="E62" i="5"/>
  <c r="D375" i="5"/>
  <c r="E13" i="5"/>
  <c r="I45" i="5"/>
  <c r="F67" i="5"/>
  <c r="F12" i="5"/>
  <c r="I83" i="5"/>
  <c r="I32" i="5"/>
  <c r="M83" i="5"/>
  <c r="M32" i="5"/>
  <c r="M37" i="5" s="1"/>
  <c r="Q83" i="5"/>
  <c r="Q32" i="5"/>
  <c r="F13" i="5"/>
  <c r="O127" i="5"/>
  <c r="G163" i="5"/>
  <c r="G14" i="5"/>
  <c r="C163" i="5"/>
  <c r="C14" i="5"/>
  <c r="C181" i="5"/>
  <c r="C34" i="5"/>
  <c r="K181" i="5"/>
  <c r="K34" i="5"/>
  <c r="O181" i="5"/>
  <c r="O34" i="5"/>
  <c r="D215" i="5"/>
  <c r="H213" i="5"/>
  <c r="G241" i="5"/>
  <c r="G16" i="5"/>
  <c r="E12" i="5"/>
  <c r="E83" i="5"/>
  <c r="E32" i="5"/>
  <c r="G83" i="5"/>
  <c r="G32" i="5"/>
  <c r="J33" i="5"/>
  <c r="R35" i="5"/>
  <c r="C265" i="5"/>
  <c r="C36" i="5"/>
  <c r="G25" i="5"/>
  <c r="G127" i="5"/>
  <c r="F83" i="5"/>
  <c r="F85" i="5" s="1"/>
  <c r="F32" i="5"/>
  <c r="F37" i="5" s="1"/>
  <c r="J83" i="5"/>
  <c r="J32" i="5"/>
  <c r="J37" i="5" s="1"/>
  <c r="N83" i="5"/>
  <c r="N32" i="5"/>
  <c r="N37" i="5" s="1"/>
  <c r="R83" i="5"/>
  <c r="R32" i="5"/>
  <c r="G114" i="5"/>
  <c r="G13" i="5"/>
  <c r="R127" i="5"/>
  <c r="H138" i="5"/>
  <c r="H41" i="5" s="1"/>
  <c r="D154" i="5"/>
  <c r="E181" i="5"/>
  <c r="E34" i="5"/>
  <c r="F215" i="5"/>
  <c r="E35" i="5"/>
  <c r="E213" i="5"/>
  <c r="M35" i="5"/>
  <c r="Q35" i="5"/>
  <c r="I213" i="5"/>
  <c r="G265" i="5"/>
  <c r="G36" i="5"/>
  <c r="I181" i="5"/>
  <c r="I312" i="5"/>
  <c r="K345" i="5"/>
  <c r="K58" i="5" s="1"/>
  <c r="L341" i="5"/>
  <c r="M384" i="5"/>
  <c r="L549" i="5"/>
  <c r="K555" i="5"/>
  <c r="K95" i="5" s="1"/>
  <c r="L630" i="5"/>
  <c r="L107" i="5" s="1"/>
  <c r="M612" i="5"/>
  <c r="K677" i="5"/>
  <c r="L677" i="5" s="1"/>
  <c r="J679" i="5"/>
  <c r="J97" i="5" s="1"/>
  <c r="N35" i="5"/>
  <c r="F43" i="5"/>
  <c r="F45" i="5" s="1"/>
  <c r="C15" i="5"/>
  <c r="G15" i="5"/>
  <c r="G34" i="5"/>
  <c r="C35" i="5"/>
  <c r="G35" i="5"/>
  <c r="K35" i="5"/>
  <c r="C57" i="5"/>
  <c r="C59" i="5" s="1"/>
  <c r="G57" i="5"/>
  <c r="G59" i="5" s="1"/>
  <c r="C62" i="5"/>
  <c r="C65" i="5" s="1"/>
  <c r="C20" i="5" s="1"/>
  <c r="C25" i="5" s="1"/>
  <c r="H314" i="5"/>
  <c r="J387" i="5"/>
  <c r="K387" i="5" s="1"/>
  <c r="L387" i="5" s="1"/>
  <c r="M387" i="5" s="1"/>
  <c r="N387" i="5" s="1"/>
  <c r="O387" i="5" s="1"/>
  <c r="P387" i="5" s="1"/>
  <c r="Q387" i="5" s="1"/>
  <c r="R387" i="5" s="1"/>
  <c r="D542" i="5"/>
  <c r="F542" i="5"/>
  <c r="J566" i="5"/>
  <c r="D690" i="5"/>
  <c r="H690" i="5"/>
  <c r="J1086" i="5"/>
  <c r="K1084" i="5"/>
  <c r="L1084" i="5" s="1"/>
  <c r="M1084" i="5" s="1"/>
  <c r="N1084" i="5" s="1"/>
  <c r="O1084" i="5" s="1"/>
  <c r="P1084" i="5" s="1"/>
  <c r="Q1084" i="5" s="1"/>
  <c r="R1084" i="5" s="1"/>
  <c r="N181" i="5"/>
  <c r="I229" i="5"/>
  <c r="K475" i="5"/>
  <c r="L475" i="5" s="1"/>
  <c r="M475" i="5" s="1"/>
  <c r="N475" i="5" s="1"/>
  <c r="O475" i="5" s="1"/>
  <c r="P475" i="5" s="1"/>
  <c r="Q475" i="5" s="1"/>
  <c r="R475" i="5" s="1"/>
  <c r="J481" i="5"/>
  <c r="J105" i="5" s="1"/>
  <c r="L559" i="5"/>
  <c r="E132" i="5"/>
  <c r="E138" i="5" s="1"/>
  <c r="E41" i="5" s="1"/>
  <c r="E45" i="5" s="1"/>
  <c r="E16" i="5"/>
  <c r="Q34" i="5"/>
  <c r="I35" i="5"/>
  <c r="E64" i="5"/>
  <c r="I140" i="5"/>
  <c r="F239" i="5"/>
  <c r="F24" i="5" s="1"/>
  <c r="K312" i="5"/>
  <c r="L332" i="5"/>
  <c r="I364" i="5"/>
  <c r="J349" i="5"/>
  <c r="J555" i="5"/>
  <c r="J95" i="5" s="1"/>
  <c r="J560" i="5"/>
  <c r="K560" i="5" s="1"/>
  <c r="L560" i="5" s="1"/>
  <c r="M560" i="5" s="1"/>
  <c r="N560" i="5" s="1"/>
  <c r="O560" i="5" s="1"/>
  <c r="P560" i="5" s="1"/>
  <c r="Q560" i="5" s="1"/>
  <c r="R560" i="5" s="1"/>
  <c r="I566" i="5"/>
  <c r="K685" i="5"/>
  <c r="L685" i="5" s="1"/>
  <c r="M685" i="5" s="1"/>
  <c r="N685" i="5" s="1"/>
  <c r="O685" i="5" s="1"/>
  <c r="P685" i="5" s="1"/>
  <c r="Q685" i="5" s="1"/>
  <c r="R685" i="5" s="1"/>
  <c r="J688" i="5"/>
  <c r="G183" i="5"/>
  <c r="D669" i="5"/>
  <c r="K706" i="5"/>
  <c r="J958" i="5"/>
  <c r="J960" i="5" s="1"/>
  <c r="J62" i="5"/>
  <c r="J292" i="5"/>
  <c r="J56" i="5" s="1"/>
  <c r="K277" i="5"/>
  <c r="L312" i="5"/>
  <c r="M296" i="5"/>
  <c r="J321" i="5"/>
  <c r="I323" i="5"/>
  <c r="I57" i="5" s="1"/>
  <c r="I59" i="5" s="1"/>
  <c r="M332" i="5"/>
  <c r="N327" i="5"/>
  <c r="K399" i="5"/>
  <c r="K93" i="5" s="1"/>
  <c r="J717" i="5"/>
  <c r="J98" i="5" s="1"/>
  <c r="K697" i="5"/>
  <c r="J772" i="5"/>
  <c r="J109" i="5" s="1"/>
  <c r="K722" i="5"/>
  <c r="J971" i="5"/>
  <c r="I977" i="5"/>
  <c r="I99" i="5" s="1"/>
  <c r="C1066" i="5"/>
  <c r="J441" i="5"/>
  <c r="I454" i="5"/>
  <c r="K481" i="5"/>
  <c r="K105" i="5" s="1"/>
  <c r="L473" i="5"/>
  <c r="H542" i="5"/>
  <c r="H1090" i="5" s="1"/>
  <c r="D572" i="5"/>
  <c r="D121" i="5" s="1"/>
  <c r="D127" i="5" s="1"/>
  <c r="E570" i="5"/>
  <c r="E572" i="5" s="1"/>
  <c r="E121" i="5" s="1"/>
  <c r="E127" i="5" s="1"/>
  <c r="D636" i="5"/>
  <c r="D122" i="5" s="1"/>
  <c r="E634" i="5"/>
  <c r="E636" i="5" s="1"/>
  <c r="E122" i="5" s="1"/>
  <c r="E669" i="5"/>
  <c r="N676" i="5"/>
  <c r="H962" i="5"/>
  <c r="L1081" i="5"/>
  <c r="K1086" i="5"/>
  <c r="D334" i="5"/>
  <c r="H334" i="5"/>
  <c r="D399" i="5"/>
  <c r="D93" i="5" s="1"/>
  <c r="D101" i="5" s="1"/>
  <c r="I432" i="5"/>
  <c r="J403" i="5"/>
  <c r="J599" i="5"/>
  <c r="J96" i="5" s="1"/>
  <c r="K588" i="5"/>
  <c r="I962" i="5"/>
  <c r="L970" i="5"/>
  <c r="E432" i="5"/>
  <c r="F580" i="5"/>
  <c r="J630" i="5"/>
  <c r="C690" i="5"/>
  <c r="G690" i="5"/>
  <c r="J1107" i="5"/>
  <c r="J1118" i="5" s="1"/>
  <c r="J150" i="5" s="1"/>
  <c r="K1100" i="5"/>
  <c r="I1153" i="5"/>
  <c r="K1144" i="5"/>
  <c r="J1151" i="5"/>
  <c r="E1177" i="5"/>
  <c r="E151" i="5" s="1"/>
  <c r="E154" i="5" s="1"/>
  <c r="L1162" i="5"/>
  <c r="I1221" i="5"/>
  <c r="J1182" i="5"/>
  <c r="K1707" i="5"/>
  <c r="J1717" i="5"/>
  <c r="I669" i="5"/>
  <c r="K688" i="5"/>
  <c r="L684" i="5"/>
  <c r="I772" i="5"/>
  <c r="I109" i="5" s="1"/>
  <c r="E962" i="5"/>
  <c r="J1003" i="5"/>
  <c r="J110" i="5" s="1"/>
  <c r="D1155" i="5"/>
  <c r="K1003" i="5"/>
  <c r="L981" i="5"/>
  <c r="E1066" i="5"/>
  <c r="C669" i="5"/>
  <c r="G669" i="5"/>
  <c r="G1090" i="5" s="1"/>
  <c r="C962" i="5"/>
  <c r="G962" i="5"/>
  <c r="C1003" i="5"/>
  <c r="C110" i="5" s="1"/>
  <c r="J1072" i="5"/>
  <c r="H1088" i="5"/>
  <c r="K1110" i="5"/>
  <c r="J1123" i="5"/>
  <c r="C1155" i="5"/>
  <c r="H1141" i="5"/>
  <c r="H1153" i="5" s="1"/>
  <c r="J1163" i="5"/>
  <c r="F1231" i="5"/>
  <c r="I1381" i="5"/>
  <c r="I1433" i="5"/>
  <c r="I190" i="5" s="1"/>
  <c r="I192" i="5" s="1"/>
  <c r="J1409" i="5"/>
  <c r="J1550" i="5"/>
  <c r="I1565" i="5"/>
  <c r="I191" i="5" s="1"/>
  <c r="F772" i="5"/>
  <c r="F109" i="5" s="1"/>
  <c r="F112" i="5" s="1"/>
  <c r="D1086" i="5"/>
  <c r="E1082" i="5"/>
  <c r="E1086" i="5" s="1"/>
  <c r="E1141" i="5"/>
  <c r="E1153" i="5" s="1"/>
  <c r="G1155" i="5"/>
  <c r="G1399" i="5" s="1"/>
  <c r="J1149" i="5"/>
  <c r="K1149" i="5" s="1"/>
  <c r="L1149" i="5" s="1"/>
  <c r="M1149" i="5" s="1"/>
  <c r="N1149" i="5" s="1"/>
  <c r="O1149" i="5" s="1"/>
  <c r="P1149" i="5" s="1"/>
  <c r="Q1149" i="5" s="1"/>
  <c r="R1149" i="5" s="1"/>
  <c r="C1231" i="5"/>
  <c r="C1399" i="5" s="1"/>
  <c r="D1344" i="5"/>
  <c r="D1399" i="5" s="1"/>
  <c r="L1359" i="5"/>
  <c r="K1381" i="5"/>
  <c r="K1286" i="5"/>
  <c r="J1351" i="5"/>
  <c r="I1439" i="5"/>
  <c r="H1484" i="5"/>
  <c r="H195" i="5" s="1"/>
  <c r="H197" i="5" s="1"/>
  <c r="H23" i="5" s="1"/>
  <c r="D1542" i="5"/>
  <c r="D1617" i="5" s="1"/>
  <c r="K1640" i="5"/>
  <c r="J2115" i="5"/>
  <c r="I2142" i="5"/>
  <c r="I226" i="5" s="1"/>
  <c r="F1344" i="5"/>
  <c r="F1399" i="5" s="1"/>
  <c r="J1344" i="5"/>
  <c r="F1542" i="5"/>
  <c r="J1381" i="5"/>
  <c r="K1438" i="5"/>
  <c r="L1548" i="5"/>
  <c r="E1685" i="5"/>
  <c r="Q2023" i="5"/>
  <c r="Q249" i="5" s="1"/>
  <c r="Q253" i="5" s="1"/>
  <c r="R1811" i="5"/>
  <c r="C1542" i="5"/>
  <c r="C1617" i="5" s="1"/>
  <c r="G1542" i="5"/>
  <c r="G1617" i="5" s="1"/>
  <c r="I1585" i="5"/>
  <c r="I196" i="5" s="1"/>
  <c r="J1572" i="5"/>
  <c r="Q1635" i="5"/>
  <c r="Q222" i="5" s="1"/>
  <c r="H1740" i="5"/>
  <c r="K1754" i="5"/>
  <c r="J1774" i="5"/>
  <c r="I1757" i="5"/>
  <c r="J1757" i="5" s="1"/>
  <c r="K1757" i="5" s="1"/>
  <c r="L1757" i="5" s="1"/>
  <c r="M1757" i="5" s="1"/>
  <c r="N1757" i="5" s="1"/>
  <c r="O1757" i="5" s="1"/>
  <c r="P1757" i="5" s="1"/>
  <c r="Q1757" i="5" s="1"/>
  <c r="R1757" i="5" s="1"/>
  <c r="H1774" i="5"/>
  <c r="K1540" i="5"/>
  <c r="L1498" i="5"/>
  <c r="H1685" i="5"/>
  <c r="I1655" i="5"/>
  <c r="J1655" i="5" s="1"/>
  <c r="K1655" i="5" s="1"/>
  <c r="L1655" i="5" s="1"/>
  <c r="M1655" i="5" s="1"/>
  <c r="N1655" i="5" s="1"/>
  <c r="O1655" i="5" s="1"/>
  <c r="P1655" i="5" s="1"/>
  <c r="Q1655" i="5" s="1"/>
  <c r="R1655" i="5" s="1"/>
  <c r="D1685" i="5"/>
  <c r="E1661" i="5"/>
  <c r="F2195" i="5"/>
  <c r="K1747" i="5"/>
  <c r="J1750" i="5"/>
  <c r="J224" i="5" s="1"/>
  <c r="R2023" i="5"/>
  <c r="R249" i="5" s="1"/>
  <c r="R253" i="5" s="1"/>
  <c r="M2106" i="5"/>
  <c r="N2028" i="5"/>
  <c r="F1615" i="5"/>
  <c r="I1774" i="5"/>
  <c r="D1776" i="5"/>
  <c r="K1783" i="5"/>
  <c r="J1796" i="5"/>
  <c r="J235" i="5" s="1"/>
  <c r="J1789" i="5"/>
  <c r="K1789" i="5" s="1"/>
  <c r="L1789" i="5" s="1"/>
  <c r="M1789" i="5" s="1"/>
  <c r="N1789" i="5" s="1"/>
  <c r="O1789" i="5" s="1"/>
  <c r="P1789" i="5" s="1"/>
  <c r="Q1789" i="5" s="1"/>
  <c r="R1789" i="5" s="1"/>
  <c r="I1796" i="5"/>
  <c r="I235" i="5" s="1"/>
  <c r="P2023" i="5"/>
  <c r="P249" i="5" s="1"/>
  <c r="P253" i="5" s="1"/>
  <c r="L2188" i="5"/>
  <c r="M2181" i="5"/>
  <c r="E1774" i="5"/>
  <c r="E2023" i="5"/>
  <c r="E249" i="5" s="1"/>
  <c r="E253" i="5" s="1"/>
  <c r="L2106" i="5"/>
  <c r="M2034" i="5"/>
  <c r="N2034" i="5" s="1"/>
  <c r="O2034" i="5" s="1"/>
  <c r="P2034" i="5" s="1"/>
  <c r="Q2034" i="5" s="1"/>
  <c r="R2034" i="5" s="1"/>
  <c r="F2108" i="5"/>
  <c r="K2106" i="5"/>
  <c r="C2142" i="5"/>
  <c r="C226" i="5" s="1"/>
  <c r="C229" i="5" s="1"/>
  <c r="J2160" i="5"/>
  <c r="K2146" i="5"/>
  <c r="G1695" i="5"/>
  <c r="G2195" i="5" s="1"/>
  <c r="H2162" i="5"/>
  <c r="K2188" i="5"/>
  <c r="O2023" i="5"/>
  <c r="O249" i="5" s="1"/>
  <c r="O253" i="5" s="1"/>
  <c r="D2108" i="5"/>
  <c r="E2108" i="5"/>
  <c r="J2168" i="5"/>
  <c r="I2160" i="5"/>
  <c r="E2162" i="5"/>
  <c r="G83" i="4"/>
  <c r="G32" i="4"/>
  <c r="C13" i="4"/>
  <c r="C114" i="4"/>
  <c r="C142" i="4" s="1"/>
  <c r="I33" i="4"/>
  <c r="J181" i="4"/>
  <c r="J34" i="4"/>
  <c r="D83" i="4"/>
  <c r="D85" i="4" s="1"/>
  <c r="D32" i="4"/>
  <c r="P83" i="4"/>
  <c r="P32" i="4"/>
  <c r="K33" i="4"/>
  <c r="G45" i="4"/>
  <c r="G25" i="4"/>
  <c r="I83" i="4"/>
  <c r="I32" i="4"/>
  <c r="M32" i="4"/>
  <c r="M83" i="4"/>
  <c r="F13" i="4"/>
  <c r="G140" i="4"/>
  <c r="G33" i="4"/>
  <c r="O33" i="4"/>
  <c r="D163" i="4"/>
  <c r="D14" i="4"/>
  <c r="G163" i="4"/>
  <c r="G14" i="4"/>
  <c r="K181" i="4"/>
  <c r="F199" i="4"/>
  <c r="F215" i="4" s="1"/>
  <c r="F15" i="4"/>
  <c r="H265" i="4"/>
  <c r="H36" i="4"/>
  <c r="H45" i="4"/>
  <c r="H67" i="4"/>
  <c r="H12" i="4"/>
  <c r="F83" i="4"/>
  <c r="F32" i="4"/>
  <c r="F37" i="4" s="1"/>
  <c r="J83" i="4"/>
  <c r="J32" i="4"/>
  <c r="J37" i="4" s="1"/>
  <c r="N83" i="4"/>
  <c r="N32" i="4"/>
  <c r="R83" i="4"/>
  <c r="R32" i="4"/>
  <c r="G114" i="4"/>
  <c r="G142" i="4" s="1"/>
  <c r="G13" i="4"/>
  <c r="H140" i="4"/>
  <c r="H33" i="4"/>
  <c r="M33" i="4"/>
  <c r="P33" i="4"/>
  <c r="D181" i="4"/>
  <c r="D183" i="4" s="1"/>
  <c r="D34" i="4"/>
  <c r="H181" i="4"/>
  <c r="H34" i="4"/>
  <c r="L181" i="4"/>
  <c r="L34" i="4"/>
  <c r="P181" i="4"/>
  <c r="P34" i="4"/>
  <c r="Q34" i="4"/>
  <c r="Q181" i="4"/>
  <c r="G199" i="4"/>
  <c r="G215" i="4" s="1"/>
  <c r="G15" i="4"/>
  <c r="C35" i="4"/>
  <c r="E62" i="4"/>
  <c r="E65" i="4" s="1"/>
  <c r="E20" i="4" s="1"/>
  <c r="E434" i="4"/>
  <c r="E104" i="4"/>
  <c r="K83" i="4"/>
  <c r="K32" i="4"/>
  <c r="H114" i="4"/>
  <c r="H142" i="4" s="1"/>
  <c r="H13" i="4"/>
  <c r="C33" i="4"/>
  <c r="C140" i="4"/>
  <c r="Q33" i="4"/>
  <c r="E181" i="4"/>
  <c r="E34" i="4"/>
  <c r="M181" i="4"/>
  <c r="M34" i="4"/>
  <c r="R34" i="4"/>
  <c r="R181" i="4"/>
  <c r="H83" i="4"/>
  <c r="H85" i="4" s="1"/>
  <c r="H32" i="4"/>
  <c r="O181" i="4"/>
  <c r="O42" i="4"/>
  <c r="G375" i="4"/>
  <c r="D13" i="4"/>
  <c r="D67" i="4"/>
  <c r="D12" i="4"/>
  <c r="C83" i="4"/>
  <c r="C32" i="4"/>
  <c r="C37" i="4" s="1"/>
  <c r="O83" i="4"/>
  <c r="O32" i="4"/>
  <c r="I181" i="4"/>
  <c r="I34" i="4"/>
  <c r="N181" i="4"/>
  <c r="N34" i="4"/>
  <c r="F67" i="4"/>
  <c r="F12" i="4"/>
  <c r="L83" i="4"/>
  <c r="L32" i="4"/>
  <c r="E13" i="4"/>
  <c r="C14" i="4"/>
  <c r="G67" i="4"/>
  <c r="G12" i="4"/>
  <c r="E83" i="4"/>
  <c r="E32" i="4"/>
  <c r="Q83" i="4"/>
  <c r="Q32" i="4"/>
  <c r="L33" i="4"/>
  <c r="H14" i="4"/>
  <c r="J35" i="4"/>
  <c r="I265" i="4"/>
  <c r="I44" i="4"/>
  <c r="H375" i="4"/>
  <c r="D35" i="4"/>
  <c r="H35" i="4"/>
  <c r="E159" i="4"/>
  <c r="E161" i="4" s="1"/>
  <c r="E22" i="4" s="1"/>
  <c r="F181" i="4"/>
  <c r="F183" i="4" s="1"/>
  <c r="C199" i="4"/>
  <c r="E292" i="4"/>
  <c r="E56" i="4" s="1"/>
  <c r="E59" i="4" s="1"/>
  <c r="J321" i="4"/>
  <c r="I323" i="4"/>
  <c r="I57" i="4" s="1"/>
  <c r="I59" i="4" s="1"/>
  <c r="K349" i="4"/>
  <c r="J364" i="4"/>
  <c r="E373" i="4"/>
  <c r="I364" i="4"/>
  <c r="C434" i="4"/>
  <c r="L403" i="4"/>
  <c r="K432" i="4"/>
  <c r="R127" i="4"/>
  <c r="K1165" i="4"/>
  <c r="L1165" i="4" s="1"/>
  <c r="M1165" i="4" s="1"/>
  <c r="N1165" i="4" s="1"/>
  <c r="O1165" i="4" s="1"/>
  <c r="P1165" i="4" s="1"/>
  <c r="Q1165" i="4" s="1"/>
  <c r="R1165" i="4" s="1"/>
  <c r="J1177" i="4"/>
  <c r="J151" i="4" s="1"/>
  <c r="D1344" i="4"/>
  <c r="H1344" i="4"/>
  <c r="F33" i="4"/>
  <c r="J33" i="4"/>
  <c r="R35" i="4"/>
  <c r="F112" i="4"/>
  <c r="F21" i="4" s="1"/>
  <c r="F25" i="4" s="1"/>
  <c r="K292" i="4"/>
  <c r="K56" i="4" s="1"/>
  <c r="K296" i="4"/>
  <c r="J312" i="4"/>
  <c r="I312" i="4"/>
  <c r="C375" i="4"/>
  <c r="H334" i="4"/>
  <c r="K345" i="4"/>
  <c r="K58" i="4" s="1"/>
  <c r="L341" i="4"/>
  <c r="G373" i="4"/>
  <c r="L399" i="4"/>
  <c r="L93" i="4" s="1"/>
  <c r="M384" i="4"/>
  <c r="R121" i="4"/>
  <c r="F669" i="4"/>
  <c r="F133" i="4"/>
  <c r="F138" i="4" s="1"/>
  <c r="J133" i="4"/>
  <c r="N133" i="4"/>
  <c r="R133" i="4"/>
  <c r="G181" i="4"/>
  <c r="J329" i="4"/>
  <c r="K329" i="4" s="1"/>
  <c r="L329" i="4" s="1"/>
  <c r="M329" i="4" s="1"/>
  <c r="N329" i="4" s="1"/>
  <c r="O329" i="4" s="1"/>
  <c r="P329" i="4" s="1"/>
  <c r="Q329" i="4" s="1"/>
  <c r="R329" i="4" s="1"/>
  <c r="I332" i="4"/>
  <c r="J474" i="4"/>
  <c r="K474" i="4" s="1"/>
  <c r="L474" i="4" s="1"/>
  <c r="M474" i="4" s="1"/>
  <c r="N474" i="4" s="1"/>
  <c r="O474" i="4" s="1"/>
  <c r="P474" i="4" s="1"/>
  <c r="Q474" i="4" s="1"/>
  <c r="R474" i="4" s="1"/>
  <c r="I481" i="4"/>
  <c r="I105" i="4" s="1"/>
  <c r="K1286" i="4"/>
  <c r="J1312" i="4"/>
  <c r="K35" i="4"/>
  <c r="C58" i="4"/>
  <c r="C59" i="4" s="1"/>
  <c r="D179" i="4"/>
  <c r="D42" i="4" s="1"/>
  <c r="L277" i="4"/>
  <c r="J292" i="4"/>
  <c r="J56" i="4" s="1"/>
  <c r="L327" i="4"/>
  <c r="K332" i="4"/>
  <c r="D334" i="4"/>
  <c r="D375" i="4" s="1"/>
  <c r="J332" i="4"/>
  <c r="K399" i="4"/>
  <c r="K93" i="4" s="1"/>
  <c r="F1090" i="4"/>
  <c r="K1076" i="4"/>
  <c r="K100" i="4" s="1"/>
  <c r="L1072" i="4"/>
  <c r="C1542" i="4"/>
  <c r="C209" i="4"/>
  <c r="C211" i="4" s="1"/>
  <c r="C43" i="4" s="1"/>
  <c r="C45" i="4" s="1"/>
  <c r="I399" i="4"/>
  <c r="I93" i="4" s="1"/>
  <c r="J432" i="4"/>
  <c r="D434" i="4"/>
  <c r="H1090" i="4"/>
  <c r="K723" i="4"/>
  <c r="L723" i="4" s="1"/>
  <c r="M723" i="4" s="1"/>
  <c r="N723" i="4" s="1"/>
  <c r="O723" i="4" s="1"/>
  <c r="P723" i="4" s="1"/>
  <c r="Q723" i="4" s="1"/>
  <c r="R723" i="4" s="1"/>
  <c r="J772" i="4"/>
  <c r="J109" i="4" s="1"/>
  <c r="J1076" i="4"/>
  <c r="J100" i="4" s="1"/>
  <c r="K1151" i="4"/>
  <c r="K599" i="4"/>
  <c r="K96" i="4" s="1"/>
  <c r="L688" i="4"/>
  <c r="M684" i="4"/>
  <c r="I958" i="4"/>
  <c r="J706" i="4"/>
  <c r="I957" i="4"/>
  <c r="I960" i="4" s="1"/>
  <c r="I717" i="4"/>
  <c r="I98" i="4" s="1"/>
  <c r="F962" i="4"/>
  <c r="I1003" i="4"/>
  <c r="I110" i="4" s="1"/>
  <c r="J981" i="4"/>
  <c r="J1074" i="4"/>
  <c r="K1074" i="4" s="1"/>
  <c r="L1074" i="4" s="1"/>
  <c r="M1074" i="4" s="1"/>
  <c r="N1074" i="4" s="1"/>
  <c r="O1074" i="4" s="1"/>
  <c r="P1074" i="4" s="1"/>
  <c r="Q1074" i="4" s="1"/>
  <c r="R1074" i="4" s="1"/>
  <c r="I1076" i="4"/>
  <c r="I100" i="4" s="1"/>
  <c r="K1086" i="4"/>
  <c r="L1084" i="4"/>
  <c r="M1084" i="4" s="1"/>
  <c r="N1084" i="4" s="1"/>
  <c r="O1084" i="4" s="1"/>
  <c r="P1084" i="4" s="1"/>
  <c r="Q1084" i="4" s="1"/>
  <c r="R1084" i="4" s="1"/>
  <c r="J1116" i="4"/>
  <c r="K1125" i="4"/>
  <c r="L1125" i="4" s="1"/>
  <c r="M1125" i="4" s="1"/>
  <c r="N1125" i="4" s="1"/>
  <c r="O1125" i="4" s="1"/>
  <c r="P1125" i="4" s="1"/>
  <c r="Q1125" i="4" s="1"/>
  <c r="R1125" i="4" s="1"/>
  <c r="J1141" i="4"/>
  <c r="J1153" i="4" s="1"/>
  <c r="N1151" i="4"/>
  <c r="O1144" i="4"/>
  <c r="L473" i="4"/>
  <c r="K481" i="4"/>
  <c r="K105" i="4" s="1"/>
  <c r="M549" i="4"/>
  <c r="L555" i="4"/>
  <c r="L95" i="4" s="1"/>
  <c r="I566" i="4"/>
  <c r="J559" i="4"/>
  <c r="M588" i="4"/>
  <c r="L599" i="4"/>
  <c r="L96" i="4" s="1"/>
  <c r="F1066" i="4"/>
  <c r="N1081" i="4"/>
  <c r="M1086" i="4"/>
  <c r="K1116" i="4"/>
  <c r="L1110" i="4"/>
  <c r="I432" i="4"/>
  <c r="C542" i="4"/>
  <c r="D487" i="4"/>
  <c r="D120" i="4" s="1"/>
  <c r="D127" i="4" s="1"/>
  <c r="E485" i="4"/>
  <c r="E487" i="4" s="1"/>
  <c r="E120" i="4" s="1"/>
  <c r="E127" i="4" s="1"/>
  <c r="J599" i="4"/>
  <c r="J96" i="4" s="1"/>
  <c r="D636" i="4"/>
  <c r="D122" i="4" s="1"/>
  <c r="E634" i="4"/>
  <c r="E636" i="4" s="1"/>
  <c r="E122" i="4" s="1"/>
  <c r="E669" i="4"/>
  <c r="I669" i="4"/>
  <c r="J679" i="4"/>
  <c r="J97" i="4" s="1"/>
  <c r="K676" i="4"/>
  <c r="K697" i="4"/>
  <c r="J717" i="4"/>
  <c r="J98" i="4" s="1"/>
  <c r="G962" i="4"/>
  <c r="I977" i="4"/>
  <c r="I99" i="4" s="1"/>
  <c r="J970" i="4"/>
  <c r="D1086" i="4"/>
  <c r="E1082" i="4"/>
  <c r="E1086" i="4" s="1"/>
  <c r="I1116" i="4"/>
  <c r="I1118" i="4" s="1"/>
  <c r="I150" i="4" s="1"/>
  <c r="I154" i="4" s="1"/>
  <c r="J1182" i="4"/>
  <c r="I1221" i="4"/>
  <c r="I454" i="4"/>
  <c r="J441" i="4"/>
  <c r="H580" i="4"/>
  <c r="D578" i="4"/>
  <c r="E576" i="4"/>
  <c r="E578" i="4" s="1"/>
  <c r="J630" i="4"/>
  <c r="J107" i="4" s="1"/>
  <c r="K612" i="4"/>
  <c r="K772" i="4"/>
  <c r="K109" i="4" s="1"/>
  <c r="L722" i="4"/>
  <c r="M1123" i="4"/>
  <c r="L1141" i="4"/>
  <c r="C1617" i="4"/>
  <c r="G1617" i="4"/>
  <c r="G580" i="4"/>
  <c r="D669" i="4"/>
  <c r="H669" i="4"/>
  <c r="D690" i="4"/>
  <c r="H690" i="4"/>
  <c r="H962" i="4"/>
  <c r="C1066" i="4"/>
  <c r="G1066" i="4"/>
  <c r="G1090" i="4" s="1"/>
  <c r="L1086" i="4"/>
  <c r="L1100" i="4"/>
  <c r="K1107" i="4"/>
  <c r="F1155" i="4"/>
  <c r="M1151" i="4"/>
  <c r="E1177" i="4"/>
  <c r="E151" i="4" s="1"/>
  <c r="E154" i="4" s="1"/>
  <c r="L1177" i="4"/>
  <c r="L151" i="4" s="1"/>
  <c r="M1162" i="4"/>
  <c r="D1231" i="4"/>
  <c r="I1774" i="4"/>
  <c r="J1754" i="4"/>
  <c r="E1155" i="4"/>
  <c r="L1151" i="4"/>
  <c r="K1177" i="4"/>
  <c r="K151" i="4" s="1"/>
  <c r="J1086" i="4"/>
  <c r="I1151" i="4"/>
  <c r="I1153" i="4" s="1"/>
  <c r="C1155" i="4"/>
  <c r="I1353" i="4"/>
  <c r="I153" i="4" s="1"/>
  <c r="J1359" i="4"/>
  <c r="I1381" i="4"/>
  <c r="J1540" i="4"/>
  <c r="K1498" i="4"/>
  <c r="F1542" i="4"/>
  <c r="J1107" i="4"/>
  <c r="J1118" i="4" s="1"/>
  <c r="J150" i="4" s="1"/>
  <c r="J154" i="4" s="1"/>
  <c r="H1141" i="4"/>
  <c r="H1153" i="4" s="1"/>
  <c r="J1151" i="4"/>
  <c r="C1221" i="4"/>
  <c r="F1231" i="4"/>
  <c r="L1353" i="4"/>
  <c r="L153" i="4" s="1"/>
  <c r="M1351" i="4"/>
  <c r="K1353" i="4"/>
  <c r="K153" i="4" s="1"/>
  <c r="G1399" i="4"/>
  <c r="I1717" i="4"/>
  <c r="I233" i="4" s="1"/>
  <c r="J1707" i="4"/>
  <c r="F1344" i="4"/>
  <c r="F1399" i="4" s="1"/>
  <c r="I1433" i="4"/>
  <c r="I190" i="4" s="1"/>
  <c r="J1409" i="4"/>
  <c r="J1438" i="4"/>
  <c r="I1484" i="4"/>
  <c r="G1542" i="4"/>
  <c r="D1635" i="4"/>
  <c r="D222" i="4" s="1"/>
  <c r="D229" i="4" s="1"/>
  <c r="E1628" i="4"/>
  <c r="E1635" i="4" s="1"/>
  <c r="J1640" i="4"/>
  <c r="I1685" i="4"/>
  <c r="K1747" i="4"/>
  <c r="J1750" i="4"/>
  <c r="J224" i="4" s="1"/>
  <c r="I1750" i="4"/>
  <c r="I224" i="4" s="1"/>
  <c r="I229" i="4" s="1"/>
  <c r="M2115" i="4"/>
  <c r="J1565" i="4"/>
  <c r="J191" i="4" s="1"/>
  <c r="K1548" i="4"/>
  <c r="F1617" i="4"/>
  <c r="O1783" i="4"/>
  <c r="N1796" i="4"/>
  <c r="N235" i="4" s="1"/>
  <c r="J2160" i="4"/>
  <c r="K2146" i="4"/>
  <c r="D1396" i="4"/>
  <c r="H1484" i="4"/>
  <c r="H195" i="4" s="1"/>
  <c r="H197" i="4" s="1"/>
  <c r="H23" i="4" s="1"/>
  <c r="I1446" i="4"/>
  <c r="J1446" i="4" s="1"/>
  <c r="K1446" i="4" s="1"/>
  <c r="L1446" i="4" s="1"/>
  <c r="M1446" i="4" s="1"/>
  <c r="N1446" i="4" s="1"/>
  <c r="O1446" i="4" s="1"/>
  <c r="P1446" i="4" s="1"/>
  <c r="Q1446" i="4" s="1"/>
  <c r="R1446" i="4" s="1"/>
  <c r="E1542" i="4"/>
  <c r="D1565" i="4"/>
  <c r="D191" i="4" s="1"/>
  <c r="D192" i="4" s="1"/>
  <c r="E1556" i="4"/>
  <c r="E1565" i="4" s="1"/>
  <c r="I1565" i="4"/>
  <c r="I191" i="4" s="1"/>
  <c r="I1655" i="4"/>
  <c r="J1655" i="4" s="1"/>
  <c r="K1655" i="4" s="1"/>
  <c r="L1655" i="4" s="1"/>
  <c r="M1655" i="4" s="1"/>
  <c r="N1655" i="4" s="1"/>
  <c r="O1655" i="4" s="1"/>
  <c r="P1655" i="4" s="1"/>
  <c r="Q1655" i="4" s="1"/>
  <c r="R1655" i="4" s="1"/>
  <c r="H1685" i="4"/>
  <c r="I1740" i="4"/>
  <c r="J1796" i="4"/>
  <c r="J235" i="4" s="1"/>
  <c r="I1615" i="4"/>
  <c r="R2023" i="4"/>
  <c r="R249" i="4" s="1"/>
  <c r="R253" i="4" s="1"/>
  <c r="J1585" i="4"/>
  <c r="J196" i="4" s="1"/>
  <c r="K1572" i="4"/>
  <c r="C1685" i="4"/>
  <c r="D1695" i="4"/>
  <c r="D1774" i="4"/>
  <c r="D2108" i="4"/>
  <c r="G1695" i="4"/>
  <c r="E1776" i="4"/>
  <c r="F1776" i="4"/>
  <c r="F2195" i="4" s="1"/>
  <c r="M1796" i="4"/>
  <c r="M235" i="4" s="1"/>
  <c r="I2108" i="4"/>
  <c r="L1796" i="4"/>
  <c r="L235" i="4" s="1"/>
  <c r="N2028" i="4"/>
  <c r="J2181" i="4"/>
  <c r="I2188" i="4"/>
  <c r="I1796" i="4"/>
  <c r="I235" i="4" s="1"/>
  <c r="K1796" i="4"/>
  <c r="K235" i="4" s="1"/>
  <c r="L2023" i="4"/>
  <c r="L249" i="4" s="1"/>
  <c r="L253" i="4" s="1"/>
  <c r="P2023" i="4"/>
  <c r="P249" i="4" s="1"/>
  <c r="P253" i="4" s="1"/>
  <c r="C2108" i="4"/>
  <c r="H2108" i="4"/>
  <c r="J2116" i="4"/>
  <c r="K2116" i="4" s="1"/>
  <c r="L2116" i="4" s="1"/>
  <c r="M2116" i="4" s="1"/>
  <c r="N2116" i="4" s="1"/>
  <c r="O2116" i="4" s="1"/>
  <c r="P2116" i="4" s="1"/>
  <c r="Q2116" i="4" s="1"/>
  <c r="R2116" i="4" s="1"/>
  <c r="I2142" i="4"/>
  <c r="I226" i="4" s="1"/>
  <c r="K2106" i="4"/>
  <c r="L2034" i="4"/>
  <c r="M2034" i="4" s="1"/>
  <c r="N2034" i="4" s="1"/>
  <c r="O2034" i="4" s="1"/>
  <c r="P2034" i="4" s="1"/>
  <c r="Q2034" i="4" s="1"/>
  <c r="R2034" i="4" s="1"/>
  <c r="G2108" i="4"/>
  <c r="L2173" i="4"/>
  <c r="M2168" i="4"/>
  <c r="E2023" i="4"/>
  <c r="E249" i="4" s="1"/>
  <c r="E253" i="4" s="1"/>
  <c r="M2023" i="4"/>
  <c r="M249" i="4" s="1"/>
  <c r="M253" i="4" s="1"/>
  <c r="Q2023" i="4"/>
  <c r="Q249" i="4" s="1"/>
  <c r="Q253" i="4" s="1"/>
  <c r="J2106" i="4"/>
  <c r="H2142" i="4"/>
  <c r="H226" i="4" s="1"/>
  <c r="H229" i="4" s="1"/>
  <c r="C2162" i="4"/>
  <c r="K2173" i="4"/>
  <c r="J2173" i="4"/>
  <c r="J2142" i="4"/>
  <c r="J226" i="4" s="1"/>
  <c r="J229" i="4" s="1"/>
  <c r="I2160" i="4"/>
  <c r="E2162" i="4"/>
  <c r="C16" i="5" l="1"/>
  <c r="C241" i="5"/>
  <c r="E140" i="5"/>
  <c r="E33" i="5"/>
  <c r="J962" i="5"/>
  <c r="J135" i="5"/>
  <c r="J138" i="5" s="1"/>
  <c r="C67" i="5"/>
  <c r="C85" i="5" s="1"/>
  <c r="C12" i="5"/>
  <c r="E14" i="5"/>
  <c r="D140" i="5"/>
  <c r="D33" i="5"/>
  <c r="D37" i="5" s="1"/>
  <c r="D47" i="5" s="1"/>
  <c r="I12" i="5"/>
  <c r="F1090" i="5"/>
  <c r="F21" i="5"/>
  <c r="F25" i="5" s="1"/>
  <c r="F114" i="5"/>
  <c r="G67" i="5"/>
  <c r="G85" i="5" s="1"/>
  <c r="G12" i="5"/>
  <c r="G17" i="5" s="1"/>
  <c r="G27" i="5" s="1"/>
  <c r="L1540" i="5"/>
  <c r="M1498" i="5"/>
  <c r="K1072" i="5"/>
  <c r="J1076" i="5"/>
  <c r="J100" i="5" s="1"/>
  <c r="M981" i="5"/>
  <c r="L1003" i="5"/>
  <c r="K1107" i="5"/>
  <c r="L1100" i="5"/>
  <c r="I434" i="5"/>
  <c r="I104" i="5"/>
  <c r="K292" i="5"/>
  <c r="K56" i="5" s="1"/>
  <c r="L277" i="5"/>
  <c r="I580" i="5"/>
  <c r="I106" i="5"/>
  <c r="F47" i="5"/>
  <c r="F17" i="5"/>
  <c r="F27" i="5" s="1"/>
  <c r="C2162" i="5"/>
  <c r="C2195" i="5" s="1"/>
  <c r="K2108" i="5"/>
  <c r="K259" i="5"/>
  <c r="K263" i="5" s="1"/>
  <c r="M259" i="5"/>
  <c r="M263" i="5" s="1"/>
  <c r="K209" i="5"/>
  <c r="K211" i="5" s="1"/>
  <c r="K1774" i="5"/>
  <c r="L1754" i="5"/>
  <c r="J1740" i="5"/>
  <c r="J233" i="5"/>
  <c r="O36" i="5"/>
  <c r="J2108" i="5"/>
  <c r="L2146" i="5"/>
  <c r="K2160" i="5"/>
  <c r="E1776" i="5"/>
  <c r="E234" i="5"/>
  <c r="H1776" i="5"/>
  <c r="H234" i="5"/>
  <c r="K1572" i="5"/>
  <c r="J1585" i="5"/>
  <c r="J1685" i="5"/>
  <c r="K1312" i="5"/>
  <c r="L1286" i="5"/>
  <c r="E1088" i="5"/>
  <c r="E111" i="5"/>
  <c r="J1565" i="5"/>
  <c r="J191" i="5" s="1"/>
  <c r="K1550" i="5"/>
  <c r="K1116" i="5"/>
  <c r="L1110" i="5"/>
  <c r="I1066" i="5"/>
  <c r="K2168" i="5"/>
  <c r="J2173" i="5"/>
  <c r="K2191" i="5"/>
  <c r="K238" i="5"/>
  <c r="J236" i="5"/>
  <c r="N2181" i="5"/>
  <c r="M2188" i="5"/>
  <c r="I1776" i="5"/>
  <c r="I234" i="5"/>
  <c r="F1617" i="5"/>
  <c r="D1695" i="5"/>
  <c r="D2195" i="5" s="1"/>
  <c r="D232" i="5"/>
  <c r="D239" i="5" s="1"/>
  <c r="I2108" i="5"/>
  <c r="Q36" i="5"/>
  <c r="Q37" i="5" s="1"/>
  <c r="M1548" i="5"/>
  <c r="K1685" i="5"/>
  <c r="L1640" i="5"/>
  <c r="K160" i="5"/>
  <c r="D1088" i="5"/>
  <c r="D111" i="5"/>
  <c r="D112" i="5" s="1"/>
  <c r="D21" i="5" s="1"/>
  <c r="H1542" i="5"/>
  <c r="H1617" i="5" s="1"/>
  <c r="I1396" i="5"/>
  <c r="I160" i="5"/>
  <c r="H1155" i="5"/>
  <c r="H1399" i="5" s="1"/>
  <c r="H157" i="5"/>
  <c r="H161" i="5" s="1"/>
  <c r="K108" i="5"/>
  <c r="I1155" i="5"/>
  <c r="I157" i="5"/>
  <c r="J107" i="5"/>
  <c r="J669" i="5"/>
  <c r="L588" i="5"/>
  <c r="K599" i="5"/>
  <c r="J432" i="5"/>
  <c r="K403" i="5"/>
  <c r="O676" i="5"/>
  <c r="L481" i="5"/>
  <c r="L105" i="5" s="1"/>
  <c r="M473" i="5"/>
  <c r="L722" i="5"/>
  <c r="K772" i="5"/>
  <c r="K109" i="5" s="1"/>
  <c r="K679" i="5"/>
  <c r="K97" i="5" s="1"/>
  <c r="M63" i="5"/>
  <c r="L62" i="5"/>
  <c r="J314" i="5"/>
  <c r="D434" i="5"/>
  <c r="K314" i="5"/>
  <c r="K62" i="5"/>
  <c r="K566" i="5"/>
  <c r="H375" i="5"/>
  <c r="L399" i="5"/>
  <c r="L93" i="5" s="1"/>
  <c r="H199" i="5"/>
  <c r="H215" i="5" s="1"/>
  <c r="G33" i="5"/>
  <c r="G140" i="5"/>
  <c r="E17" i="5"/>
  <c r="C183" i="5"/>
  <c r="F241" i="5"/>
  <c r="F267" i="5" s="1"/>
  <c r="E215" i="5"/>
  <c r="H142" i="5"/>
  <c r="L259" i="5"/>
  <c r="L263" i="5" s="1"/>
  <c r="L2191" i="5"/>
  <c r="L238" i="5"/>
  <c r="N2106" i="5"/>
  <c r="O2028" i="5"/>
  <c r="J1776" i="5"/>
  <c r="J234" i="5"/>
  <c r="J160" i="5"/>
  <c r="J2142" i="5"/>
  <c r="J226" i="5" s="1"/>
  <c r="J229" i="5" s="1"/>
  <c r="K2115" i="5"/>
  <c r="I1484" i="5"/>
  <c r="J1439" i="5"/>
  <c r="L1381" i="5"/>
  <c r="M1359" i="5"/>
  <c r="J1433" i="5"/>
  <c r="J190" i="5" s="1"/>
  <c r="J192" i="5" s="1"/>
  <c r="K1409" i="5"/>
  <c r="K1182" i="5"/>
  <c r="J1221" i="5"/>
  <c r="L566" i="5"/>
  <c r="M559" i="5"/>
  <c r="J580" i="5"/>
  <c r="J106" i="5"/>
  <c r="L345" i="5"/>
  <c r="L58" i="5" s="1"/>
  <c r="M341" i="5"/>
  <c r="K37" i="5"/>
  <c r="P36" i="5"/>
  <c r="P37" i="5" s="1"/>
  <c r="L1438" i="5"/>
  <c r="E1155" i="5"/>
  <c r="E157" i="5"/>
  <c r="E161" i="5" s="1"/>
  <c r="E22" i="5" s="1"/>
  <c r="K1123" i="5"/>
  <c r="J1141" i="5"/>
  <c r="J1153" i="5" s="1"/>
  <c r="I1231" i="5"/>
  <c r="I158" i="5"/>
  <c r="E434" i="5"/>
  <c r="E104" i="5"/>
  <c r="E112" i="5" s="1"/>
  <c r="D114" i="5"/>
  <c r="D142" i="5" s="1"/>
  <c r="D13" i="5"/>
  <c r="L1086" i="5"/>
  <c r="M1081" i="5"/>
  <c r="I542" i="5"/>
  <c r="I94" i="5"/>
  <c r="I101" i="5" s="1"/>
  <c r="K717" i="5"/>
  <c r="K98" i="5" s="1"/>
  <c r="L697" i="5"/>
  <c r="J323" i="5"/>
  <c r="K321" i="5"/>
  <c r="D580" i="5"/>
  <c r="I373" i="5"/>
  <c r="I64" i="5"/>
  <c r="I16" i="5"/>
  <c r="J111" i="5"/>
  <c r="L555" i="5"/>
  <c r="L95" i="5" s="1"/>
  <c r="M549" i="5"/>
  <c r="D163" i="5"/>
  <c r="D183" i="5" s="1"/>
  <c r="D14" i="5"/>
  <c r="G142" i="5"/>
  <c r="G37" i="5"/>
  <c r="G47" i="5" s="1"/>
  <c r="E65" i="5"/>
  <c r="C1090" i="5"/>
  <c r="H17" i="5"/>
  <c r="K1750" i="5"/>
  <c r="K224" i="5" s="1"/>
  <c r="L1747" i="5"/>
  <c r="E1695" i="5"/>
  <c r="E232" i="5"/>
  <c r="K111" i="5"/>
  <c r="K349" i="5"/>
  <c r="J364" i="5"/>
  <c r="M677" i="5"/>
  <c r="L679" i="5"/>
  <c r="L97" i="5" s="1"/>
  <c r="D17" i="5"/>
  <c r="E265" i="5"/>
  <c r="E36" i="5"/>
  <c r="E37" i="5" s="1"/>
  <c r="E47" i="5" s="1"/>
  <c r="K1796" i="5"/>
  <c r="K235" i="5" s="1"/>
  <c r="L1783" i="5"/>
  <c r="H1695" i="5"/>
  <c r="H2195" i="5" s="1"/>
  <c r="H232" i="5"/>
  <c r="H239" i="5" s="1"/>
  <c r="J1353" i="5"/>
  <c r="J153" i="5" s="1"/>
  <c r="K1351" i="5"/>
  <c r="I15" i="5"/>
  <c r="K110" i="5"/>
  <c r="E1231" i="5"/>
  <c r="I2162" i="5"/>
  <c r="I236" i="5"/>
  <c r="R36" i="5"/>
  <c r="I1685" i="5"/>
  <c r="K1163" i="5"/>
  <c r="J1177" i="5"/>
  <c r="J151" i="5" s="1"/>
  <c r="J154" i="5" s="1"/>
  <c r="I1615" i="5"/>
  <c r="F962" i="5"/>
  <c r="L688" i="5"/>
  <c r="M684" i="5"/>
  <c r="K1717" i="5"/>
  <c r="L1707" i="5"/>
  <c r="M1162" i="5"/>
  <c r="K1151" i="5"/>
  <c r="L1144" i="5"/>
  <c r="M970" i="5"/>
  <c r="K441" i="5"/>
  <c r="J454" i="5"/>
  <c r="K971" i="5"/>
  <c r="J977" i="5"/>
  <c r="O327" i="5"/>
  <c r="N332" i="5"/>
  <c r="N296" i="5"/>
  <c r="M312" i="5"/>
  <c r="K958" i="5"/>
  <c r="L706" i="5"/>
  <c r="K957" i="5"/>
  <c r="K960" i="5" s="1"/>
  <c r="J690" i="5"/>
  <c r="J108" i="5"/>
  <c r="L63" i="5"/>
  <c r="E580" i="5"/>
  <c r="J399" i="5"/>
  <c r="J93" i="5" s="1"/>
  <c r="M630" i="5"/>
  <c r="N612" i="5"/>
  <c r="N384" i="5"/>
  <c r="M399" i="5"/>
  <c r="M93" i="5" s="1"/>
  <c r="I314" i="5"/>
  <c r="I375" i="5" s="1"/>
  <c r="I62" i="5"/>
  <c r="I65" i="5" s="1"/>
  <c r="I20" i="5" s="1"/>
  <c r="G267" i="5"/>
  <c r="R33" i="5"/>
  <c r="R37" i="5" s="1"/>
  <c r="C267" i="5"/>
  <c r="I334" i="5"/>
  <c r="O33" i="5"/>
  <c r="O37" i="5" s="1"/>
  <c r="I37" i="5"/>
  <c r="I47" i="5" s="1"/>
  <c r="E375" i="5"/>
  <c r="F140" i="5"/>
  <c r="C114" i="5"/>
  <c r="C142" i="5" s="1"/>
  <c r="H37" i="5"/>
  <c r="H47" i="5" s="1"/>
  <c r="I12" i="4"/>
  <c r="E14" i="4"/>
  <c r="E163" i="4"/>
  <c r="J16" i="4"/>
  <c r="E191" i="4"/>
  <c r="E192" i="4" s="1"/>
  <c r="E1615" i="4"/>
  <c r="E1617" i="4" s="1"/>
  <c r="I14" i="4"/>
  <c r="C67" i="4"/>
  <c r="C12" i="4"/>
  <c r="C17" i="4" s="1"/>
  <c r="F41" i="4"/>
  <c r="F45" i="4" s="1"/>
  <c r="F47" i="4" s="1"/>
  <c r="F49" i="4" s="1"/>
  <c r="F140" i="4"/>
  <c r="D199" i="4"/>
  <c r="D215" i="4" s="1"/>
  <c r="D15" i="4"/>
  <c r="D17" i="4" s="1"/>
  <c r="I1155" i="4"/>
  <c r="I157" i="4"/>
  <c r="R36" i="4"/>
  <c r="K1750" i="4"/>
  <c r="K224" i="4" s="1"/>
  <c r="K229" i="4" s="1"/>
  <c r="L1747" i="4"/>
  <c r="J14" i="4"/>
  <c r="M1100" i="4"/>
  <c r="L1107" i="4"/>
  <c r="L772" i="4"/>
  <c r="L109" i="4" s="1"/>
  <c r="M722" i="4"/>
  <c r="E580" i="4"/>
  <c r="E1090" i="4" s="1"/>
  <c r="E132" i="4"/>
  <c r="E138" i="4" s="1"/>
  <c r="E41" i="4" s="1"/>
  <c r="E45" i="4" s="1"/>
  <c r="K679" i="4"/>
  <c r="L676" i="4"/>
  <c r="M555" i="4"/>
  <c r="M95" i="4" s="1"/>
  <c r="N549" i="4"/>
  <c r="J669" i="4"/>
  <c r="M341" i="4"/>
  <c r="L345" i="4"/>
  <c r="L58" i="4" s="1"/>
  <c r="I373" i="4"/>
  <c r="I64" i="4"/>
  <c r="C47" i="4"/>
  <c r="G85" i="4"/>
  <c r="J2175" i="4"/>
  <c r="J237" i="4"/>
  <c r="L36" i="4"/>
  <c r="J2188" i="4"/>
  <c r="K2181" i="4"/>
  <c r="I1695" i="4"/>
  <c r="I232" i="4"/>
  <c r="I239" i="4" s="1"/>
  <c r="I24" i="4" s="1"/>
  <c r="I1396" i="4"/>
  <c r="I160" i="4"/>
  <c r="L111" i="4"/>
  <c r="I1231" i="4"/>
  <c r="I158" i="4"/>
  <c r="J566" i="4"/>
  <c r="K559" i="4"/>
  <c r="K2108" i="4"/>
  <c r="K259" i="4"/>
  <c r="K263" i="4" s="1"/>
  <c r="G2195" i="4"/>
  <c r="K1585" i="4"/>
  <c r="L1572" i="4"/>
  <c r="D1399" i="4"/>
  <c r="P1783" i="4"/>
  <c r="O1796" i="4"/>
  <c r="O235" i="4" s="1"/>
  <c r="K1640" i="4"/>
  <c r="J1685" i="4"/>
  <c r="J1433" i="4"/>
  <c r="J190" i="4" s="1"/>
  <c r="J192" i="4" s="1"/>
  <c r="K1409" i="4"/>
  <c r="H1155" i="4"/>
  <c r="H1399" i="4" s="1"/>
  <c r="H157" i="4"/>
  <c r="H161" i="4" s="1"/>
  <c r="K1359" i="4"/>
  <c r="J1381" i="4"/>
  <c r="J1774" i="4"/>
  <c r="K1754" i="4"/>
  <c r="M1141" i="4"/>
  <c r="M1153" i="4" s="1"/>
  <c r="N1123" i="4"/>
  <c r="L612" i="4"/>
  <c r="K630" i="4"/>
  <c r="J1221" i="4"/>
  <c r="K1182" i="4"/>
  <c r="D1088" i="4"/>
  <c r="D111" i="4"/>
  <c r="D112" i="4" s="1"/>
  <c r="D33" i="4"/>
  <c r="D37" i="4" s="1"/>
  <c r="D47" i="4" s="1"/>
  <c r="I2162" i="4"/>
  <c r="I236" i="4"/>
  <c r="H2162" i="4"/>
  <c r="Q36" i="4"/>
  <c r="Q37" i="4" s="1"/>
  <c r="L2175" i="4"/>
  <c r="L237" i="4"/>
  <c r="L2106" i="4"/>
  <c r="M2106" i="4"/>
  <c r="L2146" i="4"/>
  <c r="K2160" i="4"/>
  <c r="J1615" i="4"/>
  <c r="K2142" i="4"/>
  <c r="K226" i="4" s="1"/>
  <c r="E1695" i="4"/>
  <c r="E222" i="4"/>
  <c r="E229" i="4" s="1"/>
  <c r="I192" i="4"/>
  <c r="K1707" i="4"/>
  <c r="J1717" i="4"/>
  <c r="N1351" i="4"/>
  <c r="M1353" i="4"/>
  <c r="M153" i="4" s="1"/>
  <c r="K1141" i="4"/>
  <c r="K1153" i="4" s="1"/>
  <c r="L1498" i="4"/>
  <c r="K1540" i="4"/>
  <c r="I1776" i="4"/>
  <c r="I234" i="4"/>
  <c r="K1118" i="4"/>
  <c r="K150" i="4" s="1"/>
  <c r="K154" i="4" s="1"/>
  <c r="J454" i="4"/>
  <c r="K441" i="4"/>
  <c r="K970" i="4"/>
  <c r="J977" i="4"/>
  <c r="J99" i="4" s="1"/>
  <c r="K717" i="4"/>
  <c r="K98" i="4" s="1"/>
  <c r="L697" i="4"/>
  <c r="E542" i="4"/>
  <c r="J481" i="4"/>
  <c r="J105" i="4" s="1"/>
  <c r="I1088" i="4"/>
  <c r="D542" i="4"/>
  <c r="D1090" i="4" s="1"/>
  <c r="L292" i="4"/>
  <c r="L56" i="4" s="1"/>
  <c r="M277" i="4"/>
  <c r="L1286" i="4"/>
  <c r="K1312" i="4"/>
  <c r="C1090" i="4"/>
  <c r="K364" i="4"/>
  <c r="L349" i="4"/>
  <c r="G17" i="4"/>
  <c r="G27" i="4" s="1"/>
  <c r="H37" i="4"/>
  <c r="H47" i="4" s="1"/>
  <c r="E183" i="4"/>
  <c r="F85" i="4"/>
  <c r="G37" i="4"/>
  <c r="G47" i="4" s="1"/>
  <c r="M36" i="4"/>
  <c r="M37" i="4" s="1"/>
  <c r="I2191" i="4"/>
  <c r="I238" i="4"/>
  <c r="I1542" i="4"/>
  <c r="I1617" i="4" s="1"/>
  <c r="I195" i="4"/>
  <c r="I197" i="4" s="1"/>
  <c r="I23" i="4" s="1"/>
  <c r="C1231" i="4"/>
  <c r="C1399" i="4" s="1"/>
  <c r="C158" i="4"/>
  <c r="C161" i="4" s="1"/>
  <c r="M111" i="4"/>
  <c r="N588" i="4"/>
  <c r="M599" i="4"/>
  <c r="M96" i="4" s="1"/>
  <c r="K1088" i="4"/>
  <c r="K111" i="4"/>
  <c r="I37" i="4"/>
  <c r="E265" i="4"/>
  <c r="E36" i="4"/>
  <c r="H1695" i="4"/>
  <c r="H2195" i="4" s="1"/>
  <c r="H232" i="4"/>
  <c r="H239" i="4" s="1"/>
  <c r="H24" i="4" s="1"/>
  <c r="K1565" i="4"/>
  <c r="K191" i="4" s="1"/>
  <c r="L1548" i="4"/>
  <c r="E1088" i="4"/>
  <c r="E111" i="4"/>
  <c r="E140" i="4"/>
  <c r="E33" i="4"/>
  <c r="L1116" i="4"/>
  <c r="M1110" i="4"/>
  <c r="N1086" i="4"/>
  <c r="O1081" i="4"/>
  <c r="K981" i="4"/>
  <c r="J1003" i="4"/>
  <c r="I962" i="4"/>
  <c r="I135" i="4"/>
  <c r="I138" i="4" s="1"/>
  <c r="L108" i="4"/>
  <c r="L332" i="4"/>
  <c r="M327" i="4"/>
  <c r="H199" i="4"/>
  <c r="H215" i="4" s="1"/>
  <c r="G183" i="4"/>
  <c r="M399" i="4"/>
  <c r="M93" i="4" s="1"/>
  <c r="N384" i="4"/>
  <c r="J314" i="4"/>
  <c r="J62" i="4"/>
  <c r="K104" i="4"/>
  <c r="K434" i="4"/>
  <c r="J323" i="4"/>
  <c r="J57" i="4" s="1"/>
  <c r="K321" i="4"/>
  <c r="E37" i="4"/>
  <c r="E47" i="4" s="1"/>
  <c r="C85" i="4"/>
  <c r="F114" i="4"/>
  <c r="F142" i="4" s="1"/>
  <c r="P36" i="4"/>
  <c r="O2028" i="4"/>
  <c r="N2106" i="4"/>
  <c r="D1776" i="4"/>
  <c r="D234" i="4"/>
  <c r="D239" i="4" s="1"/>
  <c r="D24" i="4" s="1"/>
  <c r="D2195" i="4"/>
  <c r="J2162" i="4"/>
  <c r="J236" i="4"/>
  <c r="M2142" i="4"/>
  <c r="M226" i="4" s="1"/>
  <c r="N2115" i="4"/>
  <c r="D241" i="4"/>
  <c r="D267" i="4" s="1"/>
  <c r="D16" i="4"/>
  <c r="J209" i="4"/>
  <c r="J211" i="4" s="1"/>
  <c r="I542" i="4"/>
  <c r="I94" i="4"/>
  <c r="I101" i="4" s="1"/>
  <c r="I434" i="4"/>
  <c r="I104" i="4"/>
  <c r="J1155" i="4"/>
  <c r="J157" i="4"/>
  <c r="I1066" i="4"/>
  <c r="M688" i="4"/>
  <c r="N684" i="4"/>
  <c r="M1072" i="4"/>
  <c r="L1076" i="4"/>
  <c r="L100" i="4" s="1"/>
  <c r="K63" i="4"/>
  <c r="I62" i="4"/>
  <c r="I314" i="4"/>
  <c r="R33" i="4"/>
  <c r="R37" i="4" s="1"/>
  <c r="L37" i="4"/>
  <c r="H16" i="4"/>
  <c r="H17" i="4" s="1"/>
  <c r="H241" i="4"/>
  <c r="H267" i="4" s="1"/>
  <c r="C1695" i="4"/>
  <c r="C2195" i="4" s="1"/>
  <c r="C232" i="4"/>
  <c r="C239" i="4" s="1"/>
  <c r="L2142" i="4"/>
  <c r="L226" i="4" s="1"/>
  <c r="K1438" i="4"/>
  <c r="J1484" i="4"/>
  <c r="J195" i="4" s="1"/>
  <c r="J197" i="4" s="1"/>
  <c r="J23" i="4" s="1"/>
  <c r="L1153" i="4"/>
  <c r="D580" i="4"/>
  <c r="D132" i="4"/>
  <c r="D138" i="4" s="1"/>
  <c r="D41" i="4" s="1"/>
  <c r="D45" i="4" s="1"/>
  <c r="K2175" i="4"/>
  <c r="K237" i="4"/>
  <c r="J2108" i="4"/>
  <c r="J259" i="4"/>
  <c r="J263" i="4" s="1"/>
  <c r="M2173" i="4"/>
  <c r="N2168" i="4"/>
  <c r="E2108" i="4"/>
  <c r="I16" i="4"/>
  <c r="D1615" i="4"/>
  <c r="D1617" i="4" s="1"/>
  <c r="E1231" i="4"/>
  <c r="E1399" i="4" s="1"/>
  <c r="H1542" i="4"/>
  <c r="H1617" i="4" s="1"/>
  <c r="J1088" i="4"/>
  <c r="J111" i="4"/>
  <c r="M1177" i="4"/>
  <c r="M151" i="4" s="1"/>
  <c r="N1162" i="4"/>
  <c r="J690" i="4"/>
  <c r="I580" i="4"/>
  <c r="I106" i="4"/>
  <c r="L481" i="4"/>
  <c r="L105" i="4" s="1"/>
  <c r="M473" i="4"/>
  <c r="P1144" i="4"/>
  <c r="O1151" i="4"/>
  <c r="K706" i="4"/>
  <c r="J957" i="4"/>
  <c r="J958" i="4"/>
  <c r="J434" i="4"/>
  <c r="J104" i="4"/>
  <c r="J63" i="4"/>
  <c r="J334" i="4"/>
  <c r="J59" i="4"/>
  <c r="J1344" i="4"/>
  <c r="J159" i="4"/>
  <c r="I334" i="4"/>
  <c r="I63" i="4"/>
  <c r="K312" i="4"/>
  <c r="L296" i="4"/>
  <c r="M403" i="4"/>
  <c r="L432" i="4"/>
  <c r="J373" i="4"/>
  <c r="J64" i="4"/>
  <c r="E67" i="4"/>
  <c r="E85" i="4" s="1"/>
  <c r="E12" i="4"/>
  <c r="F17" i="4"/>
  <c r="F27" i="4" s="1"/>
  <c r="O37" i="4"/>
  <c r="K37" i="4"/>
  <c r="E112" i="4"/>
  <c r="E314" i="4"/>
  <c r="E375" i="4" s="1"/>
  <c r="C213" i="4"/>
  <c r="C215" i="4" s="1"/>
  <c r="N37" i="4"/>
  <c r="P37" i="4"/>
  <c r="J14" i="5" l="1"/>
  <c r="J16" i="5"/>
  <c r="O612" i="5"/>
  <c r="N630" i="5"/>
  <c r="N312" i="5"/>
  <c r="O296" i="5"/>
  <c r="N970" i="5"/>
  <c r="L1163" i="5"/>
  <c r="K1177" i="5"/>
  <c r="K151" i="5" s="1"/>
  <c r="L1796" i="5"/>
  <c r="M1783" i="5"/>
  <c r="N341" i="5"/>
  <c r="M345" i="5"/>
  <c r="M58" i="5" s="1"/>
  <c r="P676" i="5"/>
  <c r="D24" i="5"/>
  <c r="D241" i="5"/>
  <c r="D267" i="5" s="1"/>
  <c r="J2175" i="5"/>
  <c r="J237" i="5"/>
  <c r="L292" i="5"/>
  <c r="M277" i="5"/>
  <c r="L1107" i="5"/>
  <c r="M1100" i="5"/>
  <c r="M107" i="5"/>
  <c r="J542" i="5"/>
  <c r="J94" i="5"/>
  <c r="J101" i="5" s="1"/>
  <c r="M1144" i="5"/>
  <c r="L1151" i="5"/>
  <c r="K229" i="5"/>
  <c r="M697" i="5"/>
  <c r="L717" i="5"/>
  <c r="L98" i="5" s="1"/>
  <c r="E21" i="5"/>
  <c r="E114" i="5"/>
  <c r="E142" i="5" s="1"/>
  <c r="L580" i="5"/>
  <c r="L106" i="5"/>
  <c r="L1409" i="5"/>
  <c r="K1433" i="5"/>
  <c r="K190" i="5" s="1"/>
  <c r="K1439" i="5"/>
  <c r="J1484" i="5"/>
  <c r="P2028" i="5"/>
  <c r="O2106" i="5"/>
  <c r="M722" i="5"/>
  <c r="L772" i="5"/>
  <c r="L109" i="5" s="1"/>
  <c r="L599" i="5"/>
  <c r="M588" i="5"/>
  <c r="D25" i="5"/>
  <c r="L1685" i="5"/>
  <c r="M1640" i="5"/>
  <c r="J2162" i="5"/>
  <c r="K2173" i="5"/>
  <c r="L2168" i="5"/>
  <c r="M1286" i="5"/>
  <c r="L1312" i="5"/>
  <c r="K1585" i="5"/>
  <c r="L1572" i="5"/>
  <c r="L1774" i="5"/>
  <c r="M1754" i="5"/>
  <c r="M44" i="5"/>
  <c r="M265" i="5"/>
  <c r="K1076" i="5"/>
  <c r="L1072" i="5"/>
  <c r="P327" i="5"/>
  <c r="O332" i="5"/>
  <c r="K454" i="5"/>
  <c r="L441" i="5"/>
  <c r="K233" i="5"/>
  <c r="K1740" i="5"/>
  <c r="E1399" i="5"/>
  <c r="H24" i="5"/>
  <c r="H241" i="5"/>
  <c r="H267" i="5" s="1"/>
  <c r="J373" i="5"/>
  <c r="J64" i="5"/>
  <c r="J65" i="5" s="1"/>
  <c r="J20" i="5" s="1"/>
  <c r="E239" i="5"/>
  <c r="K323" i="5"/>
  <c r="L321" i="5"/>
  <c r="L111" i="5"/>
  <c r="E1090" i="5"/>
  <c r="J1155" i="5"/>
  <c r="J157" i="5"/>
  <c r="J161" i="5" s="1"/>
  <c r="J22" i="5" s="1"/>
  <c r="J15" i="5"/>
  <c r="I195" i="5"/>
  <c r="I197" i="5" s="1"/>
  <c r="I1542" i="5"/>
  <c r="I1617" i="5" s="1"/>
  <c r="J1396" i="5"/>
  <c r="N259" i="5"/>
  <c r="N263" i="5" s="1"/>
  <c r="K580" i="5"/>
  <c r="K106" i="5"/>
  <c r="J375" i="5"/>
  <c r="N473" i="5"/>
  <c r="M481" i="5"/>
  <c r="M105" i="5" s="1"/>
  <c r="L403" i="5"/>
  <c r="K432" i="5"/>
  <c r="K1695" i="5"/>
  <c r="K232" i="5"/>
  <c r="M2191" i="5"/>
  <c r="M238" i="5"/>
  <c r="K1344" i="5"/>
  <c r="K159" i="5"/>
  <c r="K236" i="5"/>
  <c r="K1776" i="5"/>
  <c r="K234" i="5"/>
  <c r="I112" i="5"/>
  <c r="I21" i="5" s="1"/>
  <c r="L110" i="5"/>
  <c r="M1540" i="5"/>
  <c r="N1498" i="5"/>
  <c r="F142" i="5"/>
  <c r="I67" i="5"/>
  <c r="I85" i="5" s="1"/>
  <c r="E163" i="5"/>
  <c r="E183" i="5" s="1"/>
  <c r="N399" i="5"/>
  <c r="N93" i="5" s="1"/>
  <c r="O384" i="5"/>
  <c r="M62" i="5"/>
  <c r="J99" i="5"/>
  <c r="J1066" i="5"/>
  <c r="N684" i="5"/>
  <c r="M688" i="5"/>
  <c r="L1351" i="5"/>
  <c r="K1353" i="5"/>
  <c r="K364" i="5"/>
  <c r="L349" i="5"/>
  <c r="E2195" i="5"/>
  <c r="E20" i="5"/>
  <c r="E67" i="5"/>
  <c r="E85" i="5" s="1"/>
  <c r="G49" i="5"/>
  <c r="J1088" i="5"/>
  <c r="J57" i="5"/>
  <c r="J59" i="5" s="1"/>
  <c r="J334" i="5"/>
  <c r="I114" i="5"/>
  <c r="I142" i="5" s="1"/>
  <c r="I13" i="5"/>
  <c r="K1141" i="5"/>
  <c r="K1153" i="5" s="1"/>
  <c r="L1123" i="5"/>
  <c r="M1438" i="5"/>
  <c r="J1231" i="5"/>
  <c r="J158" i="5"/>
  <c r="N1359" i="5"/>
  <c r="M1381" i="5"/>
  <c r="L2115" i="5"/>
  <c r="K2142" i="5"/>
  <c r="K226" i="5" s="1"/>
  <c r="J434" i="5"/>
  <c r="J104" i="5"/>
  <c r="J112" i="5" s="1"/>
  <c r="J21" i="5" s="1"/>
  <c r="K690" i="5"/>
  <c r="I1399" i="5"/>
  <c r="O2181" i="5"/>
  <c r="N2188" i="5"/>
  <c r="M1110" i="5"/>
  <c r="L1116" i="5"/>
  <c r="J1695" i="5"/>
  <c r="J232" i="5"/>
  <c r="L2160" i="5"/>
  <c r="M2146" i="5"/>
  <c r="K43" i="5"/>
  <c r="K213" i="5"/>
  <c r="K44" i="5"/>
  <c r="K265" i="5"/>
  <c r="I1090" i="5"/>
  <c r="M1003" i="5"/>
  <c r="N981" i="5"/>
  <c r="L209" i="5"/>
  <c r="L211" i="5" s="1"/>
  <c r="D49" i="5"/>
  <c r="C17" i="5"/>
  <c r="C27" i="5" s="1"/>
  <c r="C49" i="5" s="1"/>
  <c r="L971" i="5"/>
  <c r="K977" i="5"/>
  <c r="L690" i="5"/>
  <c r="L108" i="5"/>
  <c r="D27" i="5"/>
  <c r="N559" i="5"/>
  <c r="M566" i="5"/>
  <c r="K1221" i="5"/>
  <c r="L1182" i="5"/>
  <c r="K96" i="5"/>
  <c r="K669" i="5"/>
  <c r="H22" i="5"/>
  <c r="H163" i="5"/>
  <c r="H183" i="5" s="1"/>
  <c r="M706" i="5"/>
  <c r="L957" i="5"/>
  <c r="L960" i="5" s="1"/>
  <c r="L958" i="5"/>
  <c r="I1695" i="5"/>
  <c r="I2195" i="5" s="1"/>
  <c r="I232" i="5"/>
  <c r="I239" i="5" s="1"/>
  <c r="N677" i="5"/>
  <c r="M679" i="5"/>
  <c r="M97" i="5" s="1"/>
  <c r="N1081" i="5"/>
  <c r="M1086" i="5"/>
  <c r="L44" i="5"/>
  <c r="L265" i="5"/>
  <c r="D1090" i="5"/>
  <c r="L1550" i="5"/>
  <c r="K1565" i="5"/>
  <c r="K191" i="5" s="1"/>
  <c r="F49" i="5"/>
  <c r="K1118" i="5"/>
  <c r="K150" i="5" s="1"/>
  <c r="I17" i="5"/>
  <c r="J41" i="5"/>
  <c r="J45" i="5" s="1"/>
  <c r="J47" i="5" s="1"/>
  <c r="J140" i="5"/>
  <c r="K962" i="5"/>
  <c r="K135" i="5"/>
  <c r="K138" i="5" s="1"/>
  <c r="N1162" i="5"/>
  <c r="M1747" i="5"/>
  <c r="L1750" i="5"/>
  <c r="L224" i="5" s="1"/>
  <c r="N549" i="5"/>
  <c r="M555" i="5"/>
  <c r="M95" i="5" s="1"/>
  <c r="L160" i="5"/>
  <c r="I161" i="5"/>
  <c r="N1548" i="5"/>
  <c r="J196" i="5"/>
  <c r="J1615" i="5"/>
  <c r="N63" i="5"/>
  <c r="M1707" i="5"/>
  <c r="L1717" i="5"/>
  <c r="I13" i="4"/>
  <c r="M432" i="4"/>
  <c r="N403" i="4"/>
  <c r="N688" i="4"/>
  <c r="O684" i="4"/>
  <c r="N2108" i="4"/>
  <c r="N259" i="4"/>
  <c r="N263" i="4" s="1"/>
  <c r="K373" i="4"/>
  <c r="K64" i="4"/>
  <c r="L441" i="4"/>
  <c r="K454" i="4"/>
  <c r="M2108" i="4"/>
  <c r="M259" i="4"/>
  <c r="M263" i="4" s="1"/>
  <c r="J1776" i="4"/>
  <c r="J234" i="4"/>
  <c r="K1685" i="4"/>
  <c r="L1640" i="4"/>
  <c r="I1399" i="4"/>
  <c r="M1107" i="4"/>
  <c r="N1100" i="4"/>
  <c r="I17" i="4"/>
  <c r="L312" i="4"/>
  <c r="M296" i="4"/>
  <c r="Q1144" i="4"/>
  <c r="P1151" i="4"/>
  <c r="O2168" i="4"/>
  <c r="N2173" i="4"/>
  <c r="L1155" i="4"/>
  <c r="L157" i="4"/>
  <c r="C24" i="4"/>
  <c r="C241" i="4"/>
  <c r="C267" i="4" s="1"/>
  <c r="M108" i="4"/>
  <c r="J43" i="4"/>
  <c r="J213" i="4"/>
  <c r="N2142" i="4"/>
  <c r="N226" i="4" s="1"/>
  <c r="O2115" i="4"/>
  <c r="O2106" i="4"/>
  <c r="P2028" i="4"/>
  <c r="L321" i="4"/>
  <c r="K323" i="4"/>
  <c r="P1081" i="4"/>
  <c r="O1086" i="4"/>
  <c r="N277" i="4"/>
  <c r="M292" i="4"/>
  <c r="M56" i="4" s="1"/>
  <c r="J542" i="4"/>
  <c r="J94" i="4"/>
  <c r="J101" i="4" s="1"/>
  <c r="O1351" i="4"/>
  <c r="N1353" i="4"/>
  <c r="N153" i="4" s="1"/>
  <c r="E16" i="4"/>
  <c r="E241" i="4"/>
  <c r="K2162" i="4"/>
  <c r="K236" i="4"/>
  <c r="J1396" i="4"/>
  <c r="J160" i="4"/>
  <c r="K1433" i="4"/>
  <c r="K190" i="4" s="1"/>
  <c r="K192" i="4" s="1"/>
  <c r="L1409" i="4"/>
  <c r="K1615" i="4"/>
  <c r="K196" i="4"/>
  <c r="K566" i="4"/>
  <c r="L559" i="4"/>
  <c r="N341" i="4"/>
  <c r="M345" i="4"/>
  <c r="M58" i="4" s="1"/>
  <c r="M676" i="4"/>
  <c r="L679" i="4"/>
  <c r="N722" i="4"/>
  <c r="M772" i="4"/>
  <c r="M109" i="4" s="1"/>
  <c r="K62" i="4"/>
  <c r="K65" i="4" s="1"/>
  <c r="K20" i="4" s="1"/>
  <c r="K314" i="4"/>
  <c r="E21" i="4"/>
  <c r="E25" i="4" s="1"/>
  <c r="E114" i="4"/>
  <c r="E142" i="4" s="1"/>
  <c r="L434" i="4"/>
  <c r="L104" i="4"/>
  <c r="K957" i="4"/>
  <c r="L706" i="4"/>
  <c r="K958" i="4"/>
  <c r="O1162" i="4"/>
  <c r="N1177" i="4"/>
  <c r="N151" i="4" s="1"/>
  <c r="I241" i="4"/>
  <c r="I267" i="4" s="1"/>
  <c r="J44" i="4"/>
  <c r="J265" i="4"/>
  <c r="K1484" i="4"/>
  <c r="K195" i="4" s="1"/>
  <c r="K197" i="4" s="1"/>
  <c r="K23" i="4" s="1"/>
  <c r="L1438" i="4"/>
  <c r="I65" i="4"/>
  <c r="N1072" i="4"/>
  <c r="M1076" i="4"/>
  <c r="J161" i="4"/>
  <c r="N399" i="4"/>
  <c r="N93" i="4" s="1"/>
  <c r="O384" i="4"/>
  <c r="N327" i="4"/>
  <c r="M332" i="4"/>
  <c r="J110" i="4"/>
  <c r="J1066" i="4"/>
  <c r="N1110" i="4"/>
  <c r="M1116" i="4"/>
  <c r="N599" i="4"/>
  <c r="N96" i="4" s="1"/>
  <c r="O588" i="4"/>
  <c r="M349" i="4"/>
  <c r="L364" i="4"/>
  <c r="K159" i="4"/>
  <c r="K1344" i="4"/>
  <c r="L970" i="4"/>
  <c r="K977" i="4"/>
  <c r="K99" i="4" s="1"/>
  <c r="K1155" i="4"/>
  <c r="K157" i="4"/>
  <c r="L1707" i="4"/>
  <c r="K1717" i="4"/>
  <c r="D21" i="4"/>
  <c r="D25" i="4" s="1"/>
  <c r="D27" i="4" s="1"/>
  <c r="D49" i="4" s="1"/>
  <c r="D114" i="4"/>
  <c r="K669" i="4"/>
  <c r="K107" i="4"/>
  <c r="K1774" i="4"/>
  <c r="L1754" i="4"/>
  <c r="H22" i="4"/>
  <c r="H25" i="4" s="1"/>
  <c r="H27" i="4" s="1"/>
  <c r="H49" i="4" s="1"/>
  <c r="H163" i="4"/>
  <c r="H183" i="4" s="1"/>
  <c r="J1695" i="4"/>
  <c r="J232" i="4"/>
  <c r="K265" i="4"/>
  <c r="K44" i="4"/>
  <c r="L2181" i="4"/>
  <c r="K2188" i="4"/>
  <c r="N555" i="4"/>
  <c r="N95" i="4" s="1"/>
  <c r="O549" i="4"/>
  <c r="L1118" i="4"/>
  <c r="L150" i="4" s="1"/>
  <c r="L154" i="4" s="1"/>
  <c r="L1750" i="4"/>
  <c r="L224" i="4" s="1"/>
  <c r="L229" i="4" s="1"/>
  <c r="M1747" i="4"/>
  <c r="I161" i="4"/>
  <c r="J12" i="4"/>
  <c r="L63" i="4"/>
  <c r="L981" i="4"/>
  <c r="K1003" i="4"/>
  <c r="I47" i="4"/>
  <c r="L1312" i="4"/>
  <c r="M1286" i="4"/>
  <c r="M697" i="4"/>
  <c r="I15" i="4"/>
  <c r="I199" i="4"/>
  <c r="I215" i="4" s="1"/>
  <c r="M612" i="4"/>
  <c r="L630" i="4"/>
  <c r="M1572" i="4"/>
  <c r="L1585" i="4"/>
  <c r="J2191" i="4"/>
  <c r="J238" i="4"/>
  <c r="K16" i="4"/>
  <c r="I112" i="4"/>
  <c r="I21" i="4" s="1"/>
  <c r="J65" i="4"/>
  <c r="J20" i="4" s="1"/>
  <c r="I41" i="4"/>
  <c r="I45" i="4" s="1"/>
  <c r="I140" i="4"/>
  <c r="L1565" i="4"/>
  <c r="L191" i="4" s="1"/>
  <c r="M1548" i="4"/>
  <c r="K209" i="4"/>
  <c r="K211" i="4" s="1"/>
  <c r="L2108" i="4"/>
  <c r="L259" i="4"/>
  <c r="L263" i="4" s="1"/>
  <c r="K1221" i="4"/>
  <c r="L1182" i="4"/>
  <c r="N1141" i="4"/>
  <c r="N1153" i="4" s="1"/>
  <c r="O1123" i="4"/>
  <c r="J960" i="4"/>
  <c r="M481" i="4"/>
  <c r="M105" i="4" s="1"/>
  <c r="N473" i="4"/>
  <c r="M2175" i="4"/>
  <c r="M237" i="4"/>
  <c r="I375" i="4"/>
  <c r="I1090" i="4"/>
  <c r="J1542" i="4"/>
  <c r="J1617" i="4" s="1"/>
  <c r="J375" i="4"/>
  <c r="N111" i="4"/>
  <c r="E267" i="4"/>
  <c r="C22" i="4"/>
  <c r="C25" i="4" s="1"/>
  <c r="C27" i="4" s="1"/>
  <c r="C49" i="4" s="1"/>
  <c r="C163" i="4"/>
  <c r="C183" i="4" s="1"/>
  <c r="G49" i="4"/>
  <c r="K14" i="4"/>
  <c r="L1540" i="4"/>
  <c r="M1498" i="4"/>
  <c r="J233" i="4"/>
  <c r="J1740" i="4"/>
  <c r="E2195" i="4"/>
  <c r="L2160" i="4"/>
  <c r="M2146" i="4"/>
  <c r="D140" i="4"/>
  <c r="J1231" i="4"/>
  <c r="J158" i="4"/>
  <c r="M157" i="4"/>
  <c r="K1381" i="4"/>
  <c r="L1359" i="4"/>
  <c r="J15" i="4"/>
  <c r="J199" i="4"/>
  <c r="J215" i="4" s="1"/>
  <c r="P1796" i="4"/>
  <c r="P235" i="4" s="1"/>
  <c r="Q1783" i="4"/>
  <c r="J580" i="4"/>
  <c r="J106" i="4"/>
  <c r="J112" i="4" s="1"/>
  <c r="J21" i="4" s="1"/>
  <c r="L1088" i="4"/>
  <c r="I2195" i="4"/>
  <c r="K97" i="4"/>
  <c r="K690" i="4"/>
  <c r="E15" i="4"/>
  <c r="E17" i="4" s="1"/>
  <c r="E27" i="4" s="1"/>
  <c r="E49" i="4" s="1"/>
  <c r="E199" i="4"/>
  <c r="E215" i="4" s="1"/>
  <c r="J114" i="5" l="1"/>
  <c r="J142" i="5" s="1"/>
  <c r="J13" i="5"/>
  <c r="K41" i="5"/>
  <c r="K45" i="5" s="1"/>
  <c r="K47" i="5" s="1"/>
  <c r="K140" i="5"/>
  <c r="O677" i="5"/>
  <c r="N679" i="5"/>
  <c r="N97" i="5" s="1"/>
  <c r="K1155" i="5"/>
  <c r="K157" i="5"/>
  <c r="K373" i="5"/>
  <c r="K64" i="5"/>
  <c r="K65" i="5" s="1"/>
  <c r="K20" i="5" s="1"/>
  <c r="M690" i="5"/>
  <c r="M108" i="5"/>
  <c r="E24" i="5"/>
  <c r="E25" i="5" s="1"/>
  <c r="E27" i="5" s="1"/>
  <c r="E49" i="5" s="1"/>
  <c r="E241" i="5"/>
  <c r="E267" i="5" s="1"/>
  <c r="L1344" i="5"/>
  <c r="L159" i="5"/>
  <c r="M599" i="5"/>
  <c r="N588" i="5"/>
  <c r="L1439" i="5"/>
  <c r="K1484" i="5"/>
  <c r="N697" i="5"/>
  <c r="M717" i="5"/>
  <c r="M98" i="5" s="1"/>
  <c r="N1100" i="5"/>
  <c r="M1107" i="5"/>
  <c r="Q676" i="5"/>
  <c r="O970" i="5"/>
  <c r="I24" i="5"/>
  <c r="I241" i="5"/>
  <c r="I267" i="5" s="1"/>
  <c r="L236" i="5"/>
  <c r="M160" i="5"/>
  <c r="N688" i="5"/>
  <c r="O684" i="5"/>
  <c r="I23" i="5"/>
  <c r="I199" i="5"/>
  <c r="I215" i="5" s="1"/>
  <c r="L233" i="5"/>
  <c r="L1740" i="5"/>
  <c r="O1162" i="5"/>
  <c r="O1081" i="5"/>
  <c r="N1086" i="5"/>
  <c r="K99" i="5"/>
  <c r="K1066" i="5"/>
  <c r="M110" i="5"/>
  <c r="J239" i="5"/>
  <c r="N1381" i="5"/>
  <c r="O1359" i="5"/>
  <c r="O399" i="5"/>
  <c r="O93" i="5" s="1"/>
  <c r="P384" i="5"/>
  <c r="K434" i="5"/>
  <c r="K104" i="5"/>
  <c r="K112" i="5" s="1"/>
  <c r="K21" i="5" s="1"/>
  <c r="L323" i="5"/>
  <c r="M321" i="5"/>
  <c r="M1572" i="5"/>
  <c r="L1585" i="5"/>
  <c r="L2173" i="5"/>
  <c r="M2168" i="5"/>
  <c r="P2106" i="5"/>
  <c r="Q2028" i="5"/>
  <c r="L1433" i="5"/>
  <c r="L190" i="5" s="1"/>
  <c r="L192" i="5" s="1"/>
  <c r="M1409" i="5"/>
  <c r="O312" i="5"/>
  <c r="P296" i="5"/>
  <c r="J163" i="5"/>
  <c r="J183" i="5" s="1"/>
  <c r="M1717" i="5"/>
  <c r="N1707" i="5"/>
  <c r="I22" i="5"/>
  <c r="I25" i="5" s="1"/>
  <c r="I27" i="5" s="1"/>
  <c r="I49" i="5" s="1"/>
  <c r="I163" i="5"/>
  <c r="I183" i="5" s="1"/>
  <c r="N555" i="5"/>
  <c r="N95" i="5" s="1"/>
  <c r="O549" i="5"/>
  <c r="H25" i="5"/>
  <c r="H27" i="5" s="1"/>
  <c r="H49" i="5" s="1"/>
  <c r="L1221" i="5"/>
  <c r="M1182" i="5"/>
  <c r="M971" i="5"/>
  <c r="L977" i="5"/>
  <c r="L213" i="5"/>
  <c r="L43" i="5"/>
  <c r="J2195" i="5"/>
  <c r="O2188" i="5"/>
  <c r="P2181" i="5"/>
  <c r="J1090" i="5"/>
  <c r="L1141" i="5"/>
  <c r="L1153" i="5" s="1"/>
  <c r="M1123" i="5"/>
  <c r="M349" i="5"/>
  <c r="L364" i="5"/>
  <c r="M1351" i="5"/>
  <c r="L1353" i="5"/>
  <c r="N1540" i="5"/>
  <c r="O1498" i="5"/>
  <c r="K2162" i="5"/>
  <c r="L432" i="5"/>
  <c r="M403" i="5"/>
  <c r="J1399" i="5"/>
  <c r="K57" i="5"/>
  <c r="K59" i="5" s="1"/>
  <c r="K334" i="5"/>
  <c r="K375" i="5" s="1"/>
  <c r="O63" i="5"/>
  <c r="K1615" i="5"/>
  <c r="K196" i="5"/>
  <c r="K2175" i="5"/>
  <c r="K2195" i="5" s="1"/>
  <c r="K237" i="5"/>
  <c r="M772" i="5"/>
  <c r="M109" i="5" s="1"/>
  <c r="N722" i="5"/>
  <c r="J1542" i="5"/>
  <c r="J1617" i="5" s="1"/>
  <c r="J195" i="5"/>
  <c r="J197" i="5" s="1"/>
  <c r="M1151" i="5"/>
  <c r="N1144" i="5"/>
  <c r="L56" i="5"/>
  <c r="L314" i="5"/>
  <c r="N345" i="5"/>
  <c r="N58" i="5" s="1"/>
  <c r="O341" i="5"/>
  <c r="M1163" i="5"/>
  <c r="L1177" i="5"/>
  <c r="L151" i="5" s="1"/>
  <c r="N62" i="5"/>
  <c r="L229" i="5"/>
  <c r="K1231" i="5"/>
  <c r="K158" i="5"/>
  <c r="M2160" i="5"/>
  <c r="N2146" i="5"/>
  <c r="L1076" i="5"/>
  <c r="M1072" i="5"/>
  <c r="N107" i="5"/>
  <c r="O1548" i="5"/>
  <c r="M1750" i="5"/>
  <c r="M224" i="5" s="1"/>
  <c r="N1747" i="5"/>
  <c r="M1550" i="5"/>
  <c r="L1565" i="5"/>
  <c r="L191" i="5" s="1"/>
  <c r="M580" i="5"/>
  <c r="M106" i="5"/>
  <c r="N1003" i="5"/>
  <c r="O981" i="5"/>
  <c r="M1116" i="5"/>
  <c r="N1110" i="5"/>
  <c r="N481" i="5"/>
  <c r="N105" i="5" s="1"/>
  <c r="O473" i="5"/>
  <c r="N44" i="5"/>
  <c r="N265" i="5"/>
  <c r="L454" i="5"/>
  <c r="M441" i="5"/>
  <c r="K100" i="5"/>
  <c r="K1088" i="5"/>
  <c r="L1776" i="5"/>
  <c r="L234" i="5"/>
  <c r="N1286" i="5"/>
  <c r="M1312" i="5"/>
  <c r="N1640" i="5"/>
  <c r="M1685" i="5"/>
  <c r="L96" i="5"/>
  <c r="L669" i="5"/>
  <c r="O259" i="5"/>
  <c r="O263" i="5" s="1"/>
  <c r="K192" i="5"/>
  <c r="K16" i="5"/>
  <c r="L1118" i="5"/>
  <c r="L150" i="5" s="1"/>
  <c r="L235" i="5"/>
  <c r="L2108" i="5"/>
  <c r="P612" i="5"/>
  <c r="O630" i="5"/>
  <c r="L962" i="5"/>
  <c r="L135" i="5"/>
  <c r="L138" i="5" s="1"/>
  <c r="L2142" i="5"/>
  <c r="L226" i="5" s="1"/>
  <c r="M2115" i="5"/>
  <c r="J67" i="5"/>
  <c r="J85" i="5" s="1"/>
  <c r="J12" i="5"/>
  <c r="J17" i="5" s="1"/>
  <c r="M209" i="5"/>
  <c r="M211" i="5" s="1"/>
  <c r="K239" i="5"/>
  <c r="K24" i="5" s="1"/>
  <c r="P332" i="5"/>
  <c r="Q327" i="5"/>
  <c r="M1774" i="5"/>
  <c r="N1754" i="5"/>
  <c r="N1783" i="5"/>
  <c r="M1796" i="5"/>
  <c r="M111" i="5"/>
  <c r="M957" i="5"/>
  <c r="M958" i="5"/>
  <c r="N706" i="5"/>
  <c r="N1438" i="5"/>
  <c r="O559" i="5"/>
  <c r="N566" i="5"/>
  <c r="N2191" i="5"/>
  <c r="N238" i="5"/>
  <c r="K153" i="5"/>
  <c r="K154" i="5" s="1"/>
  <c r="K1396" i="5"/>
  <c r="K1399" i="5" s="1"/>
  <c r="K542" i="5"/>
  <c r="K94" i="5"/>
  <c r="L1695" i="5"/>
  <c r="L232" i="5"/>
  <c r="M292" i="5"/>
  <c r="N277" i="5"/>
  <c r="O1141" i="4"/>
  <c r="O1153" i="4" s="1"/>
  <c r="P1123" i="4"/>
  <c r="N1548" i="4"/>
  <c r="M1565" i="4"/>
  <c r="M191" i="4" s="1"/>
  <c r="N1572" i="4"/>
  <c r="M1585" i="4"/>
  <c r="L1003" i="4"/>
  <c r="M981" i="4"/>
  <c r="I22" i="4"/>
  <c r="I163" i="4"/>
  <c r="I183" i="4" s="1"/>
  <c r="K233" i="4"/>
  <c r="K1740" i="4"/>
  <c r="L373" i="4"/>
  <c r="L64" i="4"/>
  <c r="M63" i="4"/>
  <c r="M559" i="4"/>
  <c r="L566" i="4"/>
  <c r="M1409" i="4"/>
  <c r="L1433" i="4"/>
  <c r="L190" i="4" s="1"/>
  <c r="L192" i="4" s="1"/>
  <c r="O2142" i="4"/>
  <c r="O226" i="4" s="1"/>
  <c r="P2115" i="4"/>
  <c r="L1685" i="4"/>
  <c r="M1640" i="4"/>
  <c r="N432" i="4"/>
  <c r="O403" i="4"/>
  <c r="L107" i="4"/>
  <c r="L669" i="4"/>
  <c r="N1747" i="4"/>
  <c r="M1750" i="4"/>
  <c r="M224" i="4" s="1"/>
  <c r="M229" i="4" s="1"/>
  <c r="L1717" i="4"/>
  <c r="M1707" i="4"/>
  <c r="L977" i="4"/>
  <c r="L99" i="4" s="1"/>
  <c r="M970" i="4"/>
  <c r="M364" i="4"/>
  <c r="N349" i="4"/>
  <c r="O327" i="4"/>
  <c r="N332" i="4"/>
  <c r="J22" i="4"/>
  <c r="J163" i="4"/>
  <c r="J183" i="4" s="1"/>
  <c r="L958" i="4"/>
  <c r="M706" i="4"/>
  <c r="L957" i="4"/>
  <c r="K199" i="4"/>
  <c r="K215" i="4" s="1"/>
  <c r="K15" i="4"/>
  <c r="P1351" i="4"/>
  <c r="O1353" i="4"/>
  <c r="O153" i="4" s="1"/>
  <c r="N292" i="4"/>
  <c r="N56" i="4" s="1"/>
  <c r="O277" i="4"/>
  <c r="L323" i="4"/>
  <c r="M321" i="4"/>
  <c r="K1695" i="4"/>
  <c r="K2195" i="4" s="1"/>
  <c r="K232" i="4"/>
  <c r="O688" i="4"/>
  <c r="P684" i="4"/>
  <c r="K1396" i="4"/>
  <c r="K1399" i="4" s="1"/>
  <c r="K160" i="4"/>
  <c r="L209" i="4"/>
  <c r="L211" i="4" s="1"/>
  <c r="K1231" i="4"/>
  <c r="K158" i="4"/>
  <c r="K1542" i="4"/>
  <c r="L196" i="4"/>
  <c r="L1615" i="4"/>
  <c r="L717" i="4"/>
  <c r="L98" i="4" s="1"/>
  <c r="K110" i="4"/>
  <c r="K1066" i="4"/>
  <c r="L14" i="4"/>
  <c r="L2188" i="4"/>
  <c r="M2181" i="4"/>
  <c r="J2195" i="4"/>
  <c r="K1776" i="4"/>
  <c r="K234" i="4"/>
  <c r="N1076" i="4"/>
  <c r="O1072" i="4"/>
  <c r="P1162" i="4"/>
  <c r="O1177" i="4"/>
  <c r="O151" i="4" s="1"/>
  <c r="K375" i="4"/>
  <c r="L97" i="4"/>
  <c r="L690" i="4"/>
  <c r="K1617" i="4"/>
  <c r="J1399" i="4"/>
  <c r="Q1081" i="4"/>
  <c r="P1086" i="4"/>
  <c r="O2108" i="4"/>
  <c r="O259" i="4"/>
  <c r="O263" i="4" s="1"/>
  <c r="O2173" i="4"/>
  <c r="P2168" i="4"/>
  <c r="L314" i="4"/>
  <c r="L62" i="4"/>
  <c r="L454" i="4"/>
  <c r="M441" i="4"/>
  <c r="N44" i="4"/>
  <c r="N265" i="4"/>
  <c r="O473" i="4"/>
  <c r="N481" i="4"/>
  <c r="N105" i="4" s="1"/>
  <c r="L44" i="4"/>
  <c r="L265" i="4"/>
  <c r="M1312" i="4"/>
  <c r="N1286" i="4"/>
  <c r="O555" i="4"/>
  <c r="O95" i="4" s="1"/>
  <c r="P549" i="4"/>
  <c r="I20" i="4"/>
  <c r="I25" i="4" s="1"/>
  <c r="I27" i="4" s="1"/>
  <c r="I49" i="4" s="1"/>
  <c r="I67" i="4"/>
  <c r="I85" i="4" s="1"/>
  <c r="M679" i="4"/>
  <c r="N676" i="4"/>
  <c r="K57" i="4"/>
  <c r="K59" i="4" s="1"/>
  <c r="K334" i="4"/>
  <c r="M44" i="4"/>
  <c r="M265" i="4"/>
  <c r="M2160" i="4"/>
  <c r="N2146" i="4"/>
  <c r="N157" i="4"/>
  <c r="L159" i="4"/>
  <c r="L1344" i="4"/>
  <c r="J17" i="4"/>
  <c r="O1110" i="4"/>
  <c r="N1116" i="4"/>
  <c r="M1438" i="4"/>
  <c r="L1484" i="4"/>
  <c r="L195" i="4" s="1"/>
  <c r="L197" i="4" s="1"/>
  <c r="L23" i="4" s="1"/>
  <c r="K580" i="4"/>
  <c r="K106" i="4"/>
  <c r="K112" i="4" s="1"/>
  <c r="K21" i="4" s="1"/>
  <c r="Q1151" i="4"/>
  <c r="R1144" i="4"/>
  <c r="R1151" i="4" s="1"/>
  <c r="N1107" i="4"/>
  <c r="N1118" i="4" s="1"/>
  <c r="N150" i="4" s="1"/>
  <c r="N154" i="4" s="1"/>
  <c r="O1100" i="4"/>
  <c r="M434" i="4"/>
  <c r="M104" i="4"/>
  <c r="Q1796" i="4"/>
  <c r="Q235" i="4" s="1"/>
  <c r="R1783" i="4"/>
  <c r="R1796" i="4" s="1"/>
  <c r="R235" i="4" s="1"/>
  <c r="L1381" i="4"/>
  <c r="M1359" i="4"/>
  <c r="L2162" i="4"/>
  <c r="L236" i="4"/>
  <c r="N1498" i="4"/>
  <c r="M1540" i="4"/>
  <c r="J962" i="4"/>
  <c r="J1090" i="4" s="1"/>
  <c r="J135" i="4"/>
  <c r="J138" i="4" s="1"/>
  <c r="M1182" i="4"/>
  <c r="L1221" i="4"/>
  <c r="K43" i="4"/>
  <c r="K213" i="4"/>
  <c r="M630" i="4"/>
  <c r="N612" i="4"/>
  <c r="N697" i="4"/>
  <c r="M717" i="4"/>
  <c r="M98" i="4" s="1"/>
  <c r="J67" i="4"/>
  <c r="J85" i="4" s="1"/>
  <c r="L16" i="4"/>
  <c r="K2191" i="4"/>
  <c r="K238" i="4"/>
  <c r="J239" i="4"/>
  <c r="L1774" i="4"/>
  <c r="M1754" i="4"/>
  <c r="D142" i="4"/>
  <c r="K161" i="4"/>
  <c r="O599" i="4"/>
  <c r="O96" i="4" s="1"/>
  <c r="P588" i="4"/>
  <c r="O399" i="4"/>
  <c r="O93" i="4" s="1"/>
  <c r="P384" i="4"/>
  <c r="M100" i="4"/>
  <c r="M1088" i="4"/>
  <c r="K960" i="4"/>
  <c r="N772" i="4"/>
  <c r="N109" i="4" s="1"/>
  <c r="O722" i="4"/>
  <c r="N345" i="4"/>
  <c r="N58" i="4" s="1"/>
  <c r="O341" i="4"/>
  <c r="J114" i="4"/>
  <c r="J13" i="4"/>
  <c r="O111" i="4"/>
  <c r="P2106" i="4"/>
  <c r="Q2028" i="4"/>
  <c r="N2175" i="4"/>
  <c r="N237" i="4"/>
  <c r="M312" i="4"/>
  <c r="N296" i="4"/>
  <c r="M1118" i="4"/>
  <c r="K542" i="4"/>
  <c r="K94" i="4"/>
  <c r="K101" i="4" s="1"/>
  <c r="N108" i="4"/>
  <c r="I114" i="4"/>
  <c r="I142" i="4" s="1"/>
  <c r="K14" i="5" l="1"/>
  <c r="M432" i="5"/>
  <c r="N403" i="5"/>
  <c r="L2175" i="5"/>
  <c r="L237" i="5"/>
  <c r="L239" i="5" s="1"/>
  <c r="P399" i="5"/>
  <c r="P93" i="5" s="1"/>
  <c r="Q384" i="5"/>
  <c r="N599" i="5"/>
  <c r="O588" i="5"/>
  <c r="N580" i="5"/>
  <c r="N106" i="5"/>
  <c r="O1754" i="5"/>
  <c r="N1774" i="5"/>
  <c r="M236" i="5"/>
  <c r="P341" i="5"/>
  <c r="O345" i="5"/>
  <c r="O58" i="5" s="1"/>
  <c r="O1144" i="5"/>
  <c r="N1151" i="5"/>
  <c r="M364" i="5"/>
  <c r="N349" i="5"/>
  <c r="P2188" i="5"/>
  <c r="Q2181" i="5"/>
  <c r="P549" i="5"/>
  <c r="O555" i="5"/>
  <c r="O95" i="5" s="1"/>
  <c r="Q2106" i="5"/>
  <c r="R2028" i="5"/>
  <c r="R2106" i="5" s="1"/>
  <c r="N111" i="5"/>
  <c r="M96" i="5"/>
  <c r="M669" i="5"/>
  <c r="L2195" i="5"/>
  <c r="M1776" i="5"/>
  <c r="M234" i="5"/>
  <c r="M43" i="5"/>
  <c r="M213" i="5"/>
  <c r="M2142" i="5"/>
  <c r="M226" i="5" s="1"/>
  <c r="N2115" i="5"/>
  <c r="K15" i="5"/>
  <c r="O1286" i="5"/>
  <c r="N1312" i="5"/>
  <c r="N110" i="5"/>
  <c r="P1548" i="5"/>
  <c r="N292" i="5"/>
  <c r="O277" i="5"/>
  <c r="K101" i="5"/>
  <c r="O1438" i="5"/>
  <c r="M960" i="5"/>
  <c r="M235" i="5"/>
  <c r="M2108" i="5"/>
  <c r="Q332" i="5"/>
  <c r="R327" i="5"/>
  <c r="R332" i="5" s="1"/>
  <c r="O107" i="5"/>
  <c r="O44" i="5"/>
  <c r="O265" i="5"/>
  <c r="M1695" i="5"/>
  <c r="M232" i="5"/>
  <c r="M454" i="5"/>
  <c r="N441" i="5"/>
  <c r="N1116" i="5"/>
  <c r="O1110" i="5"/>
  <c r="O1747" i="5"/>
  <c r="N1750" i="5"/>
  <c r="N224" i="5" s="1"/>
  <c r="J23" i="5"/>
  <c r="J25" i="5" s="1"/>
  <c r="J199" i="5"/>
  <c r="J215" i="5" s="1"/>
  <c r="O1540" i="5"/>
  <c r="P1498" i="5"/>
  <c r="N1351" i="5"/>
  <c r="M1353" i="5"/>
  <c r="L1155" i="5"/>
  <c r="L157" i="5"/>
  <c r="N971" i="5"/>
  <c r="M977" i="5"/>
  <c r="M233" i="5"/>
  <c r="M1740" i="5"/>
  <c r="M1433" i="5"/>
  <c r="M190" i="5" s="1"/>
  <c r="N1409" i="5"/>
  <c r="M2173" i="5"/>
  <c r="N2168" i="5"/>
  <c r="K1090" i="5"/>
  <c r="N160" i="5"/>
  <c r="P1162" i="5"/>
  <c r="N690" i="5"/>
  <c r="N108" i="5"/>
  <c r="L2162" i="5"/>
  <c r="P970" i="5"/>
  <c r="N1107" i="5"/>
  <c r="N1118" i="5" s="1"/>
  <c r="N150" i="5" s="1"/>
  <c r="O1100" i="5"/>
  <c r="M1439" i="5"/>
  <c r="L1484" i="5"/>
  <c r="M56" i="5"/>
  <c r="M314" i="5"/>
  <c r="N1796" i="5"/>
  <c r="O1783" i="5"/>
  <c r="P63" i="5"/>
  <c r="J27" i="5"/>
  <c r="J49" i="5" s="1"/>
  <c r="P630" i="5"/>
  <c r="Q612" i="5"/>
  <c r="O1640" i="5"/>
  <c r="N1685" i="5"/>
  <c r="L542" i="5"/>
  <c r="L94" i="5"/>
  <c r="L101" i="5" s="1"/>
  <c r="O481" i="5"/>
  <c r="O105" i="5" s="1"/>
  <c r="P473" i="5"/>
  <c r="M229" i="5"/>
  <c r="N2160" i="5"/>
  <c r="O2146" i="5"/>
  <c r="L16" i="5"/>
  <c r="N1163" i="5"/>
  <c r="M1177" i="5"/>
  <c r="M151" i="5" s="1"/>
  <c r="L59" i="5"/>
  <c r="N209" i="5"/>
  <c r="N211" i="5" s="1"/>
  <c r="L373" i="5"/>
  <c r="L64" i="5"/>
  <c r="L65" i="5" s="1"/>
  <c r="L20" i="5" s="1"/>
  <c r="M1221" i="5"/>
  <c r="N1182" i="5"/>
  <c r="L15" i="5"/>
  <c r="N321" i="5"/>
  <c r="M323" i="5"/>
  <c r="J24" i="5"/>
  <c r="J241" i="5"/>
  <c r="J267" i="5" s="1"/>
  <c r="N958" i="5"/>
  <c r="N957" i="5"/>
  <c r="N960" i="5" s="1"/>
  <c r="O706" i="5"/>
  <c r="L41" i="5"/>
  <c r="L45" i="5" s="1"/>
  <c r="L47" i="5" s="1"/>
  <c r="L140" i="5"/>
  <c r="K241" i="5"/>
  <c r="K267" i="5" s="1"/>
  <c r="M159" i="5"/>
  <c r="M1344" i="5"/>
  <c r="O1003" i="5"/>
  <c r="P981" i="5"/>
  <c r="M1076" i="5"/>
  <c r="N1072" i="5"/>
  <c r="N772" i="5"/>
  <c r="N109" i="5" s="1"/>
  <c r="O722" i="5"/>
  <c r="L434" i="5"/>
  <c r="L104" i="5"/>
  <c r="L112" i="5" s="1"/>
  <c r="L21" i="5" s="1"/>
  <c r="L1231" i="5"/>
  <c r="L158" i="5"/>
  <c r="P312" i="5"/>
  <c r="Q296" i="5"/>
  <c r="L196" i="5"/>
  <c r="L1615" i="5"/>
  <c r="L57" i="5"/>
  <c r="L334" i="5"/>
  <c r="L375" i="5" s="1"/>
  <c r="R676" i="5"/>
  <c r="N717" i="5"/>
  <c r="N98" i="5" s="1"/>
  <c r="O697" i="5"/>
  <c r="P677" i="5"/>
  <c r="O679" i="5"/>
  <c r="O97" i="5" s="1"/>
  <c r="O566" i="5"/>
  <c r="P559" i="5"/>
  <c r="N1550" i="5"/>
  <c r="M1565" i="5"/>
  <c r="M191" i="5" s="1"/>
  <c r="L100" i="5"/>
  <c r="L1088" i="5"/>
  <c r="K1617" i="5"/>
  <c r="K67" i="5"/>
  <c r="K85" i="5" s="1"/>
  <c r="K12" i="5"/>
  <c r="L153" i="5"/>
  <c r="L154" i="5" s="1"/>
  <c r="L1396" i="5"/>
  <c r="L1399" i="5" s="1"/>
  <c r="M1141" i="5"/>
  <c r="M1153" i="5" s="1"/>
  <c r="N1123" i="5"/>
  <c r="O2191" i="5"/>
  <c r="O238" i="5"/>
  <c r="L99" i="5"/>
  <c r="L1066" i="5"/>
  <c r="O1707" i="5"/>
  <c r="N1717" i="5"/>
  <c r="O62" i="5"/>
  <c r="P259" i="5"/>
  <c r="P263" i="5" s="1"/>
  <c r="M1585" i="5"/>
  <c r="N1572" i="5"/>
  <c r="P1359" i="5"/>
  <c r="O1381" i="5"/>
  <c r="P1081" i="5"/>
  <c r="O1086" i="5"/>
  <c r="O688" i="5"/>
  <c r="P684" i="5"/>
  <c r="M1118" i="5"/>
  <c r="M150" i="5" s="1"/>
  <c r="K195" i="5"/>
  <c r="K197" i="5" s="1"/>
  <c r="K23" i="5" s="1"/>
  <c r="K1542" i="5"/>
  <c r="K161" i="5"/>
  <c r="K22" i="5" s="1"/>
  <c r="K25" i="5" s="1"/>
  <c r="K22" i="4"/>
  <c r="K163" i="4"/>
  <c r="K183" i="4" s="1"/>
  <c r="M159" i="4"/>
  <c r="M1344" i="4"/>
  <c r="P327" i="4"/>
  <c r="O332" i="4"/>
  <c r="M16" i="4"/>
  <c r="Q1123" i="4"/>
  <c r="P1141" i="4"/>
  <c r="P1153" i="4" s="1"/>
  <c r="O296" i="4"/>
  <c r="N312" i="4"/>
  <c r="R2028" i="4"/>
  <c r="R2106" i="4" s="1"/>
  <c r="Q2106" i="4"/>
  <c r="O772" i="4"/>
  <c r="O109" i="4" s="1"/>
  <c r="P722" i="4"/>
  <c r="L1776" i="4"/>
  <c r="L234" i="4"/>
  <c r="J41" i="4"/>
  <c r="J45" i="4" s="1"/>
  <c r="J47" i="4" s="1"/>
  <c r="J140" i="4"/>
  <c r="P1100" i="4"/>
  <c r="O1107" i="4"/>
  <c r="M2162" i="4"/>
  <c r="M236" i="4"/>
  <c r="K67" i="4"/>
  <c r="K85" i="4" s="1"/>
  <c r="K12" i="4"/>
  <c r="K17" i="4" s="1"/>
  <c r="O1286" i="4"/>
  <c r="N1312" i="4"/>
  <c r="L65" i="4"/>
  <c r="L20" i="4" s="1"/>
  <c r="O265" i="4"/>
  <c r="O44" i="4"/>
  <c r="O1076" i="4"/>
  <c r="P1072" i="4"/>
  <c r="K239" i="4"/>
  <c r="P277" i="4"/>
  <c r="O292" i="4"/>
  <c r="O56" i="4" s="1"/>
  <c r="M958" i="4"/>
  <c r="N706" i="4"/>
  <c r="M957" i="4"/>
  <c r="N63" i="4"/>
  <c r="M977" i="4"/>
  <c r="M99" i="4" s="1"/>
  <c r="N970" i="4"/>
  <c r="L1695" i="4"/>
  <c r="L232" i="4"/>
  <c r="M566" i="4"/>
  <c r="N559" i="4"/>
  <c r="L110" i="4"/>
  <c r="L1066" i="4"/>
  <c r="N1565" i="4"/>
  <c r="N191" i="4" s="1"/>
  <c r="O1548" i="4"/>
  <c r="P2108" i="4"/>
  <c r="P259" i="4"/>
  <c r="P263" i="4" s="1"/>
  <c r="J142" i="4"/>
  <c r="P399" i="4"/>
  <c r="P93" i="4" s="1"/>
  <c r="Q384" i="4"/>
  <c r="J24" i="4"/>
  <c r="J25" i="4" s="1"/>
  <c r="J241" i="4"/>
  <c r="J267" i="4" s="1"/>
  <c r="N14" i="4"/>
  <c r="N100" i="4"/>
  <c r="N1088" i="4"/>
  <c r="L199" i="4"/>
  <c r="L15" i="4"/>
  <c r="O345" i="4"/>
  <c r="O58" i="4" s="1"/>
  <c r="P341" i="4"/>
  <c r="K962" i="4"/>
  <c r="K1090" i="4" s="1"/>
  <c r="K135" i="4"/>
  <c r="K138" i="4" s="1"/>
  <c r="N630" i="4"/>
  <c r="O612" i="4"/>
  <c r="L1231" i="4"/>
  <c r="L158" i="4"/>
  <c r="M209" i="4"/>
  <c r="M211" i="4" s="1"/>
  <c r="N1359" i="4"/>
  <c r="M1381" i="4"/>
  <c r="J27" i="4"/>
  <c r="N1155" i="4"/>
  <c r="N679" i="4"/>
  <c r="O676" i="4"/>
  <c r="Q549" i="4"/>
  <c r="P555" i="4"/>
  <c r="P95" i="4" s="1"/>
  <c r="O481" i="4"/>
  <c r="O105" i="4" s="1"/>
  <c r="P473" i="4"/>
  <c r="M454" i="4"/>
  <c r="N441" i="4"/>
  <c r="P2173" i="4"/>
  <c r="Q2168" i="4"/>
  <c r="P111" i="4"/>
  <c r="P1177" i="4"/>
  <c r="P151" i="4" s="1"/>
  <c r="Q1162" i="4"/>
  <c r="N2181" i="4"/>
  <c r="M2188" i="4"/>
  <c r="L43" i="4"/>
  <c r="L213" i="4"/>
  <c r="P688" i="4"/>
  <c r="Q684" i="4"/>
  <c r="N321" i="4"/>
  <c r="M323" i="4"/>
  <c r="O349" i="4"/>
  <c r="N364" i="4"/>
  <c r="M1717" i="4"/>
  <c r="N1707" i="4"/>
  <c r="O1747" i="4"/>
  <c r="N1750" i="4"/>
  <c r="N224" i="4" s="1"/>
  <c r="N229" i="4" s="1"/>
  <c r="N434" i="4"/>
  <c r="N104" i="4"/>
  <c r="M1433" i="4"/>
  <c r="M190" i="4" s="1"/>
  <c r="M192" i="4" s="1"/>
  <c r="N1409" i="4"/>
  <c r="N1585" i="4"/>
  <c r="O1572" i="4"/>
  <c r="O157" i="4"/>
  <c r="K114" i="4"/>
  <c r="K13" i="4"/>
  <c r="M314" i="4"/>
  <c r="M62" i="4"/>
  <c r="O697" i="4"/>
  <c r="N717" i="4"/>
  <c r="N98" i="4" s="1"/>
  <c r="O1116" i="4"/>
  <c r="P1110" i="4"/>
  <c r="L375" i="4"/>
  <c r="O432" i="4"/>
  <c r="P403" i="4"/>
  <c r="M196" i="4"/>
  <c r="M1615" i="4"/>
  <c r="M150" i="4"/>
  <c r="M154" i="4" s="1"/>
  <c r="M1155" i="4"/>
  <c r="Q588" i="4"/>
  <c r="P599" i="4"/>
  <c r="P96" i="4" s="1"/>
  <c r="M1774" i="4"/>
  <c r="N1754" i="4"/>
  <c r="M107" i="4"/>
  <c r="M669" i="4"/>
  <c r="N1182" i="4"/>
  <c r="M1221" i="4"/>
  <c r="N1540" i="4"/>
  <c r="O1498" i="4"/>
  <c r="L1396" i="4"/>
  <c r="L1399" i="4" s="1"/>
  <c r="L160" i="4"/>
  <c r="M1484" i="4"/>
  <c r="M195" i="4" s="1"/>
  <c r="M197" i="4" s="1"/>
  <c r="M23" i="4" s="1"/>
  <c r="N1438" i="4"/>
  <c r="N2160" i="4"/>
  <c r="O2146" i="4"/>
  <c r="M97" i="4"/>
  <c r="M690" i="4"/>
  <c r="L542" i="4"/>
  <c r="L94" i="4"/>
  <c r="L101" i="4" s="1"/>
  <c r="O2175" i="4"/>
  <c r="O237" i="4"/>
  <c r="R1081" i="4"/>
  <c r="R1086" i="4" s="1"/>
  <c r="Q1086" i="4"/>
  <c r="L2191" i="4"/>
  <c r="L238" i="4"/>
  <c r="L1542" i="4"/>
  <c r="L1617" i="4" s="1"/>
  <c r="O108" i="4"/>
  <c r="L57" i="4"/>
  <c r="L59" i="4" s="1"/>
  <c r="L334" i="4"/>
  <c r="P1353" i="4"/>
  <c r="P153" i="4" s="1"/>
  <c r="Q1351" i="4"/>
  <c r="L960" i="4"/>
  <c r="M373" i="4"/>
  <c r="M64" i="4"/>
  <c r="L233" i="4"/>
  <c r="L1740" i="4"/>
  <c r="N1640" i="4"/>
  <c r="M1685" i="4"/>
  <c r="Q2115" i="4"/>
  <c r="P2142" i="4"/>
  <c r="P226" i="4" s="1"/>
  <c r="L580" i="4"/>
  <c r="L106" i="4"/>
  <c r="L112" i="4" s="1"/>
  <c r="L21" i="4" s="1"/>
  <c r="M1003" i="4"/>
  <c r="N981" i="4"/>
  <c r="L14" i="5" l="1"/>
  <c r="L24" i="5"/>
  <c r="L241" i="5"/>
  <c r="L267" i="5" s="1"/>
  <c r="N962" i="5"/>
  <c r="N135" i="5"/>
  <c r="N138" i="5" s="1"/>
  <c r="N43" i="5"/>
  <c r="N213" i="5"/>
  <c r="N236" i="5"/>
  <c r="Q630" i="5"/>
  <c r="R612" i="5"/>
  <c r="R630" i="5" s="1"/>
  <c r="O209" i="5"/>
  <c r="O211" i="5" s="1"/>
  <c r="K114" i="5"/>
  <c r="K142" i="5" s="1"/>
  <c r="K13" i="5"/>
  <c r="K17" i="5" s="1"/>
  <c r="K27" i="5" s="1"/>
  <c r="K49" i="5" s="1"/>
  <c r="R259" i="5"/>
  <c r="R263" i="5" s="1"/>
  <c r="P1381" i="5"/>
  <c r="Q1359" i="5"/>
  <c r="O1550" i="5"/>
  <c r="N1565" i="5"/>
  <c r="N191" i="5" s="1"/>
  <c r="Q677" i="5"/>
  <c r="P679" i="5"/>
  <c r="P97" i="5" s="1"/>
  <c r="O110" i="5"/>
  <c r="M16" i="5"/>
  <c r="L195" i="5"/>
  <c r="L197" i="5" s="1"/>
  <c r="L1542" i="5"/>
  <c r="M99" i="5"/>
  <c r="M1066" i="5"/>
  <c r="O1572" i="5"/>
  <c r="N1585" i="5"/>
  <c r="O1123" i="5"/>
  <c r="N1141" i="5"/>
  <c r="N1153" i="5" s="1"/>
  <c r="P566" i="5"/>
  <c r="Q559" i="5"/>
  <c r="O717" i="5"/>
  <c r="O98" i="5" s="1"/>
  <c r="P697" i="5"/>
  <c r="Q312" i="5"/>
  <c r="R296" i="5"/>
  <c r="R312" i="5" s="1"/>
  <c r="O1072" i="5"/>
  <c r="N1076" i="5"/>
  <c r="L67" i="5"/>
  <c r="L85" i="5" s="1"/>
  <c r="L12" i="5"/>
  <c r="Q473" i="5"/>
  <c r="P481" i="5"/>
  <c r="P105" i="5" s="1"/>
  <c r="N1695" i="5"/>
  <c r="N232" i="5"/>
  <c r="N1439" i="5"/>
  <c r="M1484" i="5"/>
  <c r="Q1162" i="5"/>
  <c r="M192" i="5"/>
  <c r="O971" i="5"/>
  <c r="N977" i="5"/>
  <c r="N1353" i="5"/>
  <c r="O1351" i="5"/>
  <c r="O1116" i="5"/>
  <c r="P1110" i="5"/>
  <c r="Q63" i="5"/>
  <c r="P1438" i="5"/>
  <c r="N56" i="5"/>
  <c r="N314" i="5"/>
  <c r="O349" i="5"/>
  <c r="N364" i="5"/>
  <c r="N1776" i="5"/>
  <c r="N234" i="5"/>
  <c r="N96" i="5"/>
  <c r="N669" i="5"/>
  <c r="P1086" i="5"/>
  <c r="Q1081" i="5"/>
  <c r="M196" i="5"/>
  <c r="M1615" i="5"/>
  <c r="M1155" i="5"/>
  <c r="M157" i="5"/>
  <c r="M161" i="5" s="1"/>
  <c r="M22" i="5" s="1"/>
  <c r="O580" i="5"/>
  <c r="O106" i="5"/>
  <c r="P62" i="5"/>
  <c r="L1090" i="5"/>
  <c r="M100" i="5"/>
  <c r="M1088" i="5"/>
  <c r="O958" i="5"/>
  <c r="P706" i="5"/>
  <c r="O957" i="5"/>
  <c r="P2146" i="5"/>
  <c r="O2160" i="5"/>
  <c r="O1685" i="5"/>
  <c r="P1640" i="5"/>
  <c r="O1107" i="5"/>
  <c r="O1118" i="5" s="1"/>
  <c r="O150" i="5" s="1"/>
  <c r="P1100" i="5"/>
  <c r="O2168" i="5"/>
  <c r="N2173" i="5"/>
  <c r="L161" i="5"/>
  <c r="L22" i="5" s="1"/>
  <c r="Q1498" i="5"/>
  <c r="P1540" i="5"/>
  <c r="Q1548" i="5"/>
  <c r="K199" i="5"/>
  <c r="K215" i="5" s="1"/>
  <c r="P555" i="5"/>
  <c r="P95" i="5" s="1"/>
  <c r="Q549" i="5"/>
  <c r="M64" i="5"/>
  <c r="M65" i="5" s="1"/>
  <c r="M20" i="5" s="1"/>
  <c r="M373" i="5"/>
  <c r="P345" i="5"/>
  <c r="P58" i="5" s="1"/>
  <c r="Q341" i="5"/>
  <c r="O1774" i="5"/>
  <c r="P1754" i="5"/>
  <c r="R384" i="5"/>
  <c r="R399" i="5" s="1"/>
  <c r="R93" i="5" s="1"/>
  <c r="Q399" i="5"/>
  <c r="Q93" i="5" s="1"/>
  <c r="N432" i="5"/>
  <c r="O403" i="5"/>
  <c r="O160" i="5"/>
  <c r="N1740" i="5"/>
  <c r="N233" i="5"/>
  <c r="N1221" i="5"/>
  <c r="O1182" i="5"/>
  <c r="L114" i="5"/>
  <c r="L142" i="5" s="1"/>
  <c r="L13" i="5"/>
  <c r="M59" i="5"/>
  <c r="N323" i="5"/>
  <c r="O321" i="5"/>
  <c r="P107" i="5"/>
  <c r="O1796" i="5"/>
  <c r="P1783" i="5"/>
  <c r="Q970" i="5"/>
  <c r="M153" i="5"/>
  <c r="M154" i="5" s="1"/>
  <c r="M1396" i="5"/>
  <c r="O1750" i="5"/>
  <c r="O224" i="5" s="1"/>
  <c r="P1747" i="5"/>
  <c r="M542" i="5"/>
  <c r="M94" i="5"/>
  <c r="M101" i="5" s="1"/>
  <c r="R63" i="5"/>
  <c r="M135" i="5"/>
  <c r="M138" i="5" s="1"/>
  <c r="M962" i="5"/>
  <c r="O292" i="5"/>
  <c r="P277" i="5"/>
  <c r="O1312" i="5"/>
  <c r="P1286" i="5"/>
  <c r="Q259" i="5"/>
  <c r="Q263" i="5" s="1"/>
  <c r="P2191" i="5"/>
  <c r="P238" i="5"/>
  <c r="O1151" i="5"/>
  <c r="P1144" i="5"/>
  <c r="M2162" i="5"/>
  <c r="O599" i="5"/>
  <c r="P588" i="5"/>
  <c r="K163" i="5"/>
  <c r="K183" i="5" s="1"/>
  <c r="P688" i="5"/>
  <c r="Q684" i="5"/>
  <c r="P44" i="5"/>
  <c r="P265" i="5"/>
  <c r="L1617" i="5"/>
  <c r="P722" i="5"/>
  <c r="O772" i="5"/>
  <c r="O109" i="5" s="1"/>
  <c r="Q981" i="5"/>
  <c r="P1003" i="5"/>
  <c r="M57" i="5"/>
  <c r="M334" i="5"/>
  <c r="M375" i="5" s="1"/>
  <c r="O1163" i="5"/>
  <c r="N1177" i="5"/>
  <c r="N151" i="5" s="1"/>
  <c r="M2175" i="5"/>
  <c r="M2195" i="5" s="1"/>
  <c r="M237" i="5"/>
  <c r="M239" i="5" s="1"/>
  <c r="O441" i="5"/>
  <c r="N454" i="5"/>
  <c r="N159" i="5"/>
  <c r="N1344" i="5"/>
  <c r="N2142" i="5"/>
  <c r="N226" i="5" s="1"/>
  <c r="N229" i="5" s="1"/>
  <c r="O2115" i="5"/>
  <c r="R2181" i="5"/>
  <c r="R2188" i="5" s="1"/>
  <c r="Q2188" i="5"/>
  <c r="M434" i="5"/>
  <c r="M104" i="5"/>
  <c r="M112" i="5" s="1"/>
  <c r="M21" i="5" s="1"/>
  <c r="O690" i="5"/>
  <c r="O108" i="5"/>
  <c r="P1707" i="5"/>
  <c r="O1717" i="5"/>
  <c r="M1231" i="5"/>
  <c r="M158" i="5"/>
  <c r="O1409" i="5"/>
  <c r="N1433" i="5"/>
  <c r="N190" i="5" s="1"/>
  <c r="N192" i="5" s="1"/>
  <c r="O111" i="5"/>
  <c r="N235" i="5"/>
  <c r="N2108" i="5"/>
  <c r="M110" i="4"/>
  <c r="M1066" i="4"/>
  <c r="N1221" i="4"/>
  <c r="O1182" i="4"/>
  <c r="M14" i="4"/>
  <c r="M163" i="4"/>
  <c r="M183" i="4" s="1"/>
  <c r="M199" i="4"/>
  <c r="M15" i="4"/>
  <c r="M542" i="4"/>
  <c r="M94" i="4"/>
  <c r="M101" i="4" s="1"/>
  <c r="M43" i="4"/>
  <c r="M213" i="4"/>
  <c r="L239" i="4"/>
  <c r="P1076" i="4"/>
  <c r="Q1072" i="4"/>
  <c r="Q2108" i="4"/>
  <c r="Q259" i="4"/>
  <c r="Q263" i="4" s="1"/>
  <c r="M1695" i="4"/>
  <c r="M232" i="4"/>
  <c r="Q111" i="4"/>
  <c r="L13" i="4"/>
  <c r="L114" i="4"/>
  <c r="M57" i="4"/>
  <c r="M59" i="4" s="1"/>
  <c r="M334" i="4"/>
  <c r="Q1177" i="4"/>
  <c r="Q151" i="4" s="1"/>
  <c r="R1162" i="4"/>
  <c r="R1177" i="4" s="1"/>
  <c r="R151" i="4" s="1"/>
  <c r="O679" i="4"/>
  <c r="P676" i="4"/>
  <c r="M1542" i="4"/>
  <c r="M1617" i="4" s="1"/>
  <c r="L215" i="4"/>
  <c r="Q399" i="4"/>
  <c r="Q93" i="4" s="1"/>
  <c r="R384" i="4"/>
  <c r="R399" i="4" s="1"/>
  <c r="R93" i="4" s="1"/>
  <c r="R2108" i="4"/>
  <c r="R259" i="4"/>
  <c r="R263" i="4" s="1"/>
  <c r="Q1141" i="4"/>
  <c r="Q1153" i="4" s="1"/>
  <c r="R1123" i="4"/>
  <c r="R1141" i="4" s="1"/>
  <c r="R1153" i="4" s="1"/>
  <c r="O1640" i="4"/>
  <c r="N1685" i="4"/>
  <c r="R111" i="4"/>
  <c r="L1090" i="4"/>
  <c r="P2146" i="4"/>
  <c r="O2160" i="4"/>
  <c r="N209" i="4"/>
  <c r="N211" i="4" s="1"/>
  <c r="R588" i="4"/>
  <c r="R599" i="4" s="1"/>
  <c r="R96" i="4" s="1"/>
  <c r="Q599" i="4"/>
  <c r="Q96" i="4" s="1"/>
  <c r="P697" i="4"/>
  <c r="K142" i="4"/>
  <c r="N196" i="4"/>
  <c r="N1615" i="4"/>
  <c r="M233" i="4"/>
  <c r="M1740" i="4"/>
  <c r="N323" i="4"/>
  <c r="O321" i="4"/>
  <c r="P2175" i="4"/>
  <c r="P237" i="4"/>
  <c r="N97" i="4"/>
  <c r="N690" i="4"/>
  <c r="M1396" i="4"/>
  <c r="M160" i="4"/>
  <c r="L161" i="4"/>
  <c r="O1565" i="4"/>
  <c r="O191" i="4" s="1"/>
  <c r="P1548" i="4"/>
  <c r="N566" i="4"/>
  <c r="O559" i="4"/>
  <c r="O970" i="4"/>
  <c r="N977" i="4"/>
  <c r="N99" i="4" s="1"/>
  <c r="M960" i="4"/>
  <c r="P292" i="4"/>
  <c r="P56" i="4" s="1"/>
  <c r="Q277" i="4"/>
  <c r="N1344" i="4"/>
  <c r="N159" i="4"/>
  <c r="P772" i="4"/>
  <c r="P109" i="4" s="1"/>
  <c r="Q722" i="4"/>
  <c r="N314" i="4"/>
  <c r="N62" i="4"/>
  <c r="Q2142" i="4"/>
  <c r="Q226" i="4" s="1"/>
  <c r="R2115" i="4"/>
  <c r="R2142" i="4" s="1"/>
  <c r="R226" i="4" s="1"/>
  <c r="R1351" i="4"/>
  <c r="R1353" i="4" s="1"/>
  <c r="R153" i="4" s="1"/>
  <c r="Q1353" i="4"/>
  <c r="Q153" i="4" s="1"/>
  <c r="O1438" i="4"/>
  <c r="N1484" i="4"/>
  <c r="N195" i="4" s="1"/>
  <c r="N197" i="4" s="1"/>
  <c r="N23" i="4" s="1"/>
  <c r="M1776" i="4"/>
  <c r="M234" i="4"/>
  <c r="O434" i="4"/>
  <c r="O104" i="4"/>
  <c r="M375" i="4"/>
  <c r="O1750" i="4"/>
  <c r="O224" i="4" s="1"/>
  <c r="O229" i="4" s="1"/>
  <c r="P1747" i="4"/>
  <c r="O364" i="4"/>
  <c r="P349" i="4"/>
  <c r="P108" i="4"/>
  <c r="N2188" i="4"/>
  <c r="O2181" i="4"/>
  <c r="Q555" i="4"/>
  <c r="Q95" i="4" s="1"/>
  <c r="R549" i="4"/>
  <c r="R555" i="4" s="1"/>
  <c r="R95" i="4" s="1"/>
  <c r="P612" i="4"/>
  <c r="O630" i="4"/>
  <c r="P44" i="4"/>
  <c r="P265" i="4"/>
  <c r="O1118" i="4"/>
  <c r="P157" i="4"/>
  <c r="O63" i="4"/>
  <c r="O1540" i="4"/>
  <c r="P1498" i="4"/>
  <c r="O1585" i="4"/>
  <c r="P1572" i="4"/>
  <c r="O1707" i="4"/>
  <c r="N1717" i="4"/>
  <c r="Q2173" i="4"/>
  <c r="R2168" i="4"/>
  <c r="R2173" i="4" s="1"/>
  <c r="P481" i="4"/>
  <c r="P105" i="4" s="1"/>
  <c r="Q473" i="4"/>
  <c r="N107" i="4"/>
  <c r="N669" i="4"/>
  <c r="P345" i="4"/>
  <c r="P58" i="4" s="1"/>
  <c r="Q341" i="4"/>
  <c r="L2195" i="4"/>
  <c r="O100" i="4"/>
  <c r="O1088" i="4"/>
  <c r="Q1100" i="4"/>
  <c r="P1107" i="4"/>
  <c r="P332" i="4"/>
  <c r="Q327" i="4"/>
  <c r="O981" i="4"/>
  <c r="N1003" i="4"/>
  <c r="L962" i="4"/>
  <c r="L135" i="4"/>
  <c r="L138" i="4" s="1"/>
  <c r="L67" i="4"/>
  <c r="L85" i="4" s="1"/>
  <c r="L12" i="4"/>
  <c r="L17" i="4" s="1"/>
  <c r="N2162" i="4"/>
  <c r="N236" i="4"/>
  <c r="M1231" i="4"/>
  <c r="M158" i="4"/>
  <c r="M161" i="4" s="1"/>
  <c r="M22" i="4" s="1"/>
  <c r="N1774" i="4"/>
  <c r="O1754" i="4"/>
  <c r="P432" i="4"/>
  <c r="Q403" i="4"/>
  <c r="P1116" i="4"/>
  <c r="Q1110" i="4"/>
  <c r="M65" i="4"/>
  <c r="M20" i="4" s="1"/>
  <c r="N1433" i="4"/>
  <c r="N190" i="4" s="1"/>
  <c r="N192" i="4" s="1"/>
  <c r="O1409" i="4"/>
  <c r="N16" i="4"/>
  <c r="N373" i="4"/>
  <c r="N64" i="4"/>
  <c r="Q688" i="4"/>
  <c r="R684" i="4"/>
  <c r="R688" i="4" s="1"/>
  <c r="M2191" i="4"/>
  <c r="M238" i="4"/>
  <c r="O441" i="4"/>
  <c r="N454" i="4"/>
  <c r="O1359" i="4"/>
  <c r="N1381" i="4"/>
  <c r="K41" i="4"/>
  <c r="K45" i="4" s="1"/>
  <c r="K47" i="4" s="1"/>
  <c r="K140" i="4"/>
  <c r="M580" i="4"/>
  <c r="M106" i="4"/>
  <c r="M112" i="4" s="1"/>
  <c r="M21" i="4" s="1"/>
  <c r="O706" i="4"/>
  <c r="N957" i="4"/>
  <c r="N958" i="4"/>
  <c r="K24" i="4"/>
  <c r="K241" i="4"/>
  <c r="K267" i="4" s="1"/>
  <c r="O1312" i="4"/>
  <c r="P1286" i="4"/>
  <c r="J49" i="4"/>
  <c r="O312" i="4"/>
  <c r="P296" i="4"/>
  <c r="K25" i="4"/>
  <c r="K27" i="4" s="1"/>
  <c r="N16" i="5" l="1"/>
  <c r="M24" i="5"/>
  <c r="M241" i="5"/>
  <c r="M267" i="5" s="1"/>
  <c r="M163" i="5"/>
  <c r="M183" i="5" s="1"/>
  <c r="M14" i="5"/>
  <c r="R2191" i="5"/>
  <c r="R238" i="5"/>
  <c r="P599" i="5"/>
  <c r="Q588" i="5"/>
  <c r="O56" i="5"/>
  <c r="O314" i="5"/>
  <c r="R970" i="5"/>
  <c r="M67" i="5"/>
  <c r="M85" i="5" s="1"/>
  <c r="M12" i="5"/>
  <c r="Q555" i="5"/>
  <c r="Q95" i="5" s="1"/>
  <c r="R549" i="5"/>
  <c r="R555" i="5" s="1"/>
  <c r="R95" i="5" s="1"/>
  <c r="R1548" i="5"/>
  <c r="O236" i="5"/>
  <c r="N99" i="5"/>
  <c r="N1066" i="5"/>
  <c r="R1162" i="5"/>
  <c r="N1155" i="5"/>
  <c r="N157" i="5"/>
  <c r="N161" i="5" s="1"/>
  <c r="N22" i="5" s="1"/>
  <c r="L23" i="5"/>
  <c r="L25" i="5" s="1"/>
  <c r="L199" i="5"/>
  <c r="L215" i="5" s="1"/>
  <c r="R44" i="5"/>
  <c r="R265" i="5"/>
  <c r="Q107" i="5"/>
  <c r="N15" i="5"/>
  <c r="N542" i="5"/>
  <c r="N94" i="5"/>
  <c r="N101" i="5" s="1"/>
  <c r="Q722" i="5"/>
  <c r="P772" i="5"/>
  <c r="P109" i="5" s="1"/>
  <c r="R684" i="5"/>
  <c r="R688" i="5" s="1"/>
  <c r="Q688" i="5"/>
  <c r="M1399" i="5"/>
  <c r="Q1783" i="5"/>
  <c r="P1796" i="5"/>
  <c r="O323" i="5"/>
  <c r="P321" i="5"/>
  <c r="N2175" i="5"/>
  <c r="N237" i="5"/>
  <c r="Q2146" i="5"/>
  <c r="P2160" i="5"/>
  <c r="N375" i="5"/>
  <c r="M195" i="5"/>
  <c r="M197" i="5" s="1"/>
  <c r="M23" i="5" s="1"/>
  <c r="M1542" i="5"/>
  <c r="R559" i="5"/>
  <c r="R566" i="5" s="1"/>
  <c r="Q566" i="5"/>
  <c r="O1433" i="5"/>
  <c r="O190" i="5" s="1"/>
  <c r="P1409" i="5"/>
  <c r="P1717" i="5"/>
  <c r="Q1707" i="5"/>
  <c r="P441" i="5"/>
  <c r="O454" i="5"/>
  <c r="P690" i="5"/>
  <c r="P108" i="5"/>
  <c r="O159" i="5"/>
  <c r="O1344" i="5"/>
  <c r="M41" i="5"/>
  <c r="M45" i="5" s="1"/>
  <c r="M47" i="5" s="1"/>
  <c r="M140" i="5"/>
  <c r="N57" i="5"/>
  <c r="N334" i="5"/>
  <c r="O432" i="5"/>
  <c r="P403" i="5"/>
  <c r="Q1754" i="5"/>
  <c r="P1774" i="5"/>
  <c r="P209" i="5"/>
  <c r="P211" i="5" s="1"/>
  <c r="P2168" i="5"/>
  <c r="O2173" i="5"/>
  <c r="P1685" i="5"/>
  <c r="Q1640" i="5"/>
  <c r="O960" i="5"/>
  <c r="M1617" i="5"/>
  <c r="N59" i="5"/>
  <c r="P1351" i="5"/>
  <c r="O1353" i="5"/>
  <c r="M15" i="5"/>
  <c r="M199" i="5"/>
  <c r="M215" i="5" s="1"/>
  <c r="O1439" i="5"/>
  <c r="N1484" i="5"/>
  <c r="Q481" i="5"/>
  <c r="Q105" i="5" s="1"/>
  <c r="R473" i="5"/>
  <c r="R481" i="5" s="1"/>
  <c r="R105" i="5" s="1"/>
  <c r="Q62" i="5"/>
  <c r="P580" i="5"/>
  <c r="P106" i="5"/>
  <c r="R677" i="5"/>
  <c r="R679" i="5" s="1"/>
  <c r="R97" i="5" s="1"/>
  <c r="Q679" i="5"/>
  <c r="Q97" i="5" s="1"/>
  <c r="P160" i="5"/>
  <c r="N2162" i="5"/>
  <c r="N2195" i="5" s="1"/>
  <c r="L163" i="5"/>
  <c r="L183" i="5" s="1"/>
  <c r="Q2191" i="5"/>
  <c r="Q238" i="5"/>
  <c r="P1163" i="5"/>
  <c r="O1177" i="5"/>
  <c r="O151" i="5" s="1"/>
  <c r="Q1003" i="5"/>
  <c r="R981" i="5"/>
  <c r="R1003" i="5" s="1"/>
  <c r="Q1144" i="5"/>
  <c r="P1151" i="5"/>
  <c r="Q44" i="5"/>
  <c r="Q265" i="5"/>
  <c r="P292" i="5"/>
  <c r="Q277" i="5"/>
  <c r="Q1747" i="5"/>
  <c r="P1750" i="5"/>
  <c r="P224" i="5" s="1"/>
  <c r="P1182" i="5"/>
  <c r="O1221" i="5"/>
  <c r="N104" i="5"/>
  <c r="N112" i="5" s="1"/>
  <c r="N21" i="5" s="1"/>
  <c r="N434" i="5"/>
  <c r="N1090" i="5" s="1"/>
  <c r="O1776" i="5"/>
  <c r="O234" i="5"/>
  <c r="M25" i="5"/>
  <c r="Q1540" i="5"/>
  <c r="R1498" i="5"/>
  <c r="R1540" i="5" s="1"/>
  <c r="P1107" i="5"/>
  <c r="P1118" i="5" s="1"/>
  <c r="P150" i="5" s="1"/>
  <c r="Q1100" i="5"/>
  <c r="O1695" i="5"/>
  <c r="O232" i="5"/>
  <c r="Q706" i="5"/>
  <c r="P958" i="5"/>
  <c r="P957" i="5"/>
  <c r="P960" i="5" s="1"/>
  <c r="N373" i="5"/>
  <c r="N64" i="5"/>
  <c r="N65" i="5" s="1"/>
  <c r="N20" i="5" s="1"/>
  <c r="Q1438" i="5"/>
  <c r="N153" i="5"/>
  <c r="N154" i="5" s="1"/>
  <c r="N1396" i="5"/>
  <c r="N239" i="5"/>
  <c r="N24" i="5" s="1"/>
  <c r="L17" i="5"/>
  <c r="N100" i="5"/>
  <c r="N1088" i="5"/>
  <c r="Q697" i="5"/>
  <c r="P717" i="5"/>
  <c r="P98" i="5" s="1"/>
  <c r="N196" i="5"/>
  <c r="N1615" i="5"/>
  <c r="R107" i="5"/>
  <c r="N1231" i="5"/>
  <c r="N158" i="5"/>
  <c r="R341" i="5"/>
  <c r="R345" i="5" s="1"/>
  <c r="R58" i="5" s="1"/>
  <c r="Q345" i="5"/>
  <c r="Q58" i="5" s="1"/>
  <c r="Q1086" i="5"/>
  <c r="R1081" i="5"/>
  <c r="R1086" i="5" s="1"/>
  <c r="O364" i="5"/>
  <c r="P349" i="5"/>
  <c r="Q1110" i="5"/>
  <c r="P1116" i="5"/>
  <c r="P1072" i="5"/>
  <c r="O1076" i="5"/>
  <c r="O1585" i="5"/>
  <c r="P1572" i="5"/>
  <c r="P1550" i="5"/>
  <c r="O1565" i="5"/>
  <c r="O191" i="5" s="1"/>
  <c r="O233" i="5"/>
  <c r="O1740" i="5"/>
  <c r="O2142" i="5"/>
  <c r="O226" i="5" s="1"/>
  <c r="O229" i="5" s="1"/>
  <c r="P2115" i="5"/>
  <c r="O96" i="5"/>
  <c r="O669" i="5"/>
  <c r="Q1286" i="5"/>
  <c r="P1312" i="5"/>
  <c r="M114" i="5"/>
  <c r="M13" i="5"/>
  <c r="P111" i="5"/>
  <c r="R62" i="5"/>
  <c r="P1123" i="5"/>
  <c r="O1141" i="5"/>
  <c r="O1153" i="5" s="1"/>
  <c r="Q1381" i="5"/>
  <c r="R1359" i="5"/>
  <c r="R1381" i="5" s="1"/>
  <c r="O43" i="5"/>
  <c r="O213" i="5"/>
  <c r="N41" i="5"/>
  <c r="N45" i="5" s="1"/>
  <c r="N47" i="5" s="1"/>
  <c r="N140" i="5"/>
  <c r="P971" i="5"/>
  <c r="O977" i="5"/>
  <c r="M1090" i="5"/>
  <c r="P110" i="5"/>
  <c r="O235" i="5"/>
  <c r="O2108" i="5"/>
  <c r="O957" i="4"/>
  <c r="O960" i="4" s="1"/>
  <c r="P706" i="4"/>
  <c r="O958" i="4"/>
  <c r="P441" i="4"/>
  <c r="O454" i="4"/>
  <c r="Q2175" i="4"/>
  <c r="Q237" i="4"/>
  <c r="R722" i="4"/>
  <c r="R772" i="4" s="1"/>
  <c r="Q772" i="4"/>
  <c r="Q109" i="4" s="1"/>
  <c r="M1399" i="4"/>
  <c r="N1695" i="4"/>
  <c r="N232" i="4"/>
  <c r="R44" i="4"/>
  <c r="R265" i="4"/>
  <c r="M114" i="4"/>
  <c r="M13" i="4"/>
  <c r="N1396" i="4"/>
  <c r="N1399" i="4" s="1"/>
  <c r="N160" i="4"/>
  <c r="O1433" i="4"/>
  <c r="O190" i="4" s="1"/>
  <c r="O192" i="4" s="1"/>
  <c r="P1409" i="4"/>
  <c r="P1754" i="4"/>
  <c r="O1774" i="4"/>
  <c r="N233" i="4"/>
  <c r="N1740" i="4"/>
  <c r="P1750" i="4"/>
  <c r="P224" i="4" s="1"/>
  <c r="P229" i="4" s="1"/>
  <c r="Q1747" i="4"/>
  <c r="O323" i="4"/>
  <c r="P321" i="4"/>
  <c r="Q697" i="4"/>
  <c r="O1685" i="4"/>
  <c r="P1640" i="4"/>
  <c r="L24" i="4"/>
  <c r="L241" i="4"/>
  <c r="L267" i="4" s="1"/>
  <c r="P312" i="4"/>
  <c r="Q296" i="4"/>
  <c r="O159" i="4"/>
  <c r="O1344" i="4"/>
  <c r="O1381" i="4"/>
  <c r="P1359" i="4"/>
  <c r="N199" i="4"/>
  <c r="N215" i="4" s="1"/>
  <c r="N15" i="4"/>
  <c r="N1776" i="4"/>
  <c r="N234" i="4"/>
  <c r="P63" i="4"/>
  <c r="P1707" i="4"/>
  <c r="O1717" i="4"/>
  <c r="O209" i="4"/>
  <c r="O211" i="4" s="1"/>
  <c r="O16" i="4"/>
  <c r="N65" i="4"/>
  <c r="N20" i="4" s="1"/>
  <c r="M962" i="4"/>
  <c r="M1090" i="4" s="1"/>
  <c r="M135" i="4"/>
  <c r="M138" i="4" s="1"/>
  <c r="N580" i="4"/>
  <c r="N106" i="4"/>
  <c r="L22" i="4"/>
  <c r="L163" i="4"/>
  <c r="L183" i="4" s="1"/>
  <c r="N57" i="4"/>
  <c r="N59" i="4" s="1"/>
  <c r="N334" i="4"/>
  <c r="N375" i="4" s="1"/>
  <c r="O717" i="4"/>
  <c r="O98" i="4" s="1"/>
  <c r="N1542" i="4"/>
  <c r="N1617" i="4" s="1"/>
  <c r="R157" i="4"/>
  <c r="P679" i="4"/>
  <c r="Q676" i="4"/>
  <c r="M239" i="4"/>
  <c r="O1221" i="4"/>
  <c r="P1182" i="4"/>
  <c r="K49" i="4"/>
  <c r="Q108" i="4"/>
  <c r="P434" i="4"/>
  <c r="P104" i="4"/>
  <c r="O1003" i="4"/>
  <c r="P981" i="4"/>
  <c r="R1100" i="4"/>
  <c r="R1107" i="4" s="1"/>
  <c r="Q1107" i="4"/>
  <c r="O196" i="4"/>
  <c r="O1615" i="4"/>
  <c r="Q612" i="4"/>
  <c r="P630" i="4"/>
  <c r="N2191" i="4"/>
  <c r="N238" i="4"/>
  <c r="O64" i="4"/>
  <c r="O373" i="4"/>
  <c r="Q292" i="4"/>
  <c r="Q56" i="4" s="1"/>
  <c r="R277" i="4"/>
  <c r="R292" i="4" s="1"/>
  <c r="R56" i="4" s="1"/>
  <c r="O977" i="4"/>
  <c r="O99" i="4" s="1"/>
  <c r="P970" i="4"/>
  <c r="P2160" i="4"/>
  <c r="Q2146" i="4"/>
  <c r="Q44" i="4"/>
  <c r="Q265" i="4"/>
  <c r="P100" i="4"/>
  <c r="P1088" i="4"/>
  <c r="Q1286" i="4"/>
  <c r="P1312" i="4"/>
  <c r="Q1116" i="4"/>
  <c r="R1110" i="4"/>
  <c r="R1116" i="4" s="1"/>
  <c r="L41" i="4"/>
  <c r="L45" i="4" s="1"/>
  <c r="L47" i="4" s="1"/>
  <c r="L140" i="4"/>
  <c r="L142" i="4" s="1"/>
  <c r="Q332" i="4"/>
  <c r="R327" i="4"/>
  <c r="R332" i="4" s="1"/>
  <c r="R341" i="4"/>
  <c r="R345" i="4" s="1"/>
  <c r="R58" i="4" s="1"/>
  <c r="Q345" i="4"/>
  <c r="Q58" i="4" s="1"/>
  <c r="R473" i="4"/>
  <c r="R481" i="4" s="1"/>
  <c r="R105" i="4" s="1"/>
  <c r="Q481" i="4"/>
  <c r="Q105" i="4" s="1"/>
  <c r="P1540" i="4"/>
  <c r="Q1498" i="4"/>
  <c r="O1484" i="4"/>
  <c r="O195" i="4" s="1"/>
  <c r="O197" i="4" s="1"/>
  <c r="O23" i="4" s="1"/>
  <c r="P1438" i="4"/>
  <c r="O566" i="4"/>
  <c r="P559" i="4"/>
  <c r="N43" i="4"/>
  <c r="N213" i="4"/>
  <c r="O314" i="4"/>
  <c r="O62" i="4"/>
  <c r="N960" i="4"/>
  <c r="N542" i="4"/>
  <c r="N94" i="4"/>
  <c r="N101" i="4" s="1"/>
  <c r="R108" i="4"/>
  <c r="Q432" i="4"/>
  <c r="R403" i="4"/>
  <c r="R432" i="4" s="1"/>
  <c r="N110" i="4"/>
  <c r="N1066" i="4"/>
  <c r="P1118" i="4"/>
  <c r="R2175" i="4"/>
  <c r="R237" i="4"/>
  <c r="P1585" i="4"/>
  <c r="Q1572" i="4"/>
  <c r="O150" i="4"/>
  <c r="O154" i="4" s="1"/>
  <c r="O1155" i="4"/>
  <c r="O107" i="4"/>
  <c r="O669" i="4"/>
  <c r="O2188" i="4"/>
  <c r="P2181" i="4"/>
  <c r="P364" i="4"/>
  <c r="Q349" i="4"/>
  <c r="P1565" i="4"/>
  <c r="P191" i="4" s="1"/>
  <c r="Q1548" i="4"/>
  <c r="O2162" i="4"/>
  <c r="O236" i="4"/>
  <c r="Q157" i="4"/>
  <c r="O97" i="4"/>
  <c r="O690" i="4"/>
  <c r="M67" i="4"/>
  <c r="M85" i="4" s="1"/>
  <c r="M12" i="4"/>
  <c r="M2195" i="4"/>
  <c r="Q1076" i="4"/>
  <c r="R1072" i="4"/>
  <c r="R1076" i="4" s="1"/>
  <c r="M215" i="4"/>
  <c r="N1231" i="4"/>
  <c r="N158" i="4"/>
  <c r="N161" i="4" s="1"/>
  <c r="O241" i="5" l="1"/>
  <c r="O267" i="5" s="1"/>
  <c r="O16" i="5"/>
  <c r="P962" i="5"/>
  <c r="P135" i="5"/>
  <c r="P138" i="5" s="1"/>
  <c r="P1344" i="5"/>
  <c r="P159" i="5"/>
  <c r="P2142" i="5"/>
  <c r="P226" i="5" s="1"/>
  <c r="P229" i="5" s="1"/>
  <c r="Q2115" i="5"/>
  <c r="O100" i="5"/>
  <c r="O1088" i="5"/>
  <c r="L27" i="5"/>
  <c r="L49" i="5" s="1"/>
  <c r="Q209" i="5"/>
  <c r="Q211" i="5" s="1"/>
  <c r="P1439" i="5"/>
  <c r="O1484" i="5"/>
  <c r="P43" i="5"/>
  <c r="P213" i="5"/>
  <c r="Q1717" i="5"/>
  <c r="R1707" i="5"/>
  <c r="R1717" i="5" s="1"/>
  <c r="P96" i="5"/>
  <c r="P669" i="5"/>
  <c r="R1286" i="5"/>
  <c r="R1312" i="5" s="1"/>
  <c r="Q1312" i="5"/>
  <c r="Q160" i="5"/>
  <c r="P1585" i="5"/>
  <c r="Q1572" i="5"/>
  <c r="O373" i="5"/>
  <c r="O64" i="5"/>
  <c r="O65" i="5" s="1"/>
  <c r="O20" i="5" s="1"/>
  <c r="N1399" i="5"/>
  <c r="Q957" i="5"/>
  <c r="R706" i="5"/>
  <c r="Q958" i="5"/>
  <c r="O1231" i="5"/>
  <c r="O158" i="5"/>
  <c r="R277" i="5"/>
  <c r="R292" i="5" s="1"/>
  <c r="Q292" i="5"/>
  <c r="Q110" i="5"/>
  <c r="O2175" i="5"/>
  <c r="O237" i="5"/>
  <c r="P1776" i="5"/>
  <c r="P234" i="5"/>
  <c r="O542" i="5"/>
  <c r="O94" i="5"/>
  <c r="P1433" i="5"/>
  <c r="P190" i="5" s="1"/>
  <c r="Q1409" i="5"/>
  <c r="Q2160" i="5"/>
  <c r="R2146" i="5"/>
  <c r="R2160" i="5" s="1"/>
  <c r="O57" i="5"/>
  <c r="O59" i="5" s="1"/>
  <c r="O334" i="5"/>
  <c r="Q690" i="5"/>
  <c r="Q108" i="5"/>
  <c r="N13" i="5"/>
  <c r="N114" i="5"/>
  <c r="N142" i="5" s="1"/>
  <c r="O99" i="5"/>
  <c r="O1066" i="5"/>
  <c r="O1155" i="5"/>
  <c r="O157" i="5"/>
  <c r="M142" i="5"/>
  <c r="O196" i="5"/>
  <c r="O1615" i="5"/>
  <c r="R111" i="5"/>
  <c r="N163" i="5"/>
  <c r="N183" i="5" s="1"/>
  <c r="N14" i="5"/>
  <c r="O239" i="5"/>
  <c r="O24" i="5" s="1"/>
  <c r="R209" i="5"/>
  <c r="R211" i="5" s="1"/>
  <c r="P1221" i="5"/>
  <c r="Q1182" i="5"/>
  <c r="P56" i="5"/>
  <c r="P314" i="5"/>
  <c r="R1144" i="5"/>
  <c r="R1151" i="5" s="1"/>
  <c r="Q1151" i="5"/>
  <c r="N195" i="5"/>
  <c r="N197" i="5" s="1"/>
  <c r="N1542" i="5"/>
  <c r="N1617" i="5" s="1"/>
  <c r="O153" i="5"/>
  <c r="O154" i="5" s="1"/>
  <c r="O1396" i="5"/>
  <c r="O962" i="5"/>
  <c r="O135" i="5"/>
  <c r="O138" i="5" s="1"/>
  <c r="P2173" i="5"/>
  <c r="Q2168" i="5"/>
  <c r="Q1774" i="5"/>
  <c r="R1754" i="5"/>
  <c r="R1774" i="5" s="1"/>
  <c r="P454" i="5"/>
  <c r="Q441" i="5"/>
  <c r="O192" i="5"/>
  <c r="P235" i="5"/>
  <c r="P2108" i="5"/>
  <c r="R690" i="5"/>
  <c r="R108" i="5"/>
  <c r="O2162" i="5"/>
  <c r="Q599" i="5"/>
  <c r="R588" i="5"/>
  <c r="R599" i="5" s="1"/>
  <c r="Q971" i="5"/>
  <c r="P977" i="5"/>
  <c r="P1141" i="5"/>
  <c r="P1153" i="5" s="1"/>
  <c r="Q1123" i="5"/>
  <c r="Q1116" i="5"/>
  <c r="R1110" i="5"/>
  <c r="R1116" i="5" s="1"/>
  <c r="Q111" i="5"/>
  <c r="O2195" i="5"/>
  <c r="Q1163" i="5"/>
  <c r="P1177" i="5"/>
  <c r="P151" i="5" s="1"/>
  <c r="P1353" i="5"/>
  <c r="Q1351" i="5"/>
  <c r="Q1685" i="5"/>
  <c r="R1640" i="5"/>
  <c r="R1685" i="5" s="1"/>
  <c r="P432" i="5"/>
  <c r="Q403" i="5"/>
  <c r="Q580" i="5"/>
  <c r="Q106" i="5"/>
  <c r="Q1796" i="5"/>
  <c r="R1783" i="5"/>
  <c r="R1796" i="5" s="1"/>
  <c r="R160" i="5"/>
  <c r="Q1550" i="5"/>
  <c r="P1565" i="5"/>
  <c r="P191" i="5" s="1"/>
  <c r="P1076" i="5"/>
  <c r="Q1072" i="5"/>
  <c r="Q349" i="5"/>
  <c r="P364" i="5"/>
  <c r="Q717" i="5"/>
  <c r="Q98" i="5" s="1"/>
  <c r="R697" i="5"/>
  <c r="R717" i="5" s="1"/>
  <c r="R98" i="5" s="1"/>
  <c r="R1438" i="5"/>
  <c r="R1100" i="5"/>
  <c r="R1107" i="5" s="1"/>
  <c r="R1118" i="5" s="1"/>
  <c r="R150" i="5" s="1"/>
  <c r="Q1107" i="5"/>
  <c r="Q1118" i="5" s="1"/>
  <c r="Q150" i="5" s="1"/>
  <c r="R1747" i="5"/>
  <c r="R1750" i="5" s="1"/>
  <c r="R224" i="5" s="1"/>
  <c r="Q1750" i="5"/>
  <c r="Q224" i="5" s="1"/>
  <c r="R110" i="5"/>
  <c r="N67" i="5"/>
  <c r="N85" i="5" s="1"/>
  <c r="N12" i="5"/>
  <c r="P1695" i="5"/>
  <c r="P232" i="5"/>
  <c r="O434" i="5"/>
  <c r="O104" i="5"/>
  <c r="O112" i="5" s="1"/>
  <c r="O21" i="5" s="1"/>
  <c r="M49" i="5"/>
  <c r="P233" i="5"/>
  <c r="P1740" i="5"/>
  <c r="R106" i="5"/>
  <c r="R580" i="5"/>
  <c r="P2162" i="5"/>
  <c r="P236" i="5"/>
  <c r="P323" i="5"/>
  <c r="Q321" i="5"/>
  <c r="R722" i="5"/>
  <c r="R772" i="5" s="1"/>
  <c r="Q772" i="5"/>
  <c r="Q109" i="5" s="1"/>
  <c r="M17" i="5"/>
  <c r="M27" i="5" s="1"/>
  <c r="O375" i="5"/>
  <c r="N241" i="5"/>
  <c r="N267" i="5" s="1"/>
  <c r="P958" i="4"/>
  <c r="P957" i="4"/>
  <c r="P960" i="4" s="1"/>
  <c r="Q706" i="4"/>
  <c r="O2191" i="4"/>
  <c r="O238" i="4"/>
  <c r="O1231" i="4"/>
  <c r="O158" i="4"/>
  <c r="P97" i="4"/>
  <c r="P690" i="4"/>
  <c r="N67" i="4"/>
  <c r="N85" i="4" s="1"/>
  <c r="N12" i="4"/>
  <c r="O233" i="4"/>
  <c r="O1740" i="4"/>
  <c r="P1381" i="4"/>
  <c r="Q1359" i="4"/>
  <c r="R1747" i="4"/>
  <c r="R1750" i="4" s="1"/>
  <c r="R224" i="4" s="1"/>
  <c r="R229" i="4" s="1"/>
  <c r="Q1750" i="4"/>
  <c r="Q224" i="4" s="1"/>
  <c r="Q229" i="4" s="1"/>
  <c r="P1433" i="4"/>
  <c r="P190" i="4" s="1"/>
  <c r="P192" i="4" s="1"/>
  <c r="Q1409" i="4"/>
  <c r="N239" i="4"/>
  <c r="O962" i="4"/>
  <c r="O135" i="4"/>
  <c r="O138" i="4" s="1"/>
  <c r="M17" i="4"/>
  <c r="M27" i="4" s="1"/>
  <c r="R349" i="4"/>
  <c r="R364" i="4" s="1"/>
  <c r="Q364" i="4"/>
  <c r="R1572" i="4"/>
  <c r="R1585" i="4" s="1"/>
  <c r="Q1585" i="4"/>
  <c r="P150" i="4"/>
  <c r="P154" i="4" s="1"/>
  <c r="P1155" i="4"/>
  <c r="R434" i="4"/>
  <c r="R104" i="4"/>
  <c r="N13" i="4"/>
  <c r="O580" i="4"/>
  <c r="O106" i="4"/>
  <c r="R1498" i="4"/>
  <c r="R1540" i="4" s="1"/>
  <c r="Q1540" i="4"/>
  <c r="P159" i="4"/>
  <c r="P1344" i="4"/>
  <c r="P977" i="4"/>
  <c r="P99" i="4" s="1"/>
  <c r="Q970" i="4"/>
  <c r="O110" i="4"/>
  <c r="O1066" i="4"/>
  <c r="M24" i="4"/>
  <c r="M25" i="4" s="1"/>
  <c r="M241" i="4"/>
  <c r="M267" i="4" s="1"/>
  <c r="M41" i="4"/>
  <c r="M45" i="4" s="1"/>
  <c r="M47" i="4" s="1"/>
  <c r="M49" i="4" s="1"/>
  <c r="M140" i="4"/>
  <c r="M142" i="4" s="1"/>
  <c r="P1717" i="4"/>
  <c r="Q1707" i="4"/>
  <c r="O1396" i="4"/>
  <c r="O1399" i="4" s="1"/>
  <c r="O160" i="4"/>
  <c r="P314" i="4"/>
  <c r="P62" i="4"/>
  <c r="P1685" i="4"/>
  <c r="Q1640" i="4"/>
  <c r="Q321" i="4"/>
  <c r="P323" i="4"/>
  <c r="P16" i="4"/>
  <c r="O15" i="4"/>
  <c r="O199" i="4"/>
  <c r="N2195" i="4"/>
  <c r="Q441" i="4"/>
  <c r="P454" i="4"/>
  <c r="N22" i="4"/>
  <c r="N163" i="4"/>
  <c r="N183" i="4" s="1"/>
  <c r="Q100" i="4"/>
  <c r="Q1088" i="4"/>
  <c r="P2188" i="4"/>
  <c r="Q2181" i="4"/>
  <c r="N135" i="4"/>
  <c r="N138" i="4" s="1"/>
  <c r="N962" i="4"/>
  <c r="N1090" i="4" s="1"/>
  <c r="R63" i="4"/>
  <c r="Q2160" i="4"/>
  <c r="R2146" i="4"/>
  <c r="R2160" i="4" s="1"/>
  <c r="Q630" i="4"/>
  <c r="R612" i="4"/>
  <c r="R630" i="4" s="1"/>
  <c r="R1118" i="4"/>
  <c r="Q1182" i="4"/>
  <c r="P1221" i="4"/>
  <c r="Q679" i="4"/>
  <c r="R676" i="4"/>
  <c r="R679" i="4" s="1"/>
  <c r="N112" i="4"/>
  <c r="N21" i="4" s="1"/>
  <c r="O1542" i="4"/>
  <c r="R697" i="4"/>
  <c r="Q717" i="4"/>
  <c r="Q98" i="4" s="1"/>
  <c r="P1774" i="4"/>
  <c r="Q1754" i="4"/>
  <c r="O14" i="4"/>
  <c r="O65" i="4"/>
  <c r="O20" i="4" s="1"/>
  <c r="Q559" i="4"/>
  <c r="P566" i="4"/>
  <c r="Q63" i="4"/>
  <c r="P236" i="4"/>
  <c r="P2162" i="4"/>
  <c r="O1617" i="4"/>
  <c r="P1003" i="4"/>
  <c r="Q981" i="4"/>
  <c r="R296" i="4"/>
  <c r="R312" i="4" s="1"/>
  <c r="Q312" i="4"/>
  <c r="P717" i="4"/>
  <c r="P98" i="4" s="1"/>
  <c r="T772" i="4"/>
  <c r="R109" i="4"/>
  <c r="O542" i="4"/>
  <c r="O1090" i="4" s="1"/>
  <c r="O94" i="4"/>
  <c r="O101" i="4" s="1"/>
  <c r="R100" i="4"/>
  <c r="R1088" i="4"/>
  <c r="R1548" i="4"/>
  <c r="R1565" i="4" s="1"/>
  <c r="R191" i="4" s="1"/>
  <c r="Q1565" i="4"/>
  <c r="Q191" i="4" s="1"/>
  <c r="P373" i="4"/>
  <c r="P64" i="4"/>
  <c r="P1615" i="4"/>
  <c r="P196" i="4"/>
  <c r="Q434" i="4"/>
  <c r="Q104" i="4"/>
  <c r="P1484" i="4"/>
  <c r="P195" i="4" s="1"/>
  <c r="P197" i="4" s="1"/>
  <c r="P23" i="4" s="1"/>
  <c r="Q1438" i="4"/>
  <c r="P1542" i="4"/>
  <c r="P209" i="4"/>
  <c r="P211" i="4" s="1"/>
  <c r="R1286" i="4"/>
  <c r="R1312" i="4" s="1"/>
  <c r="Q1312" i="4"/>
  <c r="P107" i="4"/>
  <c r="P669" i="4"/>
  <c r="Q1118" i="4"/>
  <c r="L25" i="4"/>
  <c r="L27" i="4" s="1"/>
  <c r="L49" i="4" s="1"/>
  <c r="O43" i="4"/>
  <c r="O213" i="4"/>
  <c r="O1695" i="4"/>
  <c r="O232" i="4"/>
  <c r="O57" i="4"/>
  <c r="O59" i="4" s="1"/>
  <c r="O334" i="4"/>
  <c r="O375" i="4" s="1"/>
  <c r="O1776" i="4"/>
  <c r="O234" i="4"/>
  <c r="O67" i="5" l="1"/>
  <c r="O85" i="5" s="1"/>
  <c r="O12" i="5"/>
  <c r="P16" i="5"/>
  <c r="Q1076" i="5"/>
  <c r="R1072" i="5"/>
  <c r="R1076" i="5" s="1"/>
  <c r="P434" i="5"/>
  <c r="P104" i="5"/>
  <c r="P112" i="5" s="1"/>
  <c r="P21" i="5" s="1"/>
  <c r="R1776" i="5"/>
  <c r="R234" i="5"/>
  <c r="Q1585" i="5"/>
  <c r="R1572" i="5"/>
  <c r="R1585" i="5" s="1"/>
  <c r="Q233" i="5"/>
  <c r="Q1740" i="5"/>
  <c r="Q1439" i="5"/>
  <c r="P1484" i="5"/>
  <c r="R321" i="5"/>
  <c r="R323" i="5" s="1"/>
  <c r="Q323" i="5"/>
  <c r="P100" i="5"/>
  <c r="P1088" i="5"/>
  <c r="R1695" i="5"/>
  <c r="R232" i="5"/>
  <c r="R96" i="5"/>
  <c r="R669" i="5"/>
  <c r="Q1776" i="5"/>
  <c r="Q234" i="5"/>
  <c r="Q1433" i="5"/>
  <c r="Q190" i="5" s="1"/>
  <c r="R1409" i="5"/>
  <c r="R1433" i="5" s="1"/>
  <c r="R190" i="5" s="1"/>
  <c r="P57" i="5"/>
  <c r="P334" i="5"/>
  <c r="P375" i="5" s="1"/>
  <c r="N17" i="5"/>
  <c r="P373" i="5"/>
  <c r="P64" i="5"/>
  <c r="P65" i="5" s="1"/>
  <c r="P20" i="5" s="1"/>
  <c r="Q1695" i="5"/>
  <c r="Q232" i="5"/>
  <c r="R1163" i="5"/>
  <c r="R1177" i="5" s="1"/>
  <c r="R151" i="5" s="1"/>
  <c r="Q1177" i="5"/>
  <c r="Q151" i="5" s="1"/>
  <c r="P1155" i="5"/>
  <c r="P157" i="5"/>
  <c r="Q96" i="5"/>
  <c r="Q669" i="5"/>
  <c r="Q454" i="5"/>
  <c r="R441" i="5"/>
  <c r="R454" i="5" s="1"/>
  <c r="Q2173" i="5"/>
  <c r="R2168" i="5"/>
  <c r="R2173" i="5" s="1"/>
  <c r="O1399" i="5"/>
  <c r="P59" i="5"/>
  <c r="P192" i="5"/>
  <c r="Q960" i="5"/>
  <c r="Q159" i="5"/>
  <c r="Q1344" i="5"/>
  <c r="Q43" i="5"/>
  <c r="Q213" i="5"/>
  <c r="O1090" i="5"/>
  <c r="R229" i="5"/>
  <c r="R349" i="5"/>
  <c r="R364" i="5" s="1"/>
  <c r="Q364" i="5"/>
  <c r="R1550" i="5"/>
  <c r="R1565" i="5" s="1"/>
  <c r="R191" i="5" s="1"/>
  <c r="Q1565" i="5"/>
  <c r="Q191" i="5" s="1"/>
  <c r="R235" i="5"/>
  <c r="R2108" i="5"/>
  <c r="Q432" i="5"/>
  <c r="R403" i="5"/>
  <c r="R432" i="5" s="1"/>
  <c r="R1351" i="5"/>
  <c r="R1353" i="5" s="1"/>
  <c r="Q1353" i="5"/>
  <c r="P99" i="5"/>
  <c r="P1066" i="5"/>
  <c r="P542" i="5"/>
  <c r="P94" i="5"/>
  <c r="P2175" i="5"/>
  <c r="P2195" i="5" s="1"/>
  <c r="P237" i="5"/>
  <c r="P239" i="5" s="1"/>
  <c r="O14" i="5"/>
  <c r="Q1221" i="5"/>
  <c r="R1182" i="5"/>
  <c r="R1221" i="5" s="1"/>
  <c r="O161" i="5"/>
  <c r="O22" i="5" s="1"/>
  <c r="R2162" i="5"/>
  <c r="R236" i="5"/>
  <c r="O101" i="5"/>
  <c r="Q56" i="5"/>
  <c r="Q314" i="5"/>
  <c r="R159" i="5"/>
  <c r="R1344" i="5"/>
  <c r="R233" i="5"/>
  <c r="R1740" i="5"/>
  <c r="O195" i="5"/>
  <c r="O197" i="5" s="1"/>
  <c r="O23" i="5" s="1"/>
  <c r="O25" i="5" s="1"/>
  <c r="O1542" i="5"/>
  <c r="O1617" i="5" s="1"/>
  <c r="R2115" i="5"/>
  <c r="R2142" i="5" s="1"/>
  <c r="R226" i="5" s="1"/>
  <c r="Q2142" i="5"/>
  <c r="Q226" i="5" s="1"/>
  <c r="Q229" i="5" s="1"/>
  <c r="P41" i="5"/>
  <c r="P45" i="5" s="1"/>
  <c r="P47" i="5" s="1"/>
  <c r="P140" i="5"/>
  <c r="O41" i="5"/>
  <c r="O45" i="5" s="1"/>
  <c r="O47" i="5" s="1"/>
  <c r="O140" i="5"/>
  <c r="R56" i="5"/>
  <c r="R314" i="5"/>
  <c r="Q1141" i="5"/>
  <c r="Q1153" i="5" s="1"/>
  <c r="R1123" i="5"/>
  <c r="R1141" i="5" s="1"/>
  <c r="R1153" i="5" s="1"/>
  <c r="O199" i="5"/>
  <c r="O215" i="5" s="1"/>
  <c r="O15" i="5"/>
  <c r="N23" i="5"/>
  <c r="N25" i="5" s="1"/>
  <c r="N199" i="5"/>
  <c r="N215" i="5" s="1"/>
  <c r="R43" i="5"/>
  <c r="R213" i="5"/>
  <c r="R958" i="5"/>
  <c r="R957" i="5"/>
  <c r="R960" i="5" s="1"/>
  <c r="P196" i="5"/>
  <c r="P1615" i="5"/>
  <c r="T772" i="5"/>
  <c r="R109" i="5"/>
  <c r="Q235" i="5"/>
  <c r="Q2108" i="5"/>
  <c r="P153" i="5"/>
  <c r="P154" i="5" s="1"/>
  <c r="P1396" i="5"/>
  <c r="P1399" i="5" s="1"/>
  <c r="R971" i="5"/>
  <c r="R977" i="5" s="1"/>
  <c r="Q977" i="5"/>
  <c r="P1231" i="5"/>
  <c r="P158" i="5"/>
  <c r="Q2162" i="5"/>
  <c r="Q236" i="5"/>
  <c r="Q159" i="4"/>
  <c r="Q1344" i="4"/>
  <c r="Q314" i="4"/>
  <c r="Q62" i="4"/>
  <c r="R1182" i="4"/>
  <c r="R1221" i="4" s="1"/>
  <c r="Q1221" i="4"/>
  <c r="Q107" i="4"/>
  <c r="Q669" i="4"/>
  <c r="R2181" i="4"/>
  <c r="R2188" i="4" s="1"/>
  <c r="Q2188" i="4"/>
  <c r="R1640" i="4"/>
  <c r="R1685" i="4" s="1"/>
  <c r="Q1685" i="4"/>
  <c r="R209" i="4"/>
  <c r="R211" i="4" s="1"/>
  <c r="Q373" i="4"/>
  <c r="Q64" i="4"/>
  <c r="Q16" i="4"/>
  <c r="P962" i="4"/>
  <c r="P135" i="4"/>
  <c r="P138" i="4" s="1"/>
  <c r="O67" i="4"/>
  <c r="O85" i="4" s="1"/>
  <c r="O12" i="4"/>
  <c r="O17" i="4" s="1"/>
  <c r="Q150" i="4"/>
  <c r="Q154" i="4" s="1"/>
  <c r="Q1155" i="4"/>
  <c r="R1344" i="4"/>
  <c r="R159" i="4"/>
  <c r="Q1484" i="4"/>
  <c r="Q195" i="4" s="1"/>
  <c r="R1438" i="4"/>
  <c r="R1484" i="4" s="1"/>
  <c r="R195" i="4" s="1"/>
  <c r="R314" i="4"/>
  <c r="R62" i="4"/>
  <c r="P580" i="4"/>
  <c r="P106" i="4"/>
  <c r="R717" i="4"/>
  <c r="R98" i="4" s="1"/>
  <c r="R97" i="4"/>
  <c r="R690" i="4"/>
  <c r="P2191" i="4"/>
  <c r="P238" i="4"/>
  <c r="P1695" i="4"/>
  <c r="P232" i="4"/>
  <c r="O112" i="4"/>
  <c r="O21" i="4" s="1"/>
  <c r="N114" i="4"/>
  <c r="N142" i="4" s="1"/>
  <c r="P14" i="4"/>
  <c r="R373" i="4"/>
  <c r="R64" i="4"/>
  <c r="N24" i="4"/>
  <c r="N25" i="4" s="1"/>
  <c r="N241" i="4"/>
  <c r="N267" i="4" s="1"/>
  <c r="R16" i="4"/>
  <c r="O239" i="4"/>
  <c r="Q1003" i="4"/>
  <c r="R981" i="4"/>
  <c r="R1003" i="4" s="1"/>
  <c r="Q566" i="4"/>
  <c r="R559" i="4"/>
  <c r="R566" i="4" s="1"/>
  <c r="Q1774" i="4"/>
  <c r="R1754" i="4"/>
  <c r="R1774" i="4" s="1"/>
  <c r="Q97" i="4"/>
  <c r="Q690" i="4"/>
  <c r="R150" i="4"/>
  <c r="R154" i="4" s="1"/>
  <c r="R1155" i="4"/>
  <c r="R2162" i="4"/>
  <c r="R236" i="4"/>
  <c r="P542" i="4"/>
  <c r="P94" i="4"/>
  <c r="P101" i="4" s="1"/>
  <c r="O215" i="4"/>
  <c r="P57" i="4"/>
  <c r="P59" i="4" s="1"/>
  <c r="P334" i="4"/>
  <c r="P65" i="4"/>
  <c r="P20" i="4" s="1"/>
  <c r="Q1717" i="4"/>
  <c r="R1707" i="4"/>
  <c r="R1717" i="4" s="1"/>
  <c r="Q977" i="4"/>
  <c r="Q99" i="4" s="1"/>
  <c r="R970" i="4"/>
  <c r="R977" i="4" s="1"/>
  <c r="R99" i="4" s="1"/>
  <c r="Q196" i="4"/>
  <c r="Q1615" i="4"/>
  <c r="Q1433" i="4"/>
  <c r="Q190" i="4" s="1"/>
  <c r="Q192" i="4" s="1"/>
  <c r="R1409" i="4"/>
  <c r="R1433" i="4" s="1"/>
  <c r="R190" i="4" s="1"/>
  <c r="R192" i="4" s="1"/>
  <c r="R1359" i="4"/>
  <c r="R1381" i="4" s="1"/>
  <c r="Q1381" i="4"/>
  <c r="N17" i="4"/>
  <c r="O161" i="4"/>
  <c r="O2195" i="4"/>
  <c r="P43" i="4"/>
  <c r="P213" i="4"/>
  <c r="P1617" i="4"/>
  <c r="O13" i="4"/>
  <c r="P1066" i="4"/>
  <c r="P110" i="4"/>
  <c r="P1776" i="4"/>
  <c r="P234" i="4"/>
  <c r="P1231" i="4"/>
  <c r="P158" i="4"/>
  <c r="R107" i="4"/>
  <c r="R669" i="4"/>
  <c r="Q2162" i="4"/>
  <c r="Q236" i="4"/>
  <c r="N41" i="4"/>
  <c r="N45" i="4" s="1"/>
  <c r="N47" i="4" s="1"/>
  <c r="N140" i="4"/>
  <c r="Q454" i="4"/>
  <c r="R441" i="4"/>
  <c r="R454" i="4" s="1"/>
  <c r="R321" i="4"/>
  <c r="R323" i="4" s="1"/>
  <c r="Q323" i="4"/>
  <c r="P375" i="4"/>
  <c r="P233" i="4"/>
  <c r="P1740" i="4"/>
  <c r="Q1542" i="4"/>
  <c r="Q209" i="4"/>
  <c r="Q211" i="4" s="1"/>
  <c r="R196" i="4"/>
  <c r="R1615" i="4"/>
  <c r="O41" i="4"/>
  <c r="O45" i="4" s="1"/>
  <c r="O47" i="4" s="1"/>
  <c r="O140" i="4"/>
  <c r="P199" i="4"/>
  <c r="P15" i="4"/>
  <c r="P1396" i="4"/>
  <c r="P1399" i="4" s="1"/>
  <c r="P160" i="4"/>
  <c r="Q958" i="4"/>
  <c r="R706" i="4"/>
  <c r="Q957" i="4"/>
  <c r="Q960" i="4" s="1"/>
  <c r="Q16" i="5" l="1"/>
  <c r="R154" i="5"/>
  <c r="P14" i="5"/>
  <c r="P24" i="5"/>
  <c r="P241" i="5"/>
  <c r="P267" i="5" s="1"/>
  <c r="R434" i="5"/>
  <c r="R104" i="5"/>
  <c r="R112" i="5" s="1"/>
  <c r="R21" i="5" s="1"/>
  <c r="R16" i="5"/>
  <c r="P195" i="5"/>
  <c r="P197" i="5" s="1"/>
  <c r="P23" i="5" s="1"/>
  <c r="P1542" i="5"/>
  <c r="Q100" i="5"/>
  <c r="Q1088" i="5"/>
  <c r="R962" i="5"/>
  <c r="R135" i="5"/>
  <c r="R138" i="5" s="1"/>
  <c r="Q434" i="5"/>
  <c r="Q1090" i="5" s="1"/>
  <c r="Q104" i="5"/>
  <c r="Q112" i="5" s="1"/>
  <c r="Q21" i="5" s="1"/>
  <c r="P67" i="5"/>
  <c r="P85" i="5" s="1"/>
  <c r="P12" i="5"/>
  <c r="P161" i="5"/>
  <c r="P22" i="5" s="1"/>
  <c r="P25" i="5" s="1"/>
  <c r="R1439" i="5"/>
  <c r="R1484" i="5" s="1"/>
  <c r="Q1484" i="5"/>
  <c r="Q196" i="5"/>
  <c r="Q1615" i="5"/>
  <c r="O17" i="5"/>
  <c r="O27" i="5" s="1"/>
  <c r="O49" i="5" s="1"/>
  <c r="Q1155" i="5"/>
  <c r="Q157" i="5"/>
  <c r="P101" i="5"/>
  <c r="Q153" i="5"/>
  <c r="Q154" i="5" s="1"/>
  <c r="Q1396" i="5"/>
  <c r="Q373" i="5"/>
  <c r="Q64" i="5"/>
  <c r="Q65" i="5" s="1"/>
  <c r="Q20" i="5" s="1"/>
  <c r="Q542" i="5"/>
  <c r="Q94" i="5"/>
  <c r="Q2195" i="5"/>
  <c r="R192" i="5"/>
  <c r="Q57" i="5"/>
  <c r="Q334" i="5"/>
  <c r="Q375" i="5" s="1"/>
  <c r="P1090" i="5"/>
  <c r="Q99" i="5"/>
  <c r="Q1066" i="5"/>
  <c r="P1617" i="5"/>
  <c r="R375" i="5"/>
  <c r="Q59" i="5"/>
  <c r="O163" i="5"/>
  <c r="O183" i="5" s="1"/>
  <c r="R153" i="5"/>
  <c r="R1396" i="5"/>
  <c r="R1399" i="5" s="1"/>
  <c r="R373" i="5"/>
  <c r="R64" i="5"/>
  <c r="R65" i="5" s="1"/>
  <c r="R20" i="5" s="1"/>
  <c r="Q962" i="5"/>
  <c r="Q135" i="5"/>
  <c r="Q138" i="5" s="1"/>
  <c r="R2175" i="5"/>
  <c r="R2195" i="5" s="1"/>
  <c r="R237" i="5"/>
  <c r="R239" i="5" s="1"/>
  <c r="N27" i="5"/>
  <c r="N49" i="5" s="1"/>
  <c r="Q192" i="5"/>
  <c r="R57" i="5"/>
  <c r="R334" i="5"/>
  <c r="R100" i="5"/>
  <c r="R1088" i="5"/>
  <c r="R59" i="5"/>
  <c r="R1231" i="5"/>
  <c r="R158" i="5"/>
  <c r="Q2175" i="5"/>
  <c r="Q237" i="5"/>
  <c r="Q239" i="5" s="1"/>
  <c r="R99" i="5"/>
  <c r="R1066" i="5"/>
  <c r="O114" i="5"/>
  <c r="O142" i="5" s="1"/>
  <c r="O13" i="5"/>
  <c r="P199" i="5"/>
  <c r="P215" i="5" s="1"/>
  <c r="P15" i="5"/>
  <c r="R196" i="5"/>
  <c r="R1615" i="5"/>
  <c r="R1155" i="5"/>
  <c r="R157" i="5"/>
  <c r="R161" i="5" s="1"/>
  <c r="R22" i="5" s="1"/>
  <c r="Q1231" i="5"/>
  <c r="Q158" i="5"/>
  <c r="R542" i="5"/>
  <c r="R94" i="5"/>
  <c r="R101" i="5" s="1"/>
  <c r="Q43" i="4"/>
  <c r="Q213" i="4"/>
  <c r="O22" i="4"/>
  <c r="O25" i="4" s="1"/>
  <c r="O27" i="4" s="1"/>
  <c r="O49" i="4" s="1"/>
  <c r="O163" i="4"/>
  <c r="O183" i="4" s="1"/>
  <c r="Q233" i="4"/>
  <c r="Q1740" i="4"/>
  <c r="Q1231" i="4"/>
  <c r="Q158" i="4"/>
  <c r="Q57" i="4"/>
  <c r="Q59" i="4" s="1"/>
  <c r="Q334" i="4"/>
  <c r="N27" i="4"/>
  <c r="P13" i="4"/>
  <c r="R110" i="4"/>
  <c r="R1066" i="4"/>
  <c r="P112" i="4"/>
  <c r="P21" i="4" s="1"/>
  <c r="R1542" i="4"/>
  <c r="R1617" i="4" s="1"/>
  <c r="R2191" i="4"/>
  <c r="R238" i="4"/>
  <c r="P215" i="4"/>
  <c r="R57" i="4"/>
  <c r="R59" i="4" s="1"/>
  <c r="R334" i="4"/>
  <c r="N49" i="4"/>
  <c r="Q1396" i="4"/>
  <c r="Q1399" i="4" s="1"/>
  <c r="Q160" i="4"/>
  <c r="Q1617" i="4"/>
  <c r="P1090" i="4"/>
  <c r="R14" i="4"/>
  <c r="Q1776" i="4"/>
  <c r="Q234" i="4"/>
  <c r="Q110" i="4"/>
  <c r="Q1066" i="4"/>
  <c r="P239" i="4"/>
  <c r="R197" i="4"/>
  <c r="R23" i="4" s="1"/>
  <c r="P41" i="4"/>
  <c r="P45" i="4" s="1"/>
  <c r="P47" i="4" s="1"/>
  <c r="P140" i="4"/>
  <c r="Q1695" i="4"/>
  <c r="Q232" i="4"/>
  <c r="Q239" i="4" s="1"/>
  <c r="Q65" i="4"/>
  <c r="Q20" i="4" s="1"/>
  <c r="Q962" i="4"/>
  <c r="Q135" i="4"/>
  <c r="Q138" i="4" s="1"/>
  <c r="Q542" i="4"/>
  <c r="Q94" i="4"/>
  <c r="Q101" i="4" s="1"/>
  <c r="R15" i="4"/>
  <c r="Q580" i="4"/>
  <c r="Q106" i="4"/>
  <c r="Q112" i="4" s="1"/>
  <c r="Q21" i="4" s="1"/>
  <c r="R375" i="4"/>
  <c r="R43" i="4"/>
  <c r="R213" i="4"/>
  <c r="Q2191" i="4"/>
  <c r="Q238" i="4"/>
  <c r="R957" i="4"/>
  <c r="R958" i="4"/>
  <c r="Q15" i="4"/>
  <c r="R1776" i="4"/>
  <c r="R234" i="4"/>
  <c r="R1231" i="4"/>
  <c r="R158" i="4"/>
  <c r="R542" i="4"/>
  <c r="R94" i="4"/>
  <c r="R101" i="4" s="1"/>
  <c r="P161" i="4"/>
  <c r="O114" i="4"/>
  <c r="O142" i="4" s="1"/>
  <c r="R1396" i="4"/>
  <c r="R1399" i="4" s="1"/>
  <c r="R160" i="4"/>
  <c r="R233" i="4"/>
  <c r="R1740" i="4"/>
  <c r="P67" i="4"/>
  <c r="P85" i="4" s="1"/>
  <c r="P12" i="4"/>
  <c r="P17" i="4" s="1"/>
  <c r="R106" i="4"/>
  <c r="R112" i="4" s="1"/>
  <c r="R21" i="4" s="1"/>
  <c r="R580" i="4"/>
  <c r="O24" i="4"/>
  <c r="O241" i="4"/>
  <c r="O267" i="4" s="1"/>
  <c r="P2195" i="4"/>
  <c r="R65" i="4"/>
  <c r="R20" i="4" s="1"/>
  <c r="Q197" i="4"/>
  <c r="Q23" i="4" s="1"/>
  <c r="Q14" i="4"/>
  <c r="R1695" i="4"/>
  <c r="R232" i="4"/>
  <c r="Q375" i="4"/>
  <c r="R24" i="5" l="1"/>
  <c r="R241" i="5"/>
  <c r="R267" i="5" s="1"/>
  <c r="Q24" i="5"/>
  <c r="Q241" i="5"/>
  <c r="Q267" i="5" s="1"/>
  <c r="R114" i="5"/>
  <c r="R13" i="5"/>
  <c r="Q41" i="5"/>
  <c r="Q45" i="5" s="1"/>
  <c r="Q47" i="5" s="1"/>
  <c r="Q140" i="5"/>
  <c r="Q195" i="5"/>
  <c r="Q197" i="5" s="1"/>
  <c r="Q23" i="5" s="1"/>
  <c r="Q1542" i="5"/>
  <c r="R14" i="5"/>
  <c r="R163" i="5"/>
  <c r="R183" i="5" s="1"/>
  <c r="R195" i="5"/>
  <c r="R197" i="5" s="1"/>
  <c r="R23" i="5" s="1"/>
  <c r="R25" i="5" s="1"/>
  <c r="R1542" i="5"/>
  <c r="Q15" i="5"/>
  <c r="Q67" i="5"/>
  <c r="Q85" i="5" s="1"/>
  <c r="Q12" i="5"/>
  <c r="Q14" i="5"/>
  <c r="Q161" i="5"/>
  <c r="Q22" i="5" s="1"/>
  <c r="Q25" i="5" s="1"/>
  <c r="R1090" i="5"/>
  <c r="P163" i="5"/>
  <c r="P183" i="5" s="1"/>
  <c r="R15" i="5"/>
  <c r="R199" i="5"/>
  <c r="R215" i="5" s="1"/>
  <c r="P114" i="5"/>
  <c r="P142" i="5" s="1"/>
  <c r="P13" i="5"/>
  <c r="P17" i="5"/>
  <c r="P27" i="5" s="1"/>
  <c r="P49" i="5" s="1"/>
  <c r="R1617" i="5"/>
  <c r="R67" i="5"/>
  <c r="R85" i="5" s="1"/>
  <c r="R12" i="5"/>
  <c r="Q101" i="5"/>
  <c r="Q1399" i="5"/>
  <c r="Q1617" i="5"/>
  <c r="R41" i="5"/>
  <c r="R45" i="5" s="1"/>
  <c r="R47" i="5" s="1"/>
  <c r="R140" i="5"/>
  <c r="Q114" i="4"/>
  <c r="Q142" i="4" s="1"/>
  <c r="Q13" i="4"/>
  <c r="R12" i="4"/>
  <c r="R67" i="4"/>
  <c r="R85" i="4" s="1"/>
  <c r="Q67" i="4"/>
  <c r="Q85" i="4" s="1"/>
  <c r="Q12" i="4"/>
  <c r="Q17" i="4" s="1"/>
  <c r="Q1090" i="4"/>
  <c r="R2195" i="4"/>
  <c r="R161" i="4"/>
  <c r="Q24" i="4"/>
  <c r="Q241" i="4"/>
  <c r="Q267" i="4" s="1"/>
  <c r="Q161" i="4"/>
  <c r="R114" i="4"/>
  <c r="R13" i="4"/>
  <c r="R239" i="4"/>
  <c r="P114" i="4"/>
  <c r="P142" i="4" s="1"/>
  <c r="R960" i="4"/>
  <c r="P22" i="4"/>
  <c r="P25" i="4" s="1"/>
  <c r="P27" i="4" s="1"/>
  <c r="P49" i="4" s="1"/>
  <c r="P163" i="4"/>
  <c r="P183" i="4" s="1"/>
  <c r="Q199" i="4"/>
  <c r="Q215" i="4" s="1"/>
  <c r="R199" i="4"/>
  <c r="R215" i="4" s="1"/>
  <c r="Q41" i="4"/>
  <c r="Q45" i="4" s="1"/>
  <c r="Q47" i="4" s="1"/>
  <c r="Q140" i="4"/>
  <c r="Q2195" i="4"/>
  <c r="P24" i="4"/>
  <c r="P241" i="4"/>
  <c r="P267" i="4" s="1"/>
  <c r="Q114" i="5" l="1"/>
  <c r="Q142" i="5" s="1"/>
  <c r="Q13" i="5"/>
  <c r="R17" i="5"/>
  <c r="R27" i="5" s="1"/>
  <c r="R49" i="5" s="1"/>
  <c r="Q163" i="5"/>
  <c r="Q183" i="5" s="1"/>
  <c r="Q199" i="5"/>
  <c r="Q215" i="5" s="1"/>
  <c r="Q17" i="5"/>
  <c r="Q27" i="5" s="1"/>
  <c r="Q49" i="5"/>
  <c r="R142" i="5"/>
  <c r="R962" i="4"/>
  <c r="R1090" i="4" s="1"/>
  <c r="R135" i="4"/>
  <c r="R138" i="4" s="1"/>
  <c r="Q22" i="4"/>
  <c r="Q25" i="4" s="1"/>
  <c r="Q163" i="4"/>
  <c r="Q183" i="4" s="1"/>
  <c r="Q27" i="4"/>
  <c r="Q49" i="4" s="1"/>
  <c r="R24" i="4"/>
  <c r="R241" i="4"/>
  <c r="R267" i="4" s="1"/>
  <c r="R22" i="4"/>
  <c r="R25" i="4" s="1"/>
  <c r="R163" i="4"/>
  <c r="R183" i="4" s="1"/>
  <c r="R17" i="4"/>
  <c r="R27" i="4" l="1"/>
  <c r="R41" i="4"/>
  <c r="R45" i="4" s="1"/>
  <c r="R47" i="4" s="1"/>
  <c r="R49" i="4" s="1"/>
  <c r="R140" i="4"/>
  <c r="R142" i="4" s="1"/>
</calcChain>
</file>

<file path=xl/sharedStrings.xml><?xml version="1.0" encoding="utf-8"?>
<sst xmlns="http://schemas.openxmlformats.org/spreadsheetml/2006/main" count="7732" uniqueCount="1321">
  <si>
    <t xml:space="preserve">2018-19 </t>
  </si>
  <si>
    <t xml:space="preserve">Income Statement </t>
  </si>
  <si>
    <t>Actual</t>
  </si>
  <si>
    <t>Original</t>
  </si>
  <si>
    <t>Projected</t>
  </si>
  <si>
    <t>2016-2017</t>
  </si>
  <si>
    <t>2017-2018</t>
  </si>
  <si>
    <t>2018-2019</t>
  </si>
  <si>
    <t>2019-2020</t>
  </si>
  <si>
    <t>2020-2021</t>
  </si>
  <si>
    <t>2021-2022</t>
  </si>
  <si>
    <t>2022-2023</t>
  </si>
  <si>
    <t>2023-2024</t>
  </si>
  <si>
    <t>2024-2025</t>
  </si>
  <si>
    <t>2025-2026</t>
  </si>
  <si>
    <t>2026-2027</t>
  </si>
  <si>
    <t>2027-2028</t>
  </si>
  <si>
    <t>2028-2029</t>
  </si>
  <si>
    <t>$</t>
  </si>
  <si>
    <t>Income From Continuing Operations</t>
  </si>
  <si>
    <t>Rates &amp; Annual Charges</t>
  </si>
  <si>
    <t>User Charges &amp; Fees</t>
  </si>
  <si>
    <t>Interest &amp; Investment Revenue</t>
  </si>
  <si>
    <t>Other Revenues</t>
  </si>
  <si>
    <t>Grants &amp; Contributions provided for Operating Purposes</t>
  </si>
  <si>
    <t>Grants &amp; Contributions provided for Capital Purposes</t>
  </si>
  <si>
    <t>Other Income</t>
  </si>
  <si>
    <t>Net Gains from the Disposal of Assets</t>
  </si>
  <si>
    <t>Net Share of interests in Joint Ventures &amp;</t>
  </si>
  <si>
    <t>Associates using the equity method</t>
  </si>
  <si>
    <t>Total Income From Continuing Operations</t>
  </si>
  <si>
    <t>Expenses From Continuing Operations</t>
  </si>
  <si>
    <t>Employee Benefits &amp; On-costs</t>
  </si>
  <si>
    <t>Borrowing Costs</t>
  </si>
  <si>
    <t>Materials and Contracts</t>
  </si>
  <si>
    <t>Depreciation &amp; Amortisation</t>
  </si>
  <si>
    <t>Other Expenses</t>
  </si>
  <si>
    <t>Net Losses from the Disposal of Assets</t>
  </si>
  <si>
    <t>Total Expenses From Continuing Operations</t>
  </si>
  <si>
    <t>Operating Result from Continuing Operations</t>
  </si>
  <si>
    <t xml:space="preserve">Net Operating Result for the year before Grants &amp; </t>
  </si>
  <si>
    <t>Contributions provided for capital purposes</t>
  </si>
  <si>
    <t>2018-19</t>
  </si>
  <si>
    <t>Statement of Cash Flows</t>
  </si>
  <si>
    <t>Cash Flows from Operating Activities</t>
  </si>
  <si>
    <t>Receipts</t>
  </si>
  <si>
    <t>Payments</t>
  </si>
  <si>
    <t>Net Cash provided (or used) in Operating Activities</t>
  </si>
  <si>
    <t>Cash Flows From Investing Activities</t>
  </si>
  <si>
    <t>Sale of Infrastructure, Property,Plant and Equipment</t>
  </si>
  <si>
    <t>Purchase of Infrastructure, Property,Plant and Equipment</t>
  </si>
  <si>
    <t>Net Cash provided (or used) in Investing Activities</t>
  </si>
  <si>
    <t>Cash Flows From Financing Activities</t>
  </si>
  <si>
    <t>Proceeds from Borrowings &amp; Advances</t>
  </si>
  <si>
    <t>Repayment of Borrowings &amp; Advances</t>
  </si>
  <si>
    <t>Net Cash provided (or used) in Financing Activities</t>
  </si>
  <si>
    <t>Net Increase/(Decrease) in Cash &amp; Cash Equivalents</t>
  </si>
  <si>
    <t>Cash &amp; Cash Equivalents at the beginning of the year</t>
  </si>
  <si>
    <t>Cash &amp; Cash Equivalents at the end of the year</t>
  </si>
  <si>
    <t>Balance Sheet</t>
  </si>
  <si>
    <t>2015-2016</t>
  </si>
  <si>
    <t>Assets</t>
  </si>
  <si>
    <t>Current Assets</t>
  </si>
  <si>
    <t>Cash &amp; Cash Equivalents</t>
  </si>
  <si>
    <t>Investments</t>
  </si>
  <si>
    <t>Recievables</t>
  </si>
  <si>
    <t xml:space="preserve">Inventories </t>
  </si>
  <si>
    <t>Other</t>
  </si>
  <si>
    <t>Total Current Assets</t>
  </si>
  <si>
    <t>Non-Current Assets</t>
  </si>
  <si>
    <t>Infrastructure , Property, Plant &amp; Equipment</t>
  </si>
  <si>
    <t>Total Non- Current Assets</t>
  </si>
  <si>
    <t>Total Assets</t>
  </si>
  <si>
    <t>Liabilities</t>
  </si>
  <si>
    <t>Current Liabilities</t>
  </si>
  <si>
    <t>Payables</t>
  </si>
  <si>
    <t>Income received in Advance</t>
  </si>
  <si>
    <t>Borrowings</t>
  </si>
  <si>
    <t>Provisions</t>
  </si>
  <si>
    <t>Total Current Liabilities</t>
  </si>
  <si>
    <t>Non - Current Liabilities</t>
  </si>
  <si>
    <t>Total Non - Current Liabilities</t>
  </si>
  <si>
    <t>Total Liabilities</t>
  </si>
  <si>
    <t>Net Assets</t>
  </si>
  <si>
    <t>Equity</t>
  </si>
  <si>
    <t>Retained Earnings</t>
  </si>
  <si>
    <t>Revaluation Reserves</t>
  </si>
  <si>
    <t>Council Equity Interest</t>
  </si>
  <si>
    <t>Minority Equity Interest</t>
  </si>
  <si>
    <t>Total Equity</t>
  </si>
  <si>
    <t>Capital Expenditure</t>
  </si>
  <si>
    <t>WIP</t>
  </si>
  <si>
    <t>Plant and Equipment</t>
  </si>
  <si>
    <t>Office Equipment</t>
  </si>
  <si>
    <t>Furniture &amp; Fittings</t>
  </si>
  <si>
    <t>Land</t>
  </si>
  <si>
    <t>- Operational</t>
  </si>
  <si>
    <t>- Community</t>
  </si>
  <si>
    <t>Land Improvements -depreciable</t>
  </si>
  <si>
    <t>Land Improvements - non depreciable</t>
  </si>
  <si>
    <t>Buildings Non Specialised</t>
  </si>
  <si>
    <t>Buildings Specialised</t>
  </si>
  <si>
    <t>Buildings/Other Structures</t>
  </si>
  <si>
    <t>Roads, Bridges,</t>
  </si>
  <si>
    <t>Footpaths</t>
  </si>
  <si>
    <t>Kerb &amp; Guttering</t>
  </si>
  <si>
    <t>Stormwater drainage</t>
  </si>
  <si>
    <t>Total Capital Expenditure</t>
  </si>
  <si>
    <t>Statement of Performance Measurement - Indicators</t>
  </si>
  <si>
    <t>2012- 2013</t>
  </si>
  <si>
    <t>2013-2014</t>
  </si>
  <si>
    <t>2014-2015</t>
  </si>
  <si>
    <t>Operating Ratio</t>
  </si>
  <si>
    <t>Own Source  Operating Revenue Ratio</t>
  </si>
  <si>
    <t>Unrestricted current ratio</t>
  </si>
  <si>
    <t>Debt Service Cover Ratio</t>
  </si>
  <si>
    <t>Rates &amp; Annual Charges Outstanding Percentage</t>
  </si>
  <si>
    <t>Cash Expense CoverRatio</t>
  </si>
  <si>
    <t>Building and infrastructure renewals ratio</t>
  </si>
  <si>
    <t>Infrastructure Backlog Ratio</t>
  </si>
  <si>
    <t>Asset Maintenance Ratio</t>
  </si>
  <si>
    <t>Fit For The Future</t>
  </si>
  <si>
    <t>Operating Performance Ratio</t>
  </si>
  <si>
    <t>3 year average</t>
  </si>
  <si>
    <t>Building and Infrastructure Renewals Ratio</t>
  </si>
  <si>
    <t>3 Year Average</t>
  </si>
  <si>
    <t>Debt Service Ratio</t>
  </si>
  <si>
    <t>Real Operating Expenditure Per Capita</t>
  </si>
  <si>
    <t>5 Year trend</t>
  </si>
  <si>
    <t>Option 1</t>
  </si>
  <si>
    <t>Option 2</t>
  </si>
  <si>
    <t>Option 3</t>
  </si>
  <si>
    <t>OPTION 1</t>
  </si>
  <si>
    <t xml:space="preserve">DRAFT 2019/2020 BUDGET </t>
  </si>
  <si>
    <t>2013/2014</t>
  </si>
  <si>
    <t>2014/2015</t>
  </si>
  <si>
    <t>2015/2016</t>
  </si>
  <si>
    <t>2016/2017</t>
  </si>
  <si>
    <t>2017/2018</t>
  </si>
  <si>
    <t>2018/2019</t>
  </si>
  <si>
    <t>2019/2020</t>
  </si>
  <si>
    <t>2020/2021</t>
  </si>
  <si>
    <t>2021/2022</t>
  </si>
  <si>
    <t>2022/2023</t>
  </si>
  <si>
    <t>2023/2024</t>
  </si>
  <si>
    <t>2024/2025</t>
  </si>
  <si>
    <t>2025/2026</t>
  </si>
  <si>
    <t>2026/2027</t>
  </si>
  <si>
    <t>2027/2028</t>
  </si>
  <si>
    <t>2028/2029</t>
  </si>
  <si>
    <t xml:space="preserve">      DESCRIPTION</t>
  </si>
  <si>
    <t>Note</t>
  </si>
  <si>
    <t>ACTUAL</t>
  </si>
  <si>
    <t>ESTIMATE</t>
  </si>
  <si>
    <t>ORIGINAL</t>
  </si>
  <si>
    <t>DRAFT</t>
  </si>
  <si>
    <t>SUMMARY BY PROGRAM AND ACTIVITY</t>
  </si>
  <si>
    <t>OPERATIONS</t>
  </si>
  <si>
    <t>REVENUE</t>
  </si>
  <si>
    <t>MAINTAIN CHARACTER AND MANAGE GROWTH PLANNING</t>
  </si>
  <si>
    <t>FOCUS ON THE COMMUNITY</t>
  </si>
  <si>
    <t>MANAGE AND PRESERVE OUR ENVIRONMENT</t>
  </si>
  <si>
    <t>MAKE GETTING AROUND EASIER</t>
  </si>
  <si>
    <t>LEADERSHIP AND GOVERNANCE</t>
  </si>
  <si>
    <t>TOTAL REVENUE</t>
  </si>
  <si>
    <t>EXPENDITURE</t>
  </si>
  <si>
    <t>TOTAL EXPENDITURE</t>
  </si>
  <si>
    <t>NET OPERATIONS</t>
  </si>
  <si>
    <t>CAPITAL</t>
  </si>
  <si>
    <t>CAPITAL REVENUE</t>
  </si>
  <si>
    <t>TOTAL CAPITAL REVENUE</t>
  </si>
  <si>
    <t>CAPITAL EXPENDITURE</t>
  </si>
  <si>
    <t>TOTAL CAPITAL EXPENDITURE</t>
  </si>
  <si>
    <t>NET CAPITAL</t>
  </si>
  <si>
    <t>NET SURPLUS/DEFICIT(-)</t>
  </si>
  <si>
    <t>Development Control</t>
  </si>
  <si>
    <t>Heritage and Conservation</t>
  </si>
  <si>
    <t>Forward Planning</t>
  </si>
  <si>
    <t>NET MAINTAIN CHARACTER AND MANAGE GROWTH PLANNING</t>
  </si>
  <si>
    <t>Community Development</t>
  </si>
  <si>
    <t>Aged and Disabled</t>
  </si>
  <si>
    <t>Youth Services</t>
  </si>
  <si>
    <t>Childrens Services</t>
  </si>
  <si>
    <t>Library &amp; Information</t>
  </si>
  <si>
    <t>Recreation and Parks</t>
  </si>
  <si>
    <t>Community Buildings</t>
  </si>
  <si>
    <t>Emergency Services</t>
  </si>
  <si>
    <t>NET FOCUS ON THE COMMUNITY</t>
  </si>
  <si>
    <t>Environment Protection</t>
  </si>
  <si>
    <t>Waste Management</t>
  </si>
  <si>
    <t>Roads and Drainage</t>
  </si>
  <si>
    <t>NET MANAGE AND PRESERVE OUR ENVIRONMENT</t>
  </si>
  <si>
    <t>Traffic and Parking</t>
  </si>
  <si>
    <t>NET MAKE GETTING AROUND EASIER</t>
  </si>
  <si>
    <t>Management and Council Support</t>
  </si>
  <si>
    <t>Information Systems</t>
  </si>
  <si>
    <t>Human Resources</t>
  </si>
  <si>
    <t>Financial Management</t>
  </si>
  <si>
    <t>Accounting Operations</t>
  </si>
  <si>
    <t>Continuous Improvement</t>
  </si>
  <si>
    <t>NET LEADERSHIP AND GOVERNANCE</t>
  </si>
  <si>
    <t>DEVELOPMENT CONTROL</t>
  </si>
  <si>
    <t>INCOME</t>
  </si>
  <si>
    <t>Development Application Fees</t>
  </si>
  <si>
    <t>Complying Development Certificates</t>
  </si>
  <si>
    <t>Notification Fees</t>
  </si>
  <si>
    <t>Subdivision Fees</t>
  </si>
  <si>
    <t>Certificates Sec 149</t>
  </si>
  <si>
    <t>Advertising Fees Statutory</t>
  </si>
  <si>
    <t>Building Permits /Construction Certificates</t>
  </si>
  <si>
    <t>Compliance Certificates (Occup,Class,Fin)</t>
  </si>
  <si>
    <t>Compliance Swimming Pools Inspection</t>
  </si>
  <si>
    <t>Certificates S149D</t>
  </si>
  <si>
    <t>Building Inspection Fees</t>
  </si>
  <si>
    <t>Commission Building Services Corp</t>
  </si>
  <si>
    <t>Grant DA's System</t>
  </si>
  <si>
    <t>Total Income</t>
  </si>
  <si>
    <t>Salaries &amp; allowances</t>
  </si>
  <si>
    <t>(Includes part time landscape assessor $50K and part time to full time)</t>
  </si>
  <si>
    <t>Travelling</t>
  </si>
  <si>
    <t>Accrual of leave entitlement</t>
  </si>
  <si>
    <t>Depreciation of vehicles</t>
  </si>
  <si>
    <t>Payments to Government</t>
  </si>
  <si>
    <t>Payments to Consultants</t>
  </si>
  <si>
    <t>Payments to Consultants Gladesville)</t>
  </si>
  <si>
    <t>Notification Costs</t>
  </si>
  <si>
    <t>Office Expenses</t>
  </si>
  <si>
    <t>Joint Regional Planning Panels</t>
  </si>
  <si>
    <t>Independent Planning Panels</t>
  </si>
  <si>
    <t>Legal expenses</t>
  </si>
  <si>
    <t>Total Expenditure</t>
  </si>
  <si>
    <t>Total Development Control</t>
  </si>
  <si>
    <t>HERITAGE &amp; CONSERVATION</t>
  </si>
  <si>
    <t>Heritage  Advisor Site Visits</t>
  </si>
  <si>
    <t>Heritage Consultant</t>
  </si>
  <si>
    <t>Total Heritage &amp; Conservation</t>
  </si>
  <si>
    <t>FORWARD PLANNING</t>
  </si>
  <si>
    <t>GSV Development</t>
  </si>
  <si>
    <t>Rezonings/LEP's</t>
  </si>
  <si>
    <t>Acceleration Fund Comprehensive LEP &amp; Mapping</t>
  </si>
  <si>
    <t>Gladesville Main Street</t>
  </si>
  <si>
    <t>Review of LEP</t>
  </si>
  <si>
    <t>Comprehensive LEP</t>
  </si>
  <si>
    <t>Comprehensive LEP &amp; Mapping</t>
  </si>
  <si>
    <t xml:space="preserve">Comprehensive Review of DCP </t>
  </si>
  <si>
    <t>S94A</t>
  </si>
  <si>
    <t>Gladesville Stage 2 - Gladesville Action Plan</t>
  </si>
  <si>
    <t>LEP/DCP Project Management Gladesville</t>
  </si>
  <si>
    <t xml:space="preserve">Pittwater Rd (Princess St Precinct) LEP &amp; DCP </t>
  </si>
  <si>
    <t>Main Street Committees - Economic Development</t>
  </si>
  <si>
    <t>Review of Gladesville Master Plan</t>
  </si>
  <si>
    <t>CAPITAL INCOME</t>
  </si>
  <si>
    <t>S94A Contribution - Comprehensive LEP &amp; DCP</t>
  </si>
  <si>
    <t>S94A Contribution - Development Admin &amp; Mgmt S94A</t>
  </si>
  <si>
    <t>Total Capital Income</t>
  </si>
  <si>
    <t>Total Forward Planning</t>
  </si>
  <si>
    <t>Total Maintain Character and Manage Growth Planning</t>
  </si>
  <si>
    <t>COMMUNITY DEVELOPMENT</t>
  </si>
  <si>
    <t>Grants &amp; Subsidies</t>
  </si>
  <si>
    <t>Art Exhibition Income</t>
  </si>
  <si>
    <t>Young in Art</t>
  </si>
  <si>
    <t>Moocooboola Festival</t>
  </si>
  <si>
    <t>Other Festivals &amp; Celeb</t>
  </si>
  <si>
    <t>New Years Eve</t>
  </si>
  <si>
    <t>Carols By Candlelight</t>
  </si>
  <si>
    <t>Anzac Day</t>
  </si>
  <si>
    <t>Advantages of Area Souvenirs</t>
  </si>
  <si>
    <t>Hunters Hill Street Feast</t>
  </si>
  <si>
    <t>Australia Day</t>
  </si>
  <si>
    <t>Fleet Review</t>
  </si>
  <si>
    <t>Harbour Sculpture</t>
  </si>
  <si>
    <t>Gladesville Spring Fair(Flicks &amp; Eats)</t>
  </si>
  <si>
    <t>Census Statistics (profile ID)</t>
  </si>
  <si>
    <t xml:space="preserve">Northern Sydney Aboriginal Social Plan Implementation </t>
  </si>
  <si>
    <t>Membership Aboriginal Heritage Office</t>
  </si>
  <si>
    <t>Archaeological Assessment of aboriginal sites</t>
  </si>
  <si>
    <t>Art Exhibition</t>
  </si>
  <si>
    <t>Youth Art Exhibition</t>
  </si>
  <si>
    <t>Museum</t>
  </si>
  <si>
    <t>NewYears Eve</t>
  </si>
  <si>
    <t xml:space="preserve">Citizenship Ceremonies </t>
  </si>
  <si>
    <t>Volunteers Morning Tea</t>
  </si>
  <si>
    <t>Tourism Sundry Expenses</t>
  </si>
  <si>
    <t>Advert Advantages of the Area Souvenirs</t>
  </si>
  <si>
    <t>Gladesville Spring Fair (Flicks &amp; eats)</t>
  </si>
  <si>
    <t>(OTHER COMMUNITY SERVICES)</t>
  </si>
  <si>
    <t>Community Grants</t>
  </si>
  <si>
    <t>Total Community Development</t>
  </si>
  <si>
    <t>AGED &amp; DISABLED</t>
  </si>
  <si>
    <t>G'ville Rd Comm Cntr 44</t>
  </si>
  <si>
    <t>Respite Care 42 G'ville Rd</t>
  </si>
  <si>
    <t>46 Gladesville Rd</t>
  </si>
  <si>
    <t>Henley Community Centre (Bowling Club)</t>
  </si>
  <si>
    <t>CBP Grant Henley Comm Centre</t>
  </si>
  <si>
    <t>Henley Comm Centre Donation</t>
  </si>
  <si>
    <t>Gladesville Reserve Plan of mgt</t>
  </si>
  <si>
    <t xml:space="preserve">Senior Citizens Week Other </t>
  </si>
  <si>
    <t>Senior Citizens Week Grant</t>
  </si>
  <si>
    <t xml:space="preserve">Active Mind Active Body </t>
  </si>
  <si>
    <t>Aged and Disability Grant</t>
  </si>
  <si>
    <t>NSW Carers Awards</t>
  </si>
  <si>
    <t>Gladesville Rd  Comm Centre</t>
  </si>
  <si>
    <t>Deprc.of Furniture &amp; Fitt</t>
  </si>
  <si>
    <t>Depreciation of Buildings</t>
  </si>
  <si>
    <t>Depreciation Of Buildings</t>
  </si>
  <si>
    <t>Depreciation of Improvements</t>
  </si>
  <si>
    <t xml:space="preserve">Senior Citizens Week </t>
  </si>
  <si>
    <t>Social Inclusion Program Project</t>
  </si>
  <si>
    <t>Disability Inclusion Action Plan</t>
  </si>
  <si>
    <t>Active Mind Active Body</t>
  </si>
  <si>
    <t xml:space="preserve">Aged and Disability </t>
  </si>
  <si>
    <t>Aged Services Social Plan Projects</t>
  </si>
  <si>
    <t>Aged Project Hunters Hill Pedestrian Plan</t>
  </si>
  <si>
    <t>S94 Contribution - Gladesville Rd Community Centre</t>
  </si>
  <si>
    <t>TAM</t>
  </si>
  <si>
    <t>46 Gladesville Rd TAM Identified Works</t>
  </si>
  <si>
    <t>Floor Coverings</t>
  </si>
  <si>
    <t>CF</t>
  </si>
  <si>
    <t>Replace Air Conditioners</t>
  </si>
  <si>
    <t>Refurbish Kitchen</t>
  </si>
  <si>
    <t>Refurbish Bathrooms</t>
  </si>
  <si>
    <t>Painting (internal &amp; external)</t>
  </si>
  <si>
    <t>External works (eg painting, landscaping, roofing)</t>
  </si>
  <si>
    <t>CF2A</t>
  </si>
  <si>
    <t>Internal upgrades (eg blinds, carpet, painting, furniture, kitchen, airconditioner)</t>
  </si>
  <si>
    <t>Glades Rd Comm Cent  TAM Identified Works</t>
  </si>
  <si>
    <t>Refurbish Bathroom</t>
  </si>
  <si>
    <t>Air Conditioner Refurbishment</t>
  </si>
  <si>
    <t>Carpet</t>
  </si>
  <si>
    <t>Furniture</t>
  </si>
  <si>
    <t>CF2</t>
  </si>
  <si>
    <t>Replace Blinds &amp; Curtains</t>
  </si>
  <si>
    <t>42 Gladesville Rd TAM Identified Works</t>
  </si>
  <si>
    <t>Replace floor coverings</t>
  </si>
  <si>
    <t>Replace window coverings</t>
  </si>
  <si>
    <t>Replace Air Conditioner</t>
  </si>
  <si>
    <t>Kitchen/Bathroom upgrade</t>
  </si>
  <si>
    <t>Repairs Front veranda</t>
  </si>
  <si>
    <t>Refurbishment (Interior &amp; Exterior)</t>
  </si>
  <si>
    <t>Henley Community Centre</t>
  </si>
  <si>
    <t>Electrical Work</t>
  </si>
  <si>
    <t>Air Conditioning</t>
  </si>
  <si>
    <t>Guard rail</t>
  </si>
  <si>
    <t>Carpark</t>
  </si>
  <si>
    <t>Guttering</t>
  </si>
  <si>
    <t>Landscaping BBQ Area</t>
  </si>
  <si>
    <t>Stonewall/Fence Repairs</t>
  </si>
  <si>
    <t>Timberwork</t>
  </si>
  <si>
    <t>Fire Services Upgrade</t>
  </si>
  <si>
    <t>Bathroom Upgrade</t>
  </si>
  <si>
    <t>Resurface rear carpark</t>
  </si>
  <si>
    <t>Disabled access</t>
  </si>
  <si>
    <t>Replace roof</t>
  </si>
  <si>
    <t>Internal Refurbishment</t>
  </si>
  <si>
    <t>Landscape Pathways</t>
  </si>
  <si>
    <t>Carpark Upgrade</t>
  </si>
  <si>
    <t>CBP Grant- Henley Community Centre</t>
  </si>
  <si>
    <t>Total Aged &amp; Disabled</t>
  </si>
  <si>
    <t>YOUTH SERVICES</t>
  </si>
  <si>
    <t>Grants &amp; Subsidies Youth Week</t>
  </si>
  <si>
    <t>Grants &amp; Subsidies Youth Worker</t>
  </si>
  <si>
    <t>SkateDay</t>
  </si>
  <si>
    <t>Grants &amp; Subsidies Art Start(X Factor)</t>
  </si>
  <si>
    <t xml:space="preserve">Grants &amp; Subsidies </t>
  </si>
  <si>
    <t>Other Expenses Youth Week</t>
  </si>
  <si>
    <t>Other Expenses Youth Services</t>
  </si>
  <si>
    <t>Youth Worker 2-3 days</t>
  </si>
  <si>
    <t xml:space="preserve">Youth Event </t>
  </si>
  <si>
    <t>S94 Contribution</t>
  </si>
  <si>
    <t xml:space="preserve">Youth Facilities Skateboard </t>
  </si>
  <si>
    <t>Total Youth Services</t>
  </si>
  <si>
    <t>CHILDRENS SERVICES</t>
  </si>
  <si>
    <t>CHILD CARE</t>
  </si>
  <si>
    <t>Henley Long Day Care</t>
  </si>
  <si>
    <t>Gladesville Occ Child Care</t>
  </si>
  <si>
    <t>OTHER FAMILIES &amp; CHILDREN</t>
  </si>
  <si>
    <t>Comm Aid Support Fund</t>
  </si>
  <si>
    <t>EDUCATION</t>
  </si>
  <si>
    <t>Hunters Hill Pre School</t>
  </si>
  <si>
    <t>Riverside Pre School</t>
  </si>
  <si>
    <t>CHILD HEALTH CENTRES</t>
  </si>
  <si>
    <t>Other Revenues Ryde Cl Cont</t>
  </si>
  <si>
    <t>Hunters Hill User Charges</t>
  </si>
  <si>
    <t>Gladesville Centre</t>
  </si>
  <si>
    <t>Depreciation of other structures</t>
  </si>
  <si>
    <t>Henley Day Care 1B Crown</t>
  </si>
  <si>
    <t>Gladesville Comm Aid Subs</t>
  </si>
  <si>
    <t>Pre School</t>
  </si>
  <si>
    <t>Depreciation of Buildings Pre School</t>
  </si>
  <si>
    <t>Depreciation of Other Structures</t>
  </si>
  <si>
    <t>Other Community Education</t>
  </si>
  <si>
    <t>Depreciation of Buildings New Pre School</t>
  </si>
  <si>
    <t>Gladesville Child Health Centre</t>
  </si>
  <si>
    <t>Hunters Hill Child Health Centre</t>
  </si>
  <si>
    <t>S94 Contribution - 9 Church St</t>
  </si>
  <si>
    <t>Occ Care/ECC 6 Pittwater TAM Identified Works</t>
  </si>
  <si>
    <t>Floor coverings</t>
  </si>
  <si>
    <t>Playground Equipment</t>
  </si>
  <si>
    <t>Blinds</t>
  </si>
  <si>
    <t>Riverside Pre School TAM Identified Works</t>
  </si>
  <si>
    <t>External Painting</t>
  </si>
  <si>
    <t xml:space="preserve">External works  </t>
  </si>
  <si>
    <t>9 Church St TAM Identified Works</t>
  </si>
  <si>
    <t>Gutter Replacement</t>
  </si>
  <si>
    <t>External painting &amp; timber repair</t>
  </si>
  <si>
    <t>Timber Replacement</t>
  </si>
  <si>
    <t>External works</t>
  </si>
  <si>
    <t>Internal upgrades to meeting room</t>
  </si>
  <si>
    <t>Car Park Upgrade</t>
  </si>
  <si>
    <t>Fence</t>
  </si>
  <si>
    <t>Total Childrens Services</t>
  </si>
  <si>
    <t>LIBRARY SERVICES</t>
  </si>
  <si>
    <t>Library Development Grant</t>
  </si>
  <si>
    <t>Contribution Joint Library</t>
  </si>
  <si>
    <t>Community Library Consultation Survey</t>
  </si>
  <si>
    <t>Total Library Services</t>
  </si>
  <si>
    <t>RECREATION &amp; PARKS</t>
  </si>
  <si>
    <t>SPORTING GROUNDS</t>
  </si>
  <si>
    <t>Football &amp; Cricket  User charges</t>
  </si>
  <si>
    <t>Bedlam Bay User Charges</t>
  </si>
  <si>
    <t>SCP - Bedlam Bay Lighting</t>
  </si>
  <si>
    <t xml:space="preserve">Contributions - Ryde Hunters Hill Cricket </t>
  </si>
  <si>
    <t>PARKS &amp; GARDENS</t>
  </si>
  <si>
    <t>CBP Grant - Riverglade Reserve</t>
  </si>
  <si>
    <t>SSHAP Grant Riverglade Reserve</t>
  </si>
  <si>
    <t>SSHAP Grant Mornington Reserve Walkway</t>
  </si>
  <si>
    <t>CPB Grant Buffalo Creek Res Softfall</t>
  </si>
  <si>
    <t>Contributions S94</t>
  </si>
  <si>
    <t>User Charges</t>
  </si>
  <si>
    <t>Weil Park Hall</t>
  </si>
  <si>
    <t>The Priory User Charges</t>
  </si>
  <si>
    <t>The Priory Donations &amp; Grants</t>
  </si>
  <si>
    <t>The Priory Donations &amp; Grants from CBP</t>
  </si>
  <si>
    <t>The Priory Trust Contribution</t>
  </si>
  <si>
    <t>Playground Donations</t>
  </si>
  <si>
    <t>Playground Grants</t>
  </si>
  <si>
    <t xml:space="preserve">Contributions </t>
  </si>
  <si>
    <t>(SUPERVISION)</t>
  </si>
  <si>
    <t>Office/Sundry Expenses</t>
  </si>
  <si>
    <t>Recreation Officer 3 days</t>
  </si>
  <si>
    <t>Floodlight Monitor</t>
  </si>
  <si>
    <t>(SWIMMING POOLS)</t>
  </si>
  <si>
    <t>Henley Baths</t>
  </si>
  <si>
    <t>Deprec. Of Other Structures</t>
  </si>
  <si>
    <t>Woolwich Baths</t>
  </si>
  <si>
    <t>(SPORTING GROUNDS)</t>
  </si>
  <si>
    <t>Boronia Park Oval</t>
  </si>
  <si>
    <t>Gladesville Reserve Oval</t>
  </si>
  <si>
    <t>Weil Park Oval</t>
  </si>
  <si>
    <t>Boat Ramps</t>
  </si>
  <si>
    <t>Walking Paths</t>
  </si>
  <si>
    <t>(PARKS AND GARDENS)</t>
  </si>
  <si>
    <t>Parks &amp; Reserves Maintenance</t>
  </si>
  <si>
    <t>Bedlam Bay</t>
  </si>
  <si>
    <t>Graffiti Control</t>
  </si>
  <si>
    <t>Parks Buildings</t>
  </si>
  <si>
    <t>The Priory</t>
  </si>
  <si>
    <t>The Priory Land tax contribution</t>
  </si>
  <si>
    <t>Depreciation Of Buildings - The Priory</t>
  </si>
  <si>
    <t>(OTHER SPORTS &amp; RECREATION)</t>
  </si>
  <si>
    <t>Playgrounds</t>
  </si>
  <si>
    <t>Croquet Club Building</t>
  </si>
  <si>
    <t>Sport &amp; Recreation Needs Study</t>
  </si>
  <si>
    <t>Consultation - Riverglade Reserve</t>
  </si>
  <si>
    <t>Review Bike Plan</t>
  </si>
  <si>
    <t>Public Places &amp; Urban Design Program - Hunters Hill</t>
  </si>
  <si>
    <t>Loan</t>
  </si>
  <si>
    <t>S94 Contribution - Reserves Program</t>
  </si>
  <si>
    <t>ER</t>
  </si>
  <si>
    <t>S94A Contribution - Projects</t>
  </si>
  <si>
    <t xml:space="preserve">S94A Contribution - The Priory </t>
  </si>
  <si>
    <t>S94A Contribution - Hunters Hill Commercial Area</t>
  </si>
  <si>
    <t>S94A Contribution - Riverglade Reserve</t>
  </si>
  <si>
    <t>S94 Contribution - Urban Design Impts Program</t>
  </si>
  <si>
    <t>S94A Contribution - Buffalo Reserve Carpark &amp; Lighting</t>
  </si>
  <si>
    <t>S94A Contribution - Buffalo Creek Park/playground Equipment</t>
  </si>
  <si>
    <t>S94A Contribution - Boronia Park Upgrade netball Courts</t>
  </si>
  <si>
    <t>A94A Contriburtion - Pitwater Road Public Domain Impts</t>
  </si>
  <si>
    <t>S94A Contribution - Bedlam bay playing Fields Imp</t>
  </si>
  <si>
    <t>S94A Contribution - Gladesville Reserve Up Grade Surface</t>
  </si>
  <si>
    <t>S94A Contribution - Riverglade Reserve Playground Equipment</t>
  </si>
  <si>
    <t>S94A Contribution - Weil Park Upgrade Surface</t>
  </si>
  <si>
    <t>S94A Contribution - Valentia St playground Equipment</t>
  </si>
  <si>
    <t>S94A Contribution - Gladesville Stage 1</t>
  </si>
  <si>
    <t>S94A Contribution - Sport &amp; Recreation Plan</t>
  </si>
  <si>
    <t>SWIMMING POOLS</t>
  </si>
  <si>
    <t>Woolwich Baths replace Piles&amp; decking</t>
  </si>
  <si>
    <t>ER2</t>
  </si>
  <si>
    <t>Woolwich Baths replace Piers &amp; Shark Net</t>
  </si>
  <si>
    <t>Woolwich Baths replacement Timber Piles</t>
  </si>
  <si>
    <t>Woolwich Baths Refurbishment Amenities Wharves Netting</t>
  </si>
  <si>
    <t>Woolwich Baths Refurb</t>
  </si>
  <si>
    <t>C/F</t>
  </si>
  <si>
    <t>Henley Baths Upgrade</t>
  </si>
  <si>
    <t>PARKS AND GARDENS</t>
  </si>
  <si>
    <t>Walking Trails Upgrades</t>
  </si>
  <si>
    <t>CF1</t>
  </si>
  <si>
    <t>Reserve Signage</t>
  </si>
  <si>
    <t>Playground Replacing Structures</t>
  </si>
  <si>
    <t>Fairland Hall Playground Replacement</t>
  </si>
  <si>
    <t>6 Pittwater Rd (OCC) Playground Replacement</t>
  </si>
  <si>
    <t>Boronia Park Playground upgrade</t>
  </si>
  <si>
    <t>Boronia Park Walking Trails upgrade</t>
  </si>
  <si>
    <t>Boronia Parkwaters Edge Princess St access</t>
  </si>
  <si>
    <t>Bedlam Bay Lighting Contribution</t>
  </si>
  <si>
    <t>SCP - Bedlam Bay Lighting Grant</t>
  </si>
  <si>
    <t>Grant</t>
  </si>
  <si>
    <t>Contribution to Bedlam Bay Sporting Lighting</t>
  </si>
  <si>
    <t>Bedlam Bay Contribution to Access Works</t>
  </si>
  <si>
    <t xml:space="preserve">Bedlam Bay Contribution sportsfield Lighting </t>
  </si>
  <si>
    <t>Buffalo Creek Park/playground Equipment</t>
  </si>
  <si>
    <t>Buffalo Creek Sportsfield lighting</t>
  </si>
  <si>
    <t xml:space="preserve">Gladesville Reserve Playground equipment </t>
  </si>
  <si>
    <t>Weil Park Playground update</t>
  </si>
  <si>
    <t>Blaxland St Provision of Pathway &amp; Steps</t>
  </si>
  <si>
    <t>Boronia Park North Playground Shelter</t>
  </si>
  <si>
    <t>Boronia Park Upgrade netball Courts</t>
  </si>
  <si>
    <t>Boronia Park Upgrade netball Courts Additional Funds</t>
  </si>
  <si>
    <t>Boronia Park Upgrade entrance structures</t>
  </si>
  <si>
    <t>Boronia Park Playing Field Impts (synthetic wicket)</t>
  </si>
  <si>
    <t>Boronia Park Upgradeof whole light system</t>
  </si>
  <si>
    <t>Bedlam bay playing Fields Imp</t>
  </si>
  <si>
    <t>Boronia Park 1&amp;2 Sporting field lighting upgrade</t>
  </si>
  <si>
    <t>Bedlam bay Sportsfield Improvements</t>
  </si>
  <si>
    <t>Boronia Park Entrance Improvements</t>
  </si>
  <si>
    <t>Boronia Park North - bike path</t>
  </si>
  <si>
    <t>RLCIP Grant - Boronia Park Walking Track</t>
  </si>
  <si>
    <t>Boronia Park Signage</t>
  </si>
  <si>
    <t>Boronia Park  Fencing</t>
  </si>
  <si>
    <t>Boronia Park  entrance &amp; access</t>
  </si>
  <si>
    <t>Boronia Park  Improvements</t>
  </si>
  <si>
    <t>Playground equipment replacement</t>
  </si>
  <si>
    <t>Drainage works &amp; stormwater retention</t>
  </si>
  <si>
    <t>Fitness equipment</t>
  </si>
  <si>
    <t>Reserve Improvements (POM)</t>
  </si>
  <si>
    <t>Buffalo Creek - bike path</t>
  </si>
  <si>
    <t>Buffalo Creek - Cycle Track Upgrade</t>
  </si>
  <si>
    <t>Buffalo Creek Res  Softfall</t>
  </si>
  <si>
    <t>Buffalo Creek Res  Lighting</t>
  </si>
  <si>
    <t>Buffalo Creek Res car park &amp; Lighting</t>
  </si>
  <si>
    <t>Buffalo Creek Walking Track Upgrade</t>
  </si>
  <si>
    <t>Buffalo Creek Reserve Improvements</t>
  </si>
  <si>
    <t>RLCIP Grant - Clark Point Reserve Walking Track</t>
  </si>
  <si>
    <t>Clarkes Point Reserve Walkway</t>
  </si>
  <si>
    <t>Figtree Reserve Landscaping &amp; Facilities Upgrade</t>
  </si>
  <si>
    <t>Gladesville Res Lighting Walkway</t>
  </si>
  <si>
    <t>Gladesville Res Lighting Upgrade</t>
  </si>
  <si>
    <t>Gladesville Res Upgrade Surface etc</t>
  </si>
  <si>
    <t>Gladesville Res - bike path</t>
  </si>
  <si>
    <t>Gladesville Res - skate facility</t>
  </si>
  <si>
    <t>Gladesville Res - Sportsfield Lighting</t>
  </si>
  <si>
    <t>Gladesville Res Court/Skate area upgrade</t>
  </si>
  <si>
    <t>Gladesville Res Path upgrade</t>
  </si>
  <si>
    <t>Gladesville Res Playground equipment</t>
  </si>
  <si>
    <t xml:space="preserve">Gladesville Res Amenities Building Upgrade </t>
  </si>
  <si>
    <t>Harry Shelley Playground Shelter</t>
  </si>
  <si>
    <t>Harry Shelley Playground Rubber Soft fall</t>
  </si>
  <si>
    <t>Harry Shelley Playground Upgrade</t>
  </si>
  <si>
    <t>Harding Memorial Reserve Playground Upgrade</t>
  </si>
  <si>
    <t>Mornington Reserve - SSHAP Grant walkway</t>
  </si>
  <si>
    <t>Murray Prior Reserve - Dinghy Racks</t>
  </si>
  <si>
    <t>Riverglade Reserve Pathway</t>
  </si>
  <si>
    <t>CBP Grant - Riverglades Reserve</t>
  </si>
  <si>
    <t>Riverglade Reserve Playground Equip</t>
  </si>
  <si>
    <t>Riverglade Reserve Amenities</t>
  </si>
  <si>
    <t>Weil Park Amenity Block</t>
  </si>
  <si>
    <t>Weil Park Amenity Block Building Upgrade</t>
  </si>
  <si>
    <t>Weil Park Lighting Upgrade</t>
  </si>
  <si>
    <t>Weil Park Playground Upgrade (shade)</t>
  </si>
  <si>
    <t>Weil Park Playground Update</t>
  </si>
  <si>
    <t>Weil Park Reserve Improvements</t>
  </si>
  <si>
    <t>Weil Park Sportsfield Improvements</t>
  </si>
  <si>
    <t>Weil Park Fitness equipment</t>
  </si>
  <si>
    <t>Weil Park  Res Lighting Upgrade</t>
  </si>
  <si>
    <t>Weil Park Drainage</t>
  </si>
  <si>
    <t>Weil Park Upgrade Surface</t>
  </si>
  <si>
    <t>Boronia No 3 Oval - Irrigation</t>
  </si>
  <si>
    <t>Boronia Picnic Tables/shelters X 3</t>
  </si>
  <si>
    <t>Boronia Fencing</t>
  </si>
  <si>
    <t>Boronia Park Grandstand Seating &amp; Hot water Upgrade</t>
  </si>
  <si>
    <t>Boronia Park Amenitites</t>
  </si>
  <si>
    <t>Boronia Park Grandstand Painting/ Refurbishment</t>
  </si>
  <si>
    <t>Boronia Park Amenities Building Constr Northern end</t>
  </si>
  <si>
    <t>Boronia Park Upgrade Internal Grandstand</t>
  </si>
  <si>
    <t>Kellys Bush Walking Track Upgrade</t>
  </si>
  <si>
    <t>Tarbank Creek Playgrounds</t>
  </si>
  <si>
    <t>Valentia St Reserve Playground Upgrade</t>
  </si>
  <si>
    <t>Sport &amp; Rec Plan Recommendations</t>
  </si>
  <si>
    <t>Pulpit Point Sea Walls</t>
  </si>
  <si>
    <t>Seawalls</t>
  </si>
  <si>
    <t>IR2</t>
  </si>
  <si>
    <t>Seawalls- Dick St</t>
  </si>
  <si>
    <t>Seawalls- Pulpit Point Sea Walls</t>
  </si>
  <si>
    <t>Structures  - Fencing /Barriers</t>
  </si>
  <si>
    <t>Woolwich Structure - Fencing/Barriers</t>
  </si>
  <si>
    <t>Gladesville Fencing/barriers</t>
  </si>
  <si>
    <t>Hunters Hill Structure - Fencng/Barriers</t>
  </si>
  <si>
    <t>Riverglade Reserve Seawall Refurb</t>
  </si>
  <si>
    <t>Riverglade Reserve Playground</t>
  </si>
  <si>
    <t>Riverglade Reserve Carpark</t>
  </si>
  <si>
    <t>Riverglade ReserveSportsfield Improvements</t>
  </si>
  <si>
    <t>Walking track upgrades and extention</t>
  </si>
  <si>
    <t>Huntleys Point Reserve Sea Wall</t>
  </si>
  <si>
    <t>PARKS BUILDINGS</t>
  </si>
  <si>
    <t xml:space="preserve">Public Amenities Improvements Program </t>
  </si>
  <si>
    <t>Gladesville Reserve  Amenities bld up grade &amp; Painting</t>
  </si>
  <si>
    <t>Clarkes Point Reserve Car park &amp; Sailing Club.</t>
  </si>
  <si>
    <t>Boronia Park Fencing</t>
  </si>
  <si>
    <t>Buffalo Crk Amenities Build Upgrade</t>
  </si>
  <si>
    <t>Kellys Bush Amenities Building Construction</t>
  </si>
  <si>
    <t>Weil Park Hall External works (eg painting, landscaping, roofing)</t>
  </si>
  <si>
    <t>Weil Park Hall Internal upgrades (eg blinds, carpet, painting, furniture, kitchen, airconditioner)</t>
  </si>
  <si>
    <t>Riverglade Reserve - Construct Public Toilets</t>
  </si>
  <si>
    <t xml:space="preserve">Croquet Club </t>
  </si>
  <si>
    <t>Hot Water System</t>
  </si>
  <si>
    <t>Car Park Repairs</t>
  </si>
  <si>
    <t>New roof</t>
  </si>
  <si>
    <t>Main Hall Floor/ Refurbishment</t>
  </si>
  <si>
    <t>Roofing</t>
  </si>
  <si>
    <t>Disabled Access</t>
  </si>
  <si>
    <t>PUBLIC PLACES &amp; URBAN DESIGN PROGRAM</t>
  </si>
  <si>
    <t>Gladesville</t>
  </si>
  <si>
    <t>Gladesville Stage 1</t>
  </si>
  <si>
    <t>Gladesville Stage 2</t>
  </si>
  <si>
    <t>H/Hill Shops</t>
  </si>
  <si>
    <t xml:space="preserve">Commercial Area Urban Design Improvement Program </t>
  </si>
  <si>
    <t>C/O</t>
  </si>
  <si>
    <t>Welcome Signs at Entry Points</t>
  </si>
  <si>
    <t>Public Safety Lighting</t>
  </si>
  <si>
    <t>Pitwater Road Public Domain Impts</t>
  </si>
  <si>
    <t>H/Hill Shops (Figtree Park)</t>
  </si>
  <si>
    <t>Construct Public Toilets</t>
  </si>
  <si>
    <t>The Priory Grant - CBP</t>
  </si>
  <si>
    <t>The Priory Disabled Access</t>
  </si>
  <si>
    <t>Restoration of Heritage Sand stone Wall</t>
  </si>
  <si>
    <t>The Priory Building Restoration</t>
  </si>
  <si>
    <t>Other Structures</t>
  </si>
  <si>
    <t>Total Recreation And Parks</t>
  </si>
  <si>
    <t>COMMUNITY BUILDINGS</t>
  </si>
  <si>
    <t>Dwellings Rents &amp; Sundry Income</t>
  </si>
  <si>
    <t>10 Cowell Street</t>
  </si>
  <si>
    <t>Fairland Hall User Charges</t>
  </si>
  <si>
    <t>Henley Cottage User Charges</t>
  </si>
  <si>
    <t>Town Hall User Charges</t>
  </si>
  <si>
    <t>Mobile Phone Antennae Leases</t>
  </si>
  <si>
    <t>48 Gladesville Rd</t>
  </si>
  <si>
    <t>Return on new property</t>
  </si>
  <si>
    <t>DWELLINGS MAINT &amp; EXPENSES</t>
  </si>
  <si>
    <t>Fairland Hall</t>
  </si>
  <si>
    <t>Deprec. Of Furniture &amp; Fitts</t>
  </si>
  <si>
    <t>Henley Cottage</t>
  </si>
  <si>
    <t>Town Hall &amp; Council Chambers</t>
  </si>
  <si>
    <t>Depreciation Of Other Structures</t>
  </si>
  <si>
    <t>Audit &amp; Modify Builds for Aged/Disabled Access</t>
  </si>
  <si>
    <t>Concept &amp; Feasibility Plan for Community Hub Gladesville Rd</t>
  </si>
  <si>
    <t xml:space="preserve">S94 Contribution </t>
  </si>
  <si>
    <t>Henley Cottage TAM Identified Works</t>
  </si>
  <si>
    <t>Kitchen/Bathroom Upgrade</t>
  </si>
  <si>
    <t>Replace Shed at Rear</t>
  </si>
  <si>
    <t>Parking area refurbishment</t>
  </si>
  <si>
    <t>Refurbishment (Internal &amp; External)</t>
  </si>
  <si>
    <t>Fairland Hall TAM Identified Works</t>
  </si>
  <si>
    <t>Painting Internal &amp;External</t>
  </si>
  <si>
    <t>Replace Fence &amp; Gate</t>
  </si>
  <si>
    <t>Damp Course</t>
  </si>
  <si>
    <t>Replace Carpet and Blinds</t>
  </si>
  <si>
    <t>Establish Council Recovery Disaster Centre</t>
  </si>
  <si>
    <t>Replace Window &amp; Exit Doors</t>
  </si>
  <si>
    <t>Carpet Replacement</t>
  </si>
  <si>
    <t>Replace Guttering</t>
  </si>
  <si>
    <t>Furniture Replacement</t>
  </si>
  <si>
    <t>Town Hall TAM Identified Works</t>
  </si>
  <si>
    <t xml:space="preserve">Painting Internal </t>
  </si>
  <si>
    <t>Bathroom Upgrades</t>
  </si>
  <si>
    <t>Office Refurbishment Stage 1</t>
  </si>
  <si>
    <t>Kitchen Upgrade</t>
  </si>
  <si>
    <t>Tables &amp; Chairs</t>
  </si>
  <si>
    <t>Restoration of Stone Façade</t>
  </si>
  <si>
    <t>Replace Metal Roof</t>
  </si>
  <si>
    <t>Office Refurbishment Stage 2&amp;3</t>
  </si>
  <si>
    <t>Town Hall Sound / Lighting</t>
  </si>
  <si>
    <t>Canopy For Restored Canon</t>
  </si>
  <si>
    <t>Remediation of front wall of Town Hall</t>
  </si>
  <si>
    <t>Mayorall Office - Insurance</t>
  </si>
  <si>
    <t>Replace floor</t>
  </si>
  <si>
    <t>Understage storage refurbishment</t>
  </si>
  <si>
    <t>Stage Bathrooms &amp; dressing room</t>
  </si>
  <si>
    <t>Repaint building</t>
  </si>
  <si>
    <t>Upgrade Airconditioning</t>
  </si>
  <si>
    <t>Community Facilities Upgrade</t>
  </si>
  <si>
    <t>Additional for FFTF</t>
  </si>
  <si>
    <t>Gen</t>
  </si>
  <si>
    <t>10 Cowell St, Gladesville</t>
  </si>
  <si>
    <t>Relocation and refurbishment</t>
  </si>
  <si>
    <t>Total Community Buildings</t>
  </si>
  <si>
    <t>EMERGENCY SERVICES</t>
  </si>
  <si>
    <t>Sundry Revenue</t>
  </si>
  <si>
    <t>SES Grant</t>
  </si>
  <si>
    <t>SES Contribution</t>
  </si>
  <si>
    <t>Vehicle Contribution</t>
  </si>
  <si>
    <t>SES</t>
  </si>
  <si>
    <t>SES Lease Cost</t>
  </si>
  <si>
    <t>SES Half Vehicle Cost</t>
  </si>
  <si>
    <t>Other Public Order &amp; Safety</t>
  </si>
  <si>
    <t xml:space="preserve">Contribution To Fire Brigade </t>
  </si>
  <si>
    <t>Total Emergency Services</t>
  </si>
  <si>
    <t>Total Focus On The Community</t>
  </si>
  <si>
    <t>ENVIRONM'T PROTECTION</t>
  </si>
  <si>
    <t>ADMIN &amp; INSPECTION (HEALTH)</t>
  </si>
  <si>
    <t>Inspection Fees</t>
  </si>
  <si>
    <t>Fines</t>
  </si>
  <si>
    <t>Outstanding Health Notices</t>
  </si>
  <si>
    <t>OEH Home Power Savings Program</t>
  </si>
  <si>
    <t>Outdoor Dining Fees</t>
  </si>
  <si>
    <t>OEH Flood Study</t>
  </si>
  <si>
    <t>Sub Total Admin &amp; Inspect &amp; Enviro</t>
  </si>
  <si>
    <t>PUBLIC ORDER &amp; SAFETY ANIMAL</t>
  </si>
  <si>
    <t>Registration Fees</t>
  </si>
  <si>
    <t>Fines &amp; Costs</t>
  </si>
  <si>
    <t>Environmental Fines</t>
  </si>
  <si>
    <t>Placement of Mini Skips</t>
  </si>
  <si>
    <t>Impounding Fees</t>
  </si>
  <si>
    <t>Sub Total Public Order &amp; Safety</t>
  </si>
  <si>
    <t>(ADMIN &amp; INSPECTION)</t>
  </si>
  <si>
    <t>Relief Staff</t>
  </si>
  <si>
    <t>Law Costs, Prosecutions</t>
  </si>
  <si>
    <t>Destruction Of Plants/Pests</t>
  </si>
  <si>
    <t>Noxious Weeds Control</t>
  </si>
  <si>
    <t>Other Expenses - Health Education</t>
  </si>
  <si>
    <t>Other Expenses - Health Education Food Handler</t>
  </si>
  <si>
    <t>Consultant Environ Mgmt Plan(Monitoring Prog)</t>
  </si>
  <si>
    <t>State of Environment Report</t>
  </si>
  <si>
    <t>Water Savings Action Plan</t>
  </si>
  <si>
    <t>NSW Office of Water Grant</t>
  </si>
  <si>
    <t xml:space="preserve">Sub Total Admin &amp; Inspect </t>
  </si>
  <si>
    <t>PUB ORD &amp; SAFETY-ANIMAL CONT</t>
  </si>
  <si>
    <t>Salaries &amp; allowances(Ranger)</t>
  </si>
  <si>
    <t>Vehicle Expenses</t>
  </si>
  <si>
    <t>Administration</t>
  </si>
  <si>
    <t>Impounding Expenses</t>
  </si>
  <si>
    <t>Total Environment Protection</t>
  </si>
  <si>
    <t>WASTE MANAGEMENT</t>
  </si>
  <si>
    <t>GARBAGE FEES</t>
  </si>
  <si>
    <t>User Charges Domestic Waste</t>
  </si>
  <si>
    <t>User Charges Business Waste</t>
  </si>
  <si>
    <t>Vacant Land Charge</t>
  </si>
  <si>
    <t>Interest</t>
  </si>
  <si>
    <t>Pensioner Rebate Subsidy</t>
  </si>
  <si>
    <t>Pensioner Rebate Subsidy Income Grant</t>
  </si>
  <si>
    <t>Waste Performance Improvement</t>
  </si>
  <si>
    <t>Better Waste &amp; Recycling Fund</t>
  </si>
  <si>
    <t>Love Food Hate Waste Education Project</t>
  </si>
  <si>
    <t xml:space="preserve">NSW Litter Prevention </t>
  </si>
  <si>
    <t>Replacement Bins</t>
  </si>
  <si>
    <t>Compost Bins</t>
  </si>
  <si>
    <t>STREET CLEANING</t>
  </si>
  <si>
    <t>Rubbish Pick Ups</t>
  </si>
  <si>
    <t>CONTRACTOR</t>
  </si>
  <si>
    <t>Garbage Contractor</t>
  </si>
  <si>
    <t>Contract Management</t>
  </si>
  <si>
    <t>TIPPING FEES</t>
  </si>
  <si>
    <t xml:space="preserve">Garbage </t>
  </si>
  <si>
    <t>Litter Bins Contract</t>
  </si>
  <si>
    <t>Litter Bins Accrued Leave</t>
  </si>
  <si>
    <t>Bins Replacement</t>
  </si>
  <si>
    <t>Regional Waste Project</t>
  </si>
  <si>
    <t>Community Recycling Centre (NSROC)</t>
  </si>
  <si>
    <t>St Clean Accrual of leave entitlement</t>
  </si>
  <si>
    <t>Vehicle Running Expenses</t>
  </si>
  <si>
    <t>Tipping Fees</t>
  </si>
  <si>
    <t>Other Expenses Contractor</t>
  </si>
  <si>
    <t>St Clean Gladesville</t>
  </si>
  <si>
    <t>OTHER SANITATION &amp; GARBAGE</t>
  </si>
  <si>
    <t>Disposal of Dead Animals</t>
  </si>
  <si>
    <t>Education Program/Sustanability Officer</t>
  </si>
  <si>
    <t>Accrued Leave</t>
  </si>
  <si>
    <t>Sustainability officer</t>
  </si>
  <si>
    <t>Better Waste &amp; Recycling Fund Projects</t>
  </si>
  <si>
    <t>Publicity &amp; Promotion &amp; Education</t>
  </si>
  <si>
    <t>Waste Bin Audit</t>
  </si>
  <si>
    <t>Waste Management Study</t>
  </si>
  <si>
    <t>Increase E waste recovery</t>
  </si>
  <si>
    <t>Plan for minimisation of dumping Cameras etc</t>
  </si>
  <si>
    <t>Contribution to climate clever shop</t>
  </si>
  <si>
    <t>Depreciation of chipper</t>
  </si>
  <si>
    <t>Depreciation of Gum Removal</t>
  </si>
  <si>
    <t>Plant Purchases - Garbage Truck</t>
  </si>
  <si>
    <t>Plant Purchases - Chipper</t>
  </si>
  <si>
    <t>Plant Purchases - PACER</t>
  </si>
  <si>
    <t>Total Waste Management</t>
  </si>
  <si>
    <t>ROADS &amp; DRAINAGE</t>
  </si>
  <si>
    <t>DRAINAGE</t>
  </si>
  <si>
    <t>Weed Action Project Year 2</t>
  </si>
  <si>
    <t>Weed Action Project Year 3</t>
  </si>
  <si>
    <t>Weed Action Project Year 4</t>
  </si>
  <si>
    <t>Weed Action Project Year 5</t>
  </si>
  <si>
    <t>Weed Control Program</t>
  </si>
  <si>
    <t>STORMWATER IMPROVEMENT PROGRAM</t>
  </si>
  <si>
    <t>EM Lane Cove River - Boronia Park Saltmarsh</t>
  </si>
  <si>
    <t>HNCMA - Lane Cove River -Hunters Hill</t>
  </si>
  <si>
    <t>Restoring EECs along  Lane Cove River Estuary</t>
  </si>
  <si>
    <t>River To River Project</t>
  </si>
  <si>
    <t>Estuary Grant for Buffalo Creek</t>
  </si>
  <si>
    <t>Sediment Constructed wetlands ( Riverglade Res)</t>
  </si>
  <si>
    <t>EEC - Gladesville Reserve</t>
  </si>
  <si>
    <t>EEC - Betts Park</t>
  </si>
  <si>
    <t>ECC Riverglade Reserve</t>
  </si>
  <si>
    <t>Native Habitat Recoery- Parramatta River</t>
  </si>
  <si>
    <t>Stormwater Imp Along Tarban Creek</t>
  </si>
  <si>
    <t>Restoration of Threatened Wetlands Riverglade Res</t>
  </si>
  <si>
    <t>Habitat Restoration lower Parramatta River Estuary</t>
  </si>
  <si>
    <t>Stormwater Mgmt Lower Parra</t>
  </si>
  <si>
    <t>PRMFP - Weed Control Ferdinand St Reserve</t>
  </si>
  <si>
    <t>PRMFP - Weed Control Buffalo Creek Reserve</t>
  </si>
  <si>
    <t>PRMFP - Weed Control Boronia Park</t>
  </si>
  <si>
    <t>LLS - Riverglade Reserve</t>
  </si>
  <si>
    <t>LLS - EEC Buffalo Creek</t>
  </si>
  <si>
    <t>CRIFP -Buffalo Creek Reserve</t>
  </si>
  <si>
    <t>CRIFP -Boronia Park</t>
  </si>
  <si>
    <t>URBAN STORMWATER DRAINAGE</t>
  </si>
  <si>
    <t>Drains Maintenance</t>
  </si>
  <si>
    <t>Depreciation Of Drains</t>
  </si>
  <si>
    <t xml:space="preserve">Environmental Trust Riverglade Reserve 09 </t>
  </si>
  <si>
    <t>Parra River Foreshore Access Part 4</t>
  </si>
  <si>
    <t>FNPW Coastal Saltmarsh &amp; Mangrove Rehabilitation</t>
  </si>
  <si>
    <t>EM 2012 - Lane Cove River- Boronia Park Saltmarsh</t>
  </si>
  <si>
    <t>Estuary Management Lane Cove River</t>
  </si>
  <si>
    <t>Parramatta River Catchment Group</t>
  </si>
  <si>
    <t>Lane Cove River CatchmentMgt Committee</t>
  </si>
  <si>
    <t>EEC - Gladesville Reserve year 3</t>
  </si>
  <si>
    <t>EEC - Gladesville Reserve Year 2</t>
  </si>
  <si>
    <t>S94 Contribution - Drainage</t>
  </si>
  <si>
    <t>ED</t>
  </si>
  <si>
    <t>Drainage</t>
  </si>
  <si>
    <t>Silation Traps,Upgrade Pit Inlet Capacities</t>
  </si>
  <si>
    <t>Bonnefin Rd - Upgrade Pit Inlet Cap 47</t>
  </si>
  <si>
    <t>Catchment Outlets</t>
  </si>
  <si>
    <t>Hillcrest/Batemans</t>
  </si>
  <si>
    <t>Brickmakers crk pit inlet</t>
  </si>
  <si>
    <t>ED2</t>
  </si>
  <si>
    <t>Brickmakers crk pipeline</t>
  </si>
  <si>
    <t>Brickmakers crk augment pipeline</t>
  </si>
  <si>
    <t>Hillcrest</t>
  </si>
  <si>
    <t>Venus pit inlet</t>
  </si>
  <si>
    <t>Venus pipeline</t>
  </si>
  <si>
    <t>Outlet Enhancements new</t>
  </si>
  <si>
    <t>Outlet Enhancements maint</t>
  </si>
  <si>
    <t>Efficiency pit &amp; pipeline</t>
  </si>
  <si>
    <t>Stormwater Reuse</t>
  </si>
  <si>
    <t>Pittwater RD</t>
  </si>
  <si>
    <t>Cowell Street</t>
  </si>
  <si>
    <t>Total Roads And Drainage</t>
  </si>
  <si>
    <t>Reserves Plans of Management Grant</t>
  </si>
  <si>
    <t>Grants</t>
  </si>
  <si>
    <t>Environmental/Bushland Coordination</t>
  </si>
  <si>
    <t>Bushland Regenerators</t>
  </si>
  <si>
    <t>Natural Assets Maintenance</t>
  </si>
  <si>
    <t>Drainage/ Soil Profiles</t>
  </si>
  <si>
    <t>Boronia No 1</t>
  </si>
  <si>
    <t>Boronia No 2</t>
  </si>
  <si>
    <t>Boronia No 3</t>
  </si>
  <si>
    <t>Gladesville Reserve</t>
  </si>
  <si>
    <t>Weil Park</t>
  </si>
  <si>
    <t>Riverglade Reserve</t>
  </si>
  <si>
    <t>Buffalo Creek</t>
  </si>
  <si>
    <t>Enhance Stands Of Bushland</t>
  </si>
  <si>
    <t>Planet Footprint</t>
  </si>
  <si>
    <t>ND</t>
  </si>
  <si>
    <t>Reserves Plans of Management - Boronia Park</t>
  </si>
  <si>
    <t>Reserves Plans of Management - Clarkes Point</t>
  </si>
  <si>
    <t>Review Reserves Plans of Management</t>
  </si>
  <si>
    <t>Restoring EECs along Lane Cove River Estuary</t>
  </si>
  <si>
    <t>EEC Gladesville Reserve Year 2</t>
  </si>
  <si>
    <t xml:space="preserve">S94A Contribution </t>
  </si>
  <si>
    <t>Bushland Regeneration</t>
  </si>
  <si>
    <t>Total Manage And Preserve Our Environment</t>
  </si>
  <si>
    <t>ADMINISTRATION</t>
  </si>
  <si>
    <t>Vehicle Lease</t>
  </si>
  <si>
    <t>Engineering Inspections</t>
  </si>
  <si>
    <t>Construction Zones</t>
  </si>
  <si>
    <t>Erection of Hoardings</t>
  </si>
  <si>
    <t>ROADS</t>
  </si>
  <si>
    <t>Regional Roads &amp; Traffic RTA</t>
  </si>
  <si>
    <t>RTA Roads</t>
  </si>
  <si>
    <t>Local Roads (Federal Grants)</t>
  </si>
  <si>
    <t>Roads To Recovery Grant</t>
  </si>
  <si>
    <t>Bus Routes</t>
  </si>
  <si>
    <t>Road Opening Permits</t>
  </si>
  <si>
    <t>Reimburse Roads/ Footpaths Reinstatement</t>
  </si>
  <si>
    <t>Lease Woolwich Hotel Structure</t>
  </si>
  <si>
    <t>Traffic Facilities Council Roads</t>
  </si>
  <si>
    <t>Road Safety Officer Grant</t>
  </si>
  <si>
    <t>ANCILLIARY ROADWORKS</t>
  </si>
  <si>
    <t>Vehicle Entrance/Recovery Works</t>
  </si>
  <si>
    <t>Tree Preservation Order</t>
  </si>
  <si>
    <t>STREET LIGHTING</t>
  </si>
  <si>
    <t>State Subsidies</t>
  </si>
  <si>
    <t>BUS SHELTERS</t>
  </si>
  <si>
    <t>Bus Shelters Advertising</t>
  </si>
  <si>
    <t>(ADMINISTRATION)</t>
  </si>
  <si>
    <t>Insurance Public Risk</t>
  </si>
  <si>
    <t>Insurance Reserve</t>
  </si>
  <si>
    <t>Consultant Landscape DA Assessments</t>
  </si>
  <si>
    <t>Consultant Arborist</t>
  </si>
  <si>
    <t>Compensation to the Public</t>
  </si>
  <si>
    <t>Engineering Office Expenses</t>
  </si>
  <si>
    <t>Stores Unallocatable</t>
  </si>
  <si>
    <t>Works Depot Expenses</t>
  </si>
  <si>
    <t>Deprec. Of Buildings Depot</t>
  </si>
  <si>
    <t>Legal Expenses</t>
  </si>
  <si>
    <t>(OTHER COMMUNITY AMENITIES)</t>
  </si>
  <si>
    <t>(ROADS)</t>
  </si>
  <si>
    <t>Regional Roads</t>
  </si>
  <si>
    <t>Council Roads Maint</t>
  </si>
  <si>
    <t>Council Roads Restorations</t>
  </si>
  <si>
    <t>Depreciation Of Roads</t>
  </si>
  <si>
    <t xml:space="preserve">   Roads</t>
  </si>
  <si>
    <t xml:space="preserve">   Other Road Assets</t>
  </si>
  <si>
    <t xml:space="preserve">   Footpaths</t>
  </si>
  <si>
    <t xml:space="preserve">   K&amp;G</t>
  </si>
  <si>
    <t>Road Disposals</t>
  </si>
  <si>
    <t>Council Rds Traffic Facil</t>
  </si>
  <si>
    <t>Regional Rds Traffic Facil</t>
  </si>
  <si>
    <t>Traffic Engineer/Road Safety Officer</t>
  </si>
  <si>
    <t>(ANCILLARY ROADWORKS)</t>
  </si>
  <si>
    <t>Gutter Bridges / Veh Ent</t>
  </si>
  <si>
    <t>Road &amp; Traffic Signs</t>
  </si>
  <si>
    <t>Recoverable Works</t>
  </si>
  <si>
    <t>Tree Pruning &amp; Planting</t>
  </si>
  <si>
    <t>(FOOTPATHS)</t>
  </si>
  <si>
    <t>Footpaths Maintenance</t>
  </si>
  <si>
    <t>Footpaths Restorations</t>
  </si>
  <si>
    <t>(BUS SHELTERS)</t>
  </si>
  <si>
    <t>Bus Shelters</t>
  </si>
  <si>
    <t>Depreciation Of Buildings Bus Shelters</t>
  </si>
  <si>
    <t>Loan - Footpaths</t>
  </si>
  <si>
    <t>S94A Contribution</t>
  </si>
  <si>
    <t>Street trees pathway  management</t>
  </si>
  <si>
    <t>PAMP Gladesville</t>
  </si>
  <si>
    <t xml:space="preserve">ROADS </t>
  </si>
  <si>
    <t>Minor Plant</t>
  </si>
  <si>
    <t>Public Works Plant</t>
  </si>
  <si>
    <t>Motor Vehicles</t>
  </si>
  <si>
    <t>Roads Additional FFTF</t>
  </si>
  <si>
    <t>Blaxland St</t>
  </si>
  <si>
    <t>Mark St</t>
  </si>
  <si>
    <t>Elgin St</t>
  </si>
  <si>
    <t>Futura St</t>
  </si>
  <si>
    <t>Street Lighting Joubert St</t>
  </si>
  <si>
    <t>Contract Surfacing Reseal</t>
  </si>
  <si>
    <t>IR</t>
  </si>
  <si>
    <t>Roads To Recovery Grant Reseal</t>
  </si>
  <si>
    <t>RTR - Pitt Street between King St &amp; George St</t>
  </si>
  <si>
    <t>RTR - King St - Joubert St to DeMelhau St</t>
  </si>
  <si>
    <t>Road Reconstruction</t>
  </si>
  <si>
    <t>Additional New Roads Program</t>
  </si>
  <si>
    <t>Prince Edward &amp; Princ e George Pdes</t>
  </si>
  <si>
    <t>Park Rd between Prince st &amp; High St</t>
  </si>
  <si>
    <t>Princes St, Pittwater - Blaxland</t>
  </si>
  <si>
    <t>Bonnefin Road  - Meeting No 4391</t>
  </si>
  <si>
    <t>Pedestrian crossing Gladesville Rd</t>
  </si>
  <si>
    <t>Footpaths Renewal</t>
  </si>
  <si>
    <t>Lloyd Ave, Alexandra - Brown</t>
  </si>
  <si>
    <t>Toocooya Rd</t>
  </si>
  <si>
    <t>Margaret st</t>
  </si>
  <si>
    <t>Ernest St</t>
  </si>
  <si>
    <t>Woolwich Rd</t>
  </si>
  <si>
    <t>Kerb &amp; Gutter Renewal</t>
  </si>
  <si>
    <t>The Avenue, Reiby-Mount</t>
  </si>
  <si>
    <t>Reserve St, Gladesville - Manning</t>
  </si>
  <si>
    <t>Gladesville Rd, Mary- Rocher</t>
  </si>
  <si>
    <t>Venus St</t>
  </si>
  <si>
    <t>Ferry St</t>
  </si>
  <si>
    <t>Park Rd</t>
  </si>
  <si>
    <t>Access Committee Kerb Ramping</t>
  </si>
  <si>
    <t xml:space="preserve">Works Depot </t>
  </si>
  <si>
    <t>Building Refurbishment</t>
  </si>
  <si>
    <t>TRAFFIC &amp; PARKING</t>
  </si>
  <si>
    <t>Parking Fines and Costs</t>
  </si>
  <si>
    <t>Parking Fees Clarkes Point</t>
  </si>
  <si>
    <t>Parking Fees Buffalo Creek</t>
  </si>
  <si>
    <t>Parking Fees Gladesville</t>
  </si>
  <si>
    <t>Parking Permits Sailing Club</t>
  </si>
  <si>
    <t>Dinghy Fees</t>
  </si>
  <si>
    <t>Parra River Foreshore &amp; Access Grant Dinghy Racks</t>
  </si>
  <si>
    <t>Other Revenues Road Leases</t>
  </si>
  <si>
    <t>Murray Prior Dinghy Racks</t>
  </si>
  <si>
    <t>Riverglade to River  Bike Track Grant</t>
  </si>
  <si>
    <t>Margaret Street Boat Ramp Design</t>
  </si>
  <si>
    <t xml:space="preserve">Margaret Street Boat Ramp </t>
  </si>
  <si>
    <t>Margaret Street Boat Ramp Car park</t>
  </si>
  <si>
    <t xml:space="preserve">Dept Transport - Huntleys Point Rd Car Parking </t>
  </si>
  <si>
    <t>Dept Transport - Huntleys Point Rd Car Parking Construction</t>
  </si>
  <si>
    <t>Dept Transport - Huntleys Point Rd Interchange Wharf</t>
  </si>
  <si>
    <t>(PARKING)</t>
  </si>
  <si>
    <t>Parking Areas Maintenance</t>
  </si>
  <si>
    <t>Maintenance Clarkes Point Parking</t>
  </si>
  <si>
    <t>Maintenance Buffalo Creek Parking</t>
  </si>
  <si>
    <t>Depreciation Of Car Parks</t>
  </si>
  <si>
    <t>Parking Studies</t>
  </si>
  <si>
    <t>Dept Transport - Huntleys Point Rd Car Parking Design</t>
  </si>
  <si>
    <t>(WATER TRANSPORT)</t>
  </si>
  <si>
    <t>Wharves &amp; Jetties</t>
  </si>
  <si>
    <t>Depn of Other Structures</t>
  </si>
  <si>
    <t>Dinghy Storage Maintenance</t>
  </si>
  <si>
    <t>(OTHER TRANSPORT)</t>
  </si>
  <si>
    <t>Consultant Traffic Management Plan</t>
  </si>
  <si>
    <t>S94 Contribution - Riverglade Bikeways</t>
  </si>
  <si>
    <t>S94 Contribution - Gladesville Rd Traffic Calming</t>
  </si>
  <si>
    <t>S94 Contribution - Buffalo Creek</t>
  </si>
  <si>
    <t>Dingy Structures</t>
  </si>
  <si>
    <t xml:space="preserve">Riverglade to River  Bike Track </t>
  </si>
  <si>
    <t>Margaret Street Car Park - Grant</t>
  </si>
  <si>
    <t>Buffalo Creek Reserve - car park and lighting</t>
  </si>
  <si>
    <t>Huntleys Point Wharf Waitng Area</t>
  </si>
  <si>
    <t>Ryde Rd Pedestrian Refuge</t>
  </si>
  <si>
    <t>Traffic Facilities</t>
  </si>
  <si>
    <t>Gladesville/Ryde Rd</t>
  </si>
  <si>
    <t>Boronia Park Precinct</t>
  </si>
  <si>
    <t>Hunters Hill Precinct</t>
  </si>
  <si>
    <t>Woolwich Precinct</t>
  </si>
  <si>
    <t>Total Traffic And Parking</t>
  </si>
  <si>
    <t>Total Make Getting Around Easier</t>
  </si>
  <si>
    <t>MANAGEMENT &amp; COUNCIL SUPPORT</t>
  </si>
  <si>
    <t>150th Anniversary of the Municipality</t>
  </si>
  <si>
    <t>Metro Pool Enterprise Risk Management</t>
  </si>
  <si>
    <t>Civic Risk Metro Increase in Equity</t>
  </si>
  <si>
    <t>Restoration of HH RSL German Howitzer No. 1177</t>
  </si>
  <si>
    <t>Anzac  Day 2015 Restoration of Howitzer</t>
  </si>
  <si>
    <t>FFTF</t>
  </si>
  <si>
    <t>Recovery of FFTF Legal Costs</t>
  </si>
  <si>
    <t>GENERAL</t>
  </si>
  <si>
    <t>Deprec. On Vehicles</t>
  </si>
  <si>
    <t>Extra Clerical Assistance</t>
  </si>
  <si>
    <t>Advertising</t>
  </si>
  <si>
    <t>Telephones</t>
  </si>
  <si>
    <t>Printing &amp; Stationery</t>
  </si>
  <si>
    <t xml:space="preserve">Subscriptions </t>
  </si>
  <si>
    <t>Consultants</t>
  </si>
  <si>
    <t>Consultants The Priory</t>
  </si>
  <si>
    <t>Consultants-  Joint Venture</t>
  </si>
  <si>
    <t>Miscellaneous Insurance</t>
  </si>
  <si>
    <t>Fidelity Guarantee</t>
  </si>
  <si>
    <t>Enterprise Risk Management Implementation</t>
  </si>
  <si>
    <t>Public Relations&amp; Community Relations</t>
  </si>
  <si>
    <t>NBN /Traffic Signal Boxes Contract &amp; Art Work</t>
  </si>
  <si>
    <t>Community Survey</t>
  </si>
  <si>
    <t>Fit For the Future</t>
  </si>
  <si>
    <t>The Priory - consultants</t>
  </si>
  <si>
    <t>Community Engagement SRV/CSP</t>
  </si>
  <si>
    <t>150th Anniversary of The Municipality of Hunters Hill</t>
  </si>
  <si>
    <t>SHHMC</t>
  </si>
  <si>
    <t>Postages</t>
  </si>
  <si>
    <t>Other Administration Exps</t>
  </si>
  <si>
    <t>Document Service Standards</t>
  </si>
  <si>
    <t>Review Performance Indicators</t>
  </si>
  <si>
    <t>Legal Exps</t>
  </si>
  <si>
    <t>COUNCIL</t>
  </si>
  <si>
    <t>Mayoral Allowance</t>
  </si>
  <si>
    <t>Members Fees</t>
  </si>
  <si>
    <t>Travel Exp &amp; Subsist Meetings</t>
  </si>
  <si>
    <t>Mayoral &amp; Councillor Expense Carers</t>
  </si>
  <si>
    <t>Councillors Training</t>
  </si>
  <si>
    <t>Delegates Expenses</t>
  </si>
  <si>
    <t>Insurance - Members</t>
  </si>
  <si>
    <t>Mayoral Association</t>
  </si>
  <si>
    <t>Subscriptions LG Association</t>
  </si>
  <si>
    <t>LG Association Constitutional Recognition</t>
  </si>
  <si>
    <t>Subscriptions Other Council Groups</t>
  </si>
  <si>
    <t>Donations</t>
  </si>
  <si>
    <t>Election Expenses</t>
  </si>
  <si>
    <t>Saluting Their Service - Restoration of Gun</t>
  </si>
  <si>
    <t>Heat Binder</t>
  </si>
  <si>
    <t>Restoration &amp;  Relocation Howitzer</t>
  </si>
  <si>
    <t>Total Management &amp; Council Support</t>
  </si>
  <si>
    <t>INFORMATION SYSTEMS</t>
  </si>
  <si>
    <t>FESL</t>
  </si>
  <si>
    <t>Travel</t>
  </si>
  <si>
    <t>Records Storage</t>
  </si>
  <si>
    <t>Software Licenses &amp; maintenance</t>
  </si>
  <si>
    <t>Web Site maintenance</t>
  </si>
  <si>
    <t>Social Media</t>
  </si>
  <si>
    <t>Computer System</t>
  </si>
  <si>
    <t>Sundry Office Equipment</t>
  </si>
  <si>
    <t>Software System</t>
  </si>
  <si>
    <t>Windows Office</t>
  </si>
  <si>
    <t>Desk Tops</t>
  </si>
  <si>
    <t>Booking System - Event Mgmt Software</t>
  </si>
  <si>
    <t>Management Plan System</t>
  </si>
  <si>
    <t>Records system</t>
  </si>
  <si>
    <t>Asset  Management  System</t>
  </si>
  <si>
    <t>Community Engagement</t>
  </si>
  <si>
    <t>Ranger Devices &amp; Software</t>
  </si>
  <si>
    <t>On line DA submission</t>
  </si>
  <si>
    <t>On line Service Request</t>
  </si>
  <si>
    <t>Electronic Business Paper</t>
  </si>
  <si>
    <t>On line  Payments System</t>
  </si>
  <si>
    <t>Website Update</t>
  </si>
  <si>
    <t>Total Information Systems</t>
  </si>
  <si>
    <t>HUMAN RESOURCES</t>
  </si>
  <si>
    <t>Safety &amp;Welfare - OHS Incentive</t>
  </si>
  <si>
    <t>Paid Parental Leave</t>
  </si>
  <si>
    <t>Safety &amp;Welfare Exps</t>
  </si>
  <si>
    <t>Training Program</t>
  </si>
  <si>
    <t>Training Program Outdoor Labour Charge</t>
  </si>
  <si>
    <t>Competency Assessment</t>
  </si>
  <si>
    <t>Conferences</t>
  </si>
  <si>
    <t>LABOUR OVERHEADS</t>
  </si>
  <si>
    <t>Accrual of leave entitlement NEI</t>
  </si>
  <si>
    <t>Superannuation</t>
  </si>
  <si>
    <t>Public Holidays NEI</t>
  </si>
  <si>
    <t>Workers Compensation</t>
  </si>
  <si>
    <t>FBT</t>
  </si>
  <si>
    <t>Sick Leave NEI</t>
  </si>
  <si>
    <t>Family Leave</t>
  </si>
  <si>
    <t>Compensation on Termination of Employ</t>
  </si>
  <si>
    <t>Pre Employment Medicals</t>
  </si>
  <si>
    <t>Total Human Resources</t>
  </si>
  <si>
    <t>FINANCIAL MNGEM'T &amp; INTERN AUD</t>
  </si>
  <si>
    <t>Stores Operations</t>
  </si>
  <si>
    <t>Audit Fees</t>
  </si>
  <si>
    <t xml:space="preserve">Internal Audit </t>
  </si>
  <si>
    <t>Internal Audit Committee</t>
  </si>
  <si>
    <t>Asset Valuations</t>
  </si>
  <si>
    <t>Asset  Management  Plans</t>
  </si>
  <si>
    <t>ASSETS SOLD</t>
  </si>
  <si>
    <t>Assets Sold Motor Vehicles (Book Value)</t>
  </si>
  <si>
    <t>Assets Sold Plant (Book Value)</t>
  </si>
  <si>
    <t>DEPRECIATION</t>
  </si>
  <si>
    <t>Deprec. Plant Charges Works</t>
  </si>
  <si>
    <t>Deprec.Furniture &amp; Fittings</t>
  </si>
  <si>
    <t>Deprec. Office Furniture</t>
  </si>
  <si>
    <t>Deprec. Motor Vehicles</t>
  </si>
  <si>
    <t>Deprec. Other Structures</t>
  </si>
  <si>
    <t>Depreciation Buildings</t>
  </si>
  <si>
    <t>Depreciation Roads</t>
  </si>
  <si>
    <t>Depreciation Car Parks</t>
  </si>
  <si>
    <t>Depreciation Drains</t>
  </si>
  <si>
    <t>TRANSFERS FROM RESERVES</t>
  </si>
  <si>
    <t>Employees Entitlements</t>
  </si>
  <si>
    <t>Plant</t>
  </si>
  <si>
    <t>Plant SES Vehicle half Cost</t>
  </si>
  <si>
    <t>Office Furniture &amp; Equip Replacement Reserve</t>
  </si>
  <si>
    <t>Inc in Provision For Employee Leave Ent</t>
  </si>
  <si>
    <t xml:space="preserve">Domestic Waste </t>
  </si>
  <si>
    <t>Domestic Waste - Truck</t>
  </si>
  <si>
    <t>Domestic Waste - Regional Project Officer</t>
  </si>
  <si>
    <t>RESTRICTED ASSETS</t>
  </si>
  <si>
    <t>Community Facilities</t>
  </si>
  <si>
    <t>E Planning Project (Council Contribution)</t>
  </si>
  <si>
    <t>Environment Drainage Special Rate 06-07</t>
  </si>
  <si>
    <t>Environment Reserves General Fund Supporting Reserves  Enviro 06-07</t>
  </si>
  <si>
    <t>2007-2008 Incomplete</t>
  </si>
  <si>
    <t>Special Community Facilities 07/08 Levy</t>
  </si>
  <si>
    <t>Environment Drainage Special Rate 07-08</t>
  </si>
  <si>
    <t>Environment Reserves General Fund Supporting Reserves  Enviro 07-08</t>
  </si>
  <si>
    <t>2008-2009 Incomplete</t>
  </si>
  <si>
    <t>Environment Drainage Levy 08-09</t>
  </si>
  <si>
    <t>Environment Reserves General Fund Supporting Reserves  Enviro 08-09</t>
  </si>
  <si>
    <t>Environmental Trust Riverglade Reserve 09 Council</t>
  </si>
  <si>
    <t>Community Facility Special Rate 08-09</t>
  </si>
  <si>
    <t>Safety &amp; Welfare OH&amp;S Incentive</t>
  </si>
  <si>
    <t>2009-2010</t>
  </si>
  <si>
    <t>2009-2010 Incomplete</t>
  </si>
  <si>
    <t>Clarkes Point Reserve Car Park &amp; Sailing Club Cl Addnl Bud</t>
  </si>
  <si>
    <t>Community Facility Special Rate 09-10</t>
  </si>
  <si>
    <t>Environment Drainage General Fund Supporting Drainage  Enviro 09-10</t>
  </si>
  <si>
    <t>Environment Reserves Levy 09-10</t>
  </si>
  <si>
    <t>Special Loan Repay</t>
  </si>
  <si>
    <t>2010-2011 Incomplete Works</t>
  </si>
  <si>
    <t>NSW Office Of Water Grant</t>
  </si>
  <si>
    <t>FNPW Coastal Saltmarsh &amp; Mangrove Rehabilitaton Grant</t>
  </si>
  <si>
    <t>Environment Drainage Levy 10-11</t>
  </si>
  <si>
    <t>Playground Council Contribution</t>
  </si>
  <si>
    <t>Environment Reserves General Fund Supporting Reserves  Enviro 10-11</t>
  </si>
  <si>
    <t>2011-2012 Incomplete Works</t>
  </si>
  <si>
    <t>Aged services Grant</t>
  </si>
  <si>
    <t>Safety &amp;Welfare Exps OH&amp;S Incentive</t>
  </si>
  <si>
    <t>Lane Cove River Stormwater Impt Works Grant</t>
  </si>
  <si>
    <t>Airconditioning</t>
  </si>
  <si>
    <t>Brickmakers Upgrade Pipeline</t>
  </si>
  <si>
    <t>2013-2014 Incomplete Works</t>
  </si>
  <si>
    <t>SSHAP Grant - improvement at Mornington Rerserve</t>
  </si>
  <si>
    <t xml:space="preserve">IR2 </t>
  </si>
  <si>
    <t>2014-2015 Incomplete Works</t>
  </si>
  <si>
    <t>Huntleys Point Road</t>
  </si>
  <si>
    <t>Leo St</t>
  </si>
  <si>
    <t>Other Infrastructure General Fund</t>
  </si>
  <si>
    <t>On line DA Submission</t>
  </si>
  <si>
    <t>CBP Grant - Buffalo Creek Rerve Softfall</t>
  </si>
  <si>
    <t>NSW Litter Prevention ( Gladesville )</t>
  </si>
  <si>
    <t>Stormwater Inpvrove along Tarban Creek</t>
  </si>
  <si>
    <t>2015-2016 Incomplete Works</t>
  </si>
  <si>
    <t>EEC Gladesville Reserve Year 3</t>
  </si>
  <si>
    <t>Restoration of Threatened Wetlands Riverglade</t>
  </si>
  <si>
    <t>Ranger Devices &amp; software</t>
  </si>
  <si>
    <t>2016-2017 Incomplete Works</t>
  </si>
  <si>
    <t>Community Facilities Rate Levy</t>
  </si>
  <si>
    <t>Henley Day Care 1B Crown - Fence</t>
  </si>
  <si>
    <t>Boronia Park Walking Track Upgrades</t>
  </si>
  <si>
    <t>Buffalo Creek Sportsfield Lighting</t>
  </si>
  <si>
    <t>Gladesville Res Sportsfield Lighting Upgrade</t>
  </si>
  <si>
    <t>Croquet Club - Disabled Access</t>
  </si>
  <si>
    <t>42 Gladesville - Replace Floor Coverings</t>
  </si>
  <si>
    <t>Henley Fire Services Upgrade</t>
  </si>
  <si>
    <t>Town Hall Canopy for Restored Gun</t>
  </si>
  <si>
    <t>Woolwich Baths Refurbishment</t>
  </si>
  <si>
    <t>Bedlam Bay Sportsfield Lighting Contribution</t>
  </si>
  <si>
    <t>Reserves Signage</t>
  </si>
  <si>
    <t>Environment Special Rate levy</t>
  </si>
  <si>
    <t>Hillcrest Ave</t>
  </si>
  <si>
    <t>Pittwater Road/Ryde Rd Reconstruct Pipeline</t>
  </si>
  <si>
    <t>Other Infrasturcture Special Rate Levy</t>
  </si>
  <si>
    <t>Footpath Renewal Program</t>
  </si>
  <si>
    <t>Figtree Rd, Ryde - Avenue</t>
  </si>
  <si>
    <t>Victoria Rd, Massey - Cowell</t>
  </si>
  <si>
    <t>Venus St, Pitwater - Massey</t>
  </si>
  <si>
    <t>Kerb &amp; gutter</t>
  </si>
  <si>
    <t>Crescent St, Woolwich -End</t>
  </si>
  <si>
    <t>Kelly St, Crown - Dick</t>
  </si>
  <si>
    <t>The Avenue, Reiby - Mount</t>
  </si>
  <si>
    <t>Gladesville Rd, Mary-Rocher</t>
  </si>
  <si>
    <t>High St, Pitwater - Blaxland</t>
  </si>
  <si>
    <t>Mary St, Various</t>
  </si>
  <si>
    <t>Gladesville Precinct</t>
  </si>
  <si>
    <t>Miscellaneous Structure</t>
  </si>
  <si>
    <t>Grant Funded</t>
  </si>
  <si>
    <t>Restoration of German Howitzwer</t>
  </si>
  <si>
    <t>Asset valuation</t>
  </si>
  <si>
    <t>LLS-EEC Buffalo Creek</t>
  </si>
  <si>
    <t>PRMFP- Weed control Ferdinand St Reserve</t>
  </si>
  <si>
    <t>PRMFP - Weed control Buffalo Creek Reserve</t>
  </si>
  <si>
    <t>PRMFP - Weed control Boronia Park</t>
  </si>
  <si>
    <t>Upgrade Windows/Office</t>
  </si>
  <si>
    <t>On line DA lodgement</t>
  </si>
  <si>
    <t xml:space="preserve">CSP reporting </t>
  </si>
  <si>
    <t>TRANSFER TO RESERVE</t>
  </si>
  <si>
    <t xml:space="preserve">Plant SES </t>
  </si>
  <si>
    <t>Town Hall Replacements</t>
  </si>
  <si>
    <t>S94 Reserve</t>
  </si>
  <si>
    <t>S94 Reserve interest</t>
  </si>
  <si>
    <t>LOANS</t>
  </si>
  <si>
    <t>Principal Repayments</t>
  </si>
  <si>
    <t>Principal Repayments Footpaths</t>
  </si>
  <si>
    <t>Dec in Provision For Employee Leave Ent</t>
  </si>
  <si>
    <t xml:space="preserve">RESTRICTED ASSETS </t>
  </si>
  <si>
    <t>2011-2012Incomplete Works</t>
  </si>
  <si>
    <t>Environment Reserves General Fund Supporting Reserves  Enviro 11-12</t>
  </si>
  <si>
    <t>Environment Reserves Special Rate 11-12</t>
  </si>
  <si>
    <t>Community Facility Special Rate 11-12</t>
  </si>
  <si>
    <t>Environment Drainage Levy 11-12</t>
  </si>
  <si>
    <t>2012-2013 Incomplete Works</t>
  </si>
  <si>
    <t>Community Facility Special Rate</t>
  </si>
  <si>
    <t xml:space="preserve">Environment Reserves Special Rate </t>
  </si>
  <si>
    <t>Environment Drainage Special Rate</t>
  </si>
  <si>
    <t>Roads infra general Fund Supporting Special rate</t>
  </si>
  <si>
    <t>Restoration of HH RSL German Howitzer No. 1177 Contribution</t>
  </si>
  <si>
    <t>2017-2018 Incomplete Works</t>
  </si>
  <si>
    <t>Dinghy Structure</t>
  </si>
  <si>
    <t>CSP Reporting (Management Plan Sys)</t>
  </si>
  <si>
    <t>Other Infrastructrue Special levy</t>
  </si>
  <si>
    <t>Total Financial Management and Internal Audit</t>
  </si>
  <si>
    <t>ACCOUNTING OPERATIONS</t>
  </si>
  <si>
    <t>Sundry Permits</t>
  </si>
  <si>
    <t>Rates Certificates Sec 603</t>
  </si>
  <si>
    <t>Charges Pipes &amp; Installations S611</t>
  </si>
  <si>
    <t>Gen Purpose Fines &amp; Costs</t>
  </si>
  <si>
    <t>Gain on Sale of Properties</t>
  </si>
  <si>
    <t>Gain on Sale of Motor Vehicles &amp; Plant</t>
  </si>
  <si>
    <t>Sundry Sales &amp; Services</t>
  </si>
  <si>
    <t>Other Revenue</t>
  </si>
  <si>
    <t xml:space="preserve">General Rate Current </t>
  </si>
  <si>
    <t>Rate Increase Loan Repayment</t>
  </si>
  <si>
    <t>Road Infrastructure Rate 12/13</t>
  </si>
  <si>
    <t>Other Infrastructure 2013/14</t>
  </si>
  <si>
    <t>Environmental levy Drainage</t>
  </si>
  <si>
    <t>Environmental levy Reserves</t>
  </si>
  <si>
    <t>Rate Increase Community Buildings 4.04%</t>
  </si>
  <si>
    <t>General Rate Increase 2% for 10 years</t>
  </si>
  <si>
    <t xml:space="preserve">General Rate Increase 3.0% </t>
  </si>
  <si>
    <t>Extra Charges</t>
  </si>
  <si>
    <t>Interest On Investments</t>
  </si>
  <si>
    <t>Financial Assistance Grants</t>
  </si>
  <si>
    <t>Pensioner Rate Subsidy</t>
  </si>
  <si>
    <t>Local Government Procurement Rebate</t>
  </si>
  <si>
    <t>Other Revenue - CTP commission</t>
  </si>
  <si>
    <t>Other Revenue - Put Fee</t>
  </si>
  <si>
    <t>Banking Charges</t>
  </si>
  <si>
    <t>Valuation Fees</t>
  </si>
  <si>
    <t>Bad And Doubtful Debts</t>
  </si>
  <si>
    <t>Loss on Sale of Motor Vehicles &amp; Plant</t>
  </si>
  <si>
    <t>Loans Interest</t>
  </si>
  <si>
    <t>Loans Interest - Footpaths</t>
  </si>
  <si>
    <t>Carbon Tax</t>
  </si>
  <si>
    <t>ESPL</t>
  </si>
  <si>
    <t>Total Accounting Operations</t>
  </si>
  <si>
    <t>CONTINUOUS IMPROVEMENT</t>
  </si>
  <si>
    <t>Office Expenses - Brochures</t>
  </si>
  <si>
    <t>Total Continuous Improvement</t>
  </si>
  <si>
    <t>Repairs &amp; Maintenance Office Equipment</t>
  </si>
  <si>
    <t>Deprec. Of Office Equipment</t>
  </si>
  <si>
    <t>RENT &amp; LEASE OF FURN/EQUIP</t>
  </si>
  <si>
    <t>Rent &amp; Lease Of Furn / equip Operating Lease</t>
  </si>
  <si>
    <t>Total Leadership And Governance</t>
  </si>
  <si>
    <t>New or increased Items</t>
  </si>
  <si>
    <t xml:space="preserve">N </t>
  </si>
  <si>
    <t xml:space="preserve">Environmental Drainage Special Rate </t>
  </si>
  <si>
    <t xml:space="preserve">Environmental Reserves Special Rate </t>
  </si>
  <si>
    <t>Community Facilities Special Rate</t>
  </si>
  <si>
    <t>Total Asset Management Program  Some Funded By Communuty Facilities Rate</t>
  </si>
  <si>
    <t>Carried Over Project</t>
  </si>
  <si>
    <t>S94A Works</t>
  </si>
  <si>
    <t>Infrastructure Rate(cont local loan1)</t>
  </si>
  <si>
    <t>Environmental Reserves Special Rate  Continued</t>
  </si>
  <si>
    <t>Environmental Drainage Special Rate Continued</t>
  </si>
  <si>
    <t>Infrastructure Rate 2 (cont local loan 2)</t>
  </si>
  <si>
    <t>Community Facilities Special Rate 2017  On</t>
  </si>
  <si>
    <t>Additional to comply with FFTF</t>
  </si>
  <si>
    <t>OPTION 2</t>
  </si>
  <si>
    <t xml:space="preserve"> </t>
  </si>
  <si>
    <t>OPTION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</si>
</sst>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%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12"/>
      <name val="Arial"/>
      <family val="2"/>
    </font>
    <font>
      <sz val="10"/>
      <color rgb="FF0000FF"/>
      <name val="Arial"/>
      <family val="2"/>
    </font>
    <font>
      <sz val="10"/>
      <color indexed="17"/>
      <name val="Arial"/>
      <family val="2"/>
    </font>
    <font>
      <sz val="10"/>
      <color indexed="57"/>
      <name val="Arial"/>
      <family val="2"/>
    </font>
    <font>
      <sz val="10"/>
      <color indexed="53"/>
      <name val="Arial"/>
      <family val="2"/>
    </font>
    <font>
      <sz val="10"/>
      <color rgb="FFFF6600"/>
      <name val="Arial"/>
      <family val="2"/>
    </font>
    <font>
      <sz val="10"/>
      <color rgb="FF339966"/>
      <name val="Arial"/>
      <family val="2"/>
    </font>
    <font>
      <sz val="10"/>
      <color rgb="FF00B050"/>
      <name val="Arial"/>
      <family val="2"/>
    </font>
    <font>
      <sz val="10"/>
      <color theme="7" tint="-0.249977111117893"/>
      <name val="Arial"/>
      <family val="2"/>
    </font>
    <font>
      <sz val="11"/>
      <color theme="7" tint="-0.249977111117893"/>
      <name val="Arial"/>
      <family val="2"/>
    </font>
    <font>
      <sz val="10"/>
      <color rgb="FF745892"/>
      <name val="Arial"/>
      <family val="2"/>
    </font>
    <font>
      <sz val="10"/>
      <color rgb="FF800080"/>
      <name val="Arial"/>
      <family val="2"/>
    </font>
    <font>
      <sz val="11"/>
      <color rgb="FF800080"/>
      <name val="Arial"/>
      <family val="2"/>
    </font>
    <font>
      <sz val="10"/>
      <color rgb="FF7030A0"/>
      <name val="Arial"/>
      <family val="2"/>
    </font>
    <font>
      <sz val="10"/>
      <color indexed="20"/>
      <name val="Arial"/>
      <family val="2"/>
    </font>
    <font>
      <sz val="10"/>
      <color theme="9" tint="-0.249977111117893"/>
      <name val="Arial"/>
      <family val="2"/>
    </font>
    <font>
      <sz val="10"/>
      <color rgb="FFFF0000"/>
      <name val="Arial"/>
      <family val="2"/>
    </font>
    <font>
      <sz val="10"/>
      <color theme="7" tint="0.39997558519241921"/>
      <name val="Arial"/>
      <family val="2"/>
    </font>
    <font>
      <sz val="10"/>
      <color rgb="FFCC00CC"/>
      <name val="Arial"/>
      <family val="2"/>
    </font>
    <font>
      <b/>
      <sz val="10"/>
      <color theme="1"/>
      <name val="Arial"/>
      <family val="2"/>
    </font>
    <font>
      <sz val="10"/>
      <color indexed="50"/>
      <name val="Arial"/>
      <family val="2"/>
    </font>
    <font>
      <sz val="10"/>
      <color indexed="10"/>
      <name val="Arial"/>
      <family val="2"/>
    </font>
    <font>
      <sz val="10"/>
      <color indexed="49"/>
      <name val="Arial"/>
      <family val="2"/>
    </font>
    <font>
      <sz val="10"/>
      <color rgb="FF33CCCC"/>
      <name val="Arial"/>
      <family val="2"/>
    </font>
    <font>
      <sz val="10"/>
      <color rgb="FF00FFFF"/>
      <name val="Arial"/>
      <family val="2"/>
    </font>
    <font>
      <sz val="10"/>
      <color indexed="60"/>
      <name val="Arial"/>
      <family val="2"/>
    </font>
    <font>
      <sz val="10"/>
      <color indexed="61"/>
      <name val="Arial"/>
      <family val="2"/>
    </font>
    <font>
      <sz val="10"/>
      <color indexed="40"/>
      <name val="Arial"/>
      <family val="2"/>
    </font>
    <font>
      <sz val="10"/>
      <color rgb="FF99CC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</cellStyleXfs>
  <cellXfs count="273">
    <xf numFmtId="0" fontId="0" fillId="0" borderId="0" xfId="0"/>
    <xf numFmtId="0" fontId="2" fillId="0" borderId="0" xfId="0" applyFont="1"/>
    <xf numFmtId="0" fontId="3" fillId="0" borderId="0" xfId="0" applyFont="1"/>
    <xf numFmtId="1" fontId="3" fillId="0" borderId="0" xfId="0" applyNumberFormat="1" applyFont="1"/>
    <xf numFmtId="0" fontId="4" fillId="0" borderId="0" xfId="0" applyFont="1"/>
    <xf numFmtId="10" fontId="3" fillId="0" borderId="0" xfId="1" applyNumberFormat="1" applyFont="1"/>
    <xf numFmtId="0" fontId="3" fillId="0" borderId="0" xfId="0" applyFont="1" applyAlignment="1">
      <alignment horizontal="right"/>
    </xf>
    <xf numFmtId="0" fontId="3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vertical="center"/>
    </xf>
    <xf numFmtId="10" fontId="3" fillId="0" borderId="0" xfId="0" applyNumberFormat="1" applyFont="1" applyFill="1"/>
    <xf numFmtId="10" fontId="3" fillId="0" borderId="0" xfId="1" applyNumberFormat="1" applyFont="1" applyFill="1"/>
    <xf numFmtId="10" fontId="3" fillId="0" borderId="0" xfId="0" applyNumberFormat="1" applyFont="1"/>
    <xf numFmtId="2" fontId="3" fillId="0" borderId="0" xfId="0" applyNumberFormat="1" applyFont="1" applyFill="1"/>
    <xf numFmtId="10" fontId="7" fillId="0" borderId="0" xfId="1" applyNumberFormat="1" applyFont="1" applyFill="1"/>
    <xf numFmtId="0" fontId="2" fillId="0" borderId="0" xfId="0" applyFont="1" applyFill="1"/>
    <xf numFmtId="9" fontId="3" fillId="0" borderId="0" xfId="0" applyNumberFormat="1" applyFont="1" applyFill="1"/>
    <xf numFmtId="0" fontId="3" fillId="0" borderId="0" xfId="0" applyNumberFormat="1" applyFont="1" applyFill="1"/>
    <xf numFmtId="0" fontId="3" fillId="0" borderId="0" xfId="1" applyNumberFormat="1" applyFont="1" applyFill="1"/>
    <xf numFmtId="0" fontId="6" fillId="0" borderId="0" xfId="0" applyFont="1" applyFill="1"/>
    <xf numFmtId="0" fontId="8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10" fillId="0" borderId="0" xfId="0" applyFont="1" applyFill="1" applyAlignment="1">
      <alignment horizontal="right" vertical="center"/>
    </xf>
    <xf numFmtId="10" fontId="3" fillId="0" borderId="0" xfId="1" applyNumberFormat="1" applyFont="1" applyFill="1" applyAlignment="1">
      <alignment horizontal="right"/>
    </xf>
    <xf numFmtId="10" fontId="3" fillId="0" borderId="0" xfId="0" applyNumberFormat="1" applyFont="1" applyAlignment="1">
      <alignment horizontal="right"/>
    </xf>
    <xf numFmtId="2" fontId="3" fillId="0" borderId="0" xfId="0" applyNumberFormat="1" applyFont="1" applyFill="1" applyAlignment="1">
      <alignment horizontal="right"/>
    </xf>
    <xf numFmtId="10" fontId="7" fillId="0" borderId="0" xfId="1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10" fontId="3" fillId="0" borderId="0" xfId="0" applyNumberFormat="1" applyFont="1" applyFill="1" applyAlignment="1">
      <alignment horizontal="right"/>
    </xf>
    <xf numFmtId="9" fontId="3" fillId="0" borderId="0" xfId="0" applyNumberFormat="1" applyFont="1" applyFill="1" applyAlignment="1">
      <alignment horizontal="right"/>
    </xf>
    <xf numFmtId="2" fontId="3" fillId="0" borderId="0" xfId="1" applyNumberFormat="1" applyFont="1" applyFill="1" applyAlignment="1">
      <alignment horizontal="right"/>
    </xf>
    <xf numFmtId="0" fontId="10" fillId="0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3" fillId="0" borderId="0" xfId="1" applyNumberFormat="1" applyFont="1" applyFill="1" applyAlignment="1">
      <alignment horizontal="right"/>
    </xf>
    <xf numFmtId="0" fontId="3" fillId="0" borderId="0" xfId="0" applyNumberFormat="1" applyFont="1" applyFill="1" applyAlignment="1">
      <alignment horizontal="right"/>
    </xf>
    <xf numFmtId="0" fontId="3" fillId="0" borderId="0" xfId="0" applyFont="1" applyFill="1" applyAlignment="1"/>
    <xf numFmtId="0" fontId="3" fillId="0" borderId="0" xfId="0" applyFont="1" applyAlignment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9" fontId="3" fillId="0" borderId="0" xfId="1" applyFont="1"/>
    <xf numFmtId="0" fontId="9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/>
    <xf numFmtId="0" fontId="9" fillId="0" borderId="0" xfId="0" applyFont="1" applyFill="1" applyAlignment="1">
      <alignment horizontal="center"/>
    </xf>
    <xf numFmtId="0" fontId="0" fillId="2" borderId="0" xfId="0" applyFill="1"/>
    <xf numFmtId="1" fontId="0" fillId="0" borderId="0" xfId="0" quotePrefix="1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0" fontId="9" fillId="0" borderId="0" xfId="0" applyFont="1" applyFill="1" applyAlignment="1" applyProtection="1">
      <alignment horizontal="left"/>
    </xf>
    <xf numFmtId="0" fontId="9" fillId="0" borderId="0" xfId="0" applyFont="1" applyFill="1" applyAlignment="1" applyProtection="1">
      <alignment horizontal="center"/>
    </xf>
    <xf numFmtId="1" fontId="0" fillId="0" borderId="0" xfId="0" applyNumberFormat="1" applyFill="1"/>
    <xf numFmtId="1" fontId="9" fillId="0" borderId="0" xfId="0" applyNumberFormat="1" applyFont="1" applyFill="1"/>
    <xf numFmtId="0" fontId="10" fillId="0" borderId="0" xfId="0" applyFont="1" applyFill="1"/>
    <xf numFmtId="0" fontId="10" fillId="0" borderId="0" xfId="0" applyFont="1" applyFill="1" applyAlignment="1">
      <alignment horizontal="center"/>
    </xf>
    <xf numFmtId="1" fontId="0" fillId="0" borderId="0" xfId="0" applyNumberFormat="1"/>
    <xf numFmtId="10" fontId="0" fillId="0" borderId="0" xfId="1" applyNumberFormat="1" applyFont="1" applyFill="1"/>
    <xf numFmtId="10" fontId="0" fillId="0" borderId="0" xfId="2" applyNumberFormat="1" applyFont="1" applyFill="1"/>
    <xf numFmtId="1" fontId="12" fillId="0" borderId="0" xfId="0" applyNumberFormat="1" applyFont="1" applyFill="1"/>
    <xf numFmtId="1" fontId="13" fillId="0" borderId="0" xfId="0" applyNumberFormat="1" applyFont="1" applyFill="1"/>
    <xf numFmtId="0" fontId="10" fillId="0" borderId="0" xfId="0" applyFont="1"/>
    <xf numFmtId="0" fontId="13" fillId="0" borderId="0" xfId="0" applyFont="1" applyFill="1"/>
    <xf numFmtId="0" fontId="10" fillId="3" borderId="0" xfId="0" applyFont="1" applyFill="1"/>
    <xf numFmtId="0" fontId="10" fillId="3" borderId="0" xfId="0" applyFont="1" applyFill="1" applyAlignment="1">
      <alignment horizontal="center"/>
    </xf>
    <xf numFmtId="1" fontId="0" fillId="3" borderId="0" xfId="0" applyNumberFormat="1" applyFill="1"/>
    <xf numFmtId="0" fontId="0" fillId="3" borderId="0" xfId="0" applyFill="1"/>
    <xf numFmtId="0" fontId="10" fillId="3" borderId="0" xfId="3" applyFill="1"/>
    <xf numFmtId="0" fontId="10" fillId="0" borderId="0" xfId="0" applyFont="1" applyAlignment="1">
      <alignment horizontal="center"/>
    </xf>
    <xf numFmtId="1" fontId="10" fillId="0" borderId="0" xfId="0" applyNumberFormat="1" applyFont="1" applyFill="1"/>
    <xf numFmtId="1" fontId="10" fillId="0" borderId="0" xfId="0" applyNumberFormat="1" applyFont="1"/>
    <xf numFmtId="0" fontId="14" fillId="0" borderId="0" xfId="0" applyFont="1"/>
    <xf numFmtId="0" fontId="15" fillId="0" borderId="0" xfId="0" applyFont="1"/>
    <xf numFmtId="0" fontId="16" fillId="0" borderId="0" xfId="0" applyFont="1" applyFill="1"/>
    <xf numFmtId="1" fontId="17" fillId="0" borderId="0" xfId="0" applyNumberFormat="1" applyFont="1"/>
    <xf numFmtId="0" fontId="17" fillId="0" borderId="0" xfId="0" applyFont="1"/>
    <xf numFmtId="0" fontId="16" fillId="0" borderId="0" xfId="0" applyFont="1"/>
    <xf numFmtId="0" fontId="18" fillId="0" borderId="0" xfId="0" applyFont="1" applyFill="1"/>
    <xf numFmtId="1" fontId="14" fillId="0" borderId="0" xfId="0" applyNumberFormat="1" applyFont="1" applyFill="1"/>
    <xf numFmtId="0" fontId="17" fillId="0" borderId="0" xfId="0" applyFont="1" applyFill="1"/>
    <xf numFmtId="0" fontId="19" fillId="0" borderId="0" xfId="0" applyFont="1" applyFill="1"/>
    <xf numFmtId="0" fontId="20" fillId="0" borderId="0" xfId="0" applyFont="1" applyFill="1"/>
    <xf numFmtId="1" fontId="20" fillId="0" borderId="0" xfId="0" applyNumberFormat="1" applyFont="1"/>
    <xf numFmtId="0" fontId="20" fillId="0" borderId="0" xfId="0" applyFont="1"/>
    <xf numFmtId="0" fontId="0" fillId="4" borderId="0" xfId="0" applyFill="1"/>
    <xf numFmtId="0" fontId="0" fillId="5" borderId="0" xfId="0" applyFill="1"/>
    <xf numFmtId="0" fontId="0" fillId="6" borderId="0" xfId="0" applyFill="1" applyAlignment="1">
      <alignment horizontal="center"/>
    </xf>
    <xf numFmtId="1" fontId="0" fillId="5" borderId="0" xfId="0" applyNumberFormat="1" applyFill="1"/>
    <xf numFmtId="0" fontId="8" fillId="5" borderId="0" xfId="0" applyFont="1" applyFill="1" applyBorder="1" applyAlignment="1">
      <alignment vertical="center" wrapText="1"/>
    </xf>
    <xf numFmtId="0" fontId="0" fillId="7" borderId="0" xfId="0" applyFont="1" applyFill="1" applyBorder="1" applyAlignment="1">
      <alignment vertical="center"/>
    </xf>
    <xf numFmtId="0" fontId="0" fillId="7" borderId="0" xfId="0" applyFill="1" applyAlignment="1">
      <alignment horizontal="center"/>
    </xf>
    <xf numFmtId="1" fontId="0" fillId="7" borderId="0" xfId="0" applyNumberFormat="1" applyFill="1"/>
    <xf numFmtId="1" fontId="10" fillId="5" borderId="0" xfId="0" applyNumberFormat="1" applyFont="1" applyFill="1"/>
    <xf numFmtId="0" fontId="10" fillId="5" borderId="0" xfId="0" applyFont="1" applyFill="1"/>
    <xf numFmtId="0" fontId="10" fillId="7" borderId="0" xfId="0" applyFont="1" applyFill="1"/>
    <xf numFmtId="0" fontId="8" fillId="7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1" fontId="10" fillId="7" borderId="0" xfId="0" applyNumberFormat="1" applyFont="1" applyFill="1"/>
    <xf numFmtId="0" fontId="10" fillId="7" borderId="0" xfId="0" applyFont="1" applyFill="1" applyAlignment="1">
      <alignment horizontal="center"/>
    </xf>
    <xf numFmtId="0" fontId="8" fillId="7" borderId="0" xfId="0" applyFont="1" applyFill="1" applyBorder="1" applyAlignment="1">
      <alignment vertical="center"/>
    </xf>
    <xf numFmtId="0" fontId="12" fillId="0" borderId="0" xfId="0" applyFont="1" applyFill="1"/>
    <xf numFmtId="164" fontId="0" fillId="0" borderId="0" xfId="0" applyNumberFormat="1" applyFill="1"/>
    <xf numFmtId="1" fontId="16" fillId="0" borderId="0" xfId="0" applyNumberFormat="1" applyFont="1" applyFill="1"/>
    <xf numFmtId="0" fontId="21" fillId="0" borderId="0" xfId="0" applyFont="1" applyFill="1" applyBorder="1"/>
    <xf numFmtId="1" fontId="16" fillId="0" borderId="0" xfId="0" applyNumberFormat="1" applyFont="1"/>
    <xf numFmtId="0" fontId="0" fillId="0" borderId="0" xfId="0" applyAlignment="1">
      <alignment horizontal="center"/>
    </xf>
    <xf numFmtId="0" fontId="15" fillId="0" borderId="0" xfId="0" applyFont="1" applyFill="1"/>
    <xf numFmtId="1" fontId="17" fillId="0" borderId="0" xfId="0" applyNumberFormat="1" applyFont="1" applyFill="1"/>
    <xf numFmtId="0" fontId="0" fillId="6" borderId="0" xfId="0" applyFill="1" applyAlignment="1">
      <alignment horizontal="left"/>
    </xf>
    <xf numFmtId="0" fontId="0" fillId="7" borderId="0" xfId="0" applyFont="1" applyFill="1" applyBorder="1" applyAlignment="1">
      <alignment vertical="center" wrapText="1"/>
    </xf>
    <xf numFmtId="0" fontId="0" fillId="7" borderId="0" xfId="0" applyFont="1" applyFill="1" applyBorder="1"/>
    <xf numFmtId="0" fontId="0" fillId="0" borderId="0" xfId="0" applyFont="1" applyFill="1"/>
    <xf numFmtId="0" fontId="22" fillId="0" borderId="0" xfId="0" applyFont="1" applyFill="1"/>
    <xf numFmtId="0" fontId="23" fillId="0" borderId="0" xfId="0" applyFont="1" applyFill="1" applyBorder="1"/>
    <xf numFmtId="0" fontId="24" fillId="0" borderId="0" xfId="0" applyFont="1" applyFill="1" applyBorder="1"/>
    <xf numFmtId="0" fontId="23" fillId="0" borderId="0" xfId="0" applyFont="1" applyFill="1"/>
    <xf numFmtId="0" fontId="25" fillId="0" borderId="0" xfId="0" applyFont="1" applyFill="1"/>
    <xf numFmtId="1" fontId="26" fillId="0" borderId="0" xfId="0" applyNumberFormat="1" applyFont="1" applyFill="1"/>
    <xf numFmtId="0" fontId="26" fillId="0" borderId="0" xfId="0" applyFont="1"/>
    <xf numFmtId="1" fontId="23" fillId="0" borderId="0" xfId="0" applyNumberFormat="1" applyFont="1" applyFill="1"/>
    <xf numFmtId="1" fontId="25" fillId="0" borderId="0" xfId="0" applyNumberFormat="1" applyFont="1" applyFill="1"/>
    <xf numFmtId="0" fontId="20" fillId="0" borderId="0" xfId="0" applyFont="1" applyFill="1" applyBorder="1"/>
    <xf numFmtId="1" fontId="27" fillId="0" borderId="0" xfId="0" applyNumberFormat="1" applyFont="1" applyFill="1"/>
    <xf numFmtId="1" fontId="19" fillId="0" borderId="0" xfId="0" applyNumberFormat="1" applyFont="1"/>
    <xf numFmtId="1" fontId="0" fillId="0" borderId="0" xfId="0" applyNumberFormat="1" applyFont="1" applyFill="1"/>
    <xf numFmtId="0" fontId="28" fillId="0" borderId="0" xfId="0" applyFont="1" applyFill="1"/>
    <xf numFmtId="0" fontId="28" fillId="0" borderId="0" xfId="0" applyFont="1"/>
    <xf numFmtId="0" fontId="29" fillId="0" borderId="0" xfId="0" applyFont="1" applyFill="1"/>
    <xf numFmtId="0" fontId="0" fillId="8" borderId="0" xfId="0" applyFill="1"/>
    <xf numFmtId="0" fontId="10" fillId="8" borderId="0" xfId="0" applyFont="1" applyFill="1" applyAlignment="1">
      <alignment horizontal="center"/>
    </xf>
    <xf numFmtId="0" fontId="0" fillId="9" borderId="0" xfId="0" applyFill="1"/>
    <xf numFmtId="0" fontId="10" fillId="9" borderId="0" xfId="0" applyFont="1" applyFill="1" applyAlignment="1">
      <alignment horizontal="center"/>
    </xf>
    <xf numFmtId="1" fontId="0" fillId="9" borderId="0" xfId="0" applyNumberFormat="1" applyFill="1"/>
    <xf numFmtId="0" fontId="0" fillId="10" borderId="0" xfId="0" applyFill="1"/>
    <xf numFmtId="0" fontId="10" fillId="10" borderId="0" xfId="0" applyFont="1" applyFill="1" applyAlignment="1">
      <alignment horizontal="center"/>
    </xf>
    <xf numFmtId="1" fontId="0" fillId="11" borderId="0" xfId="0" applyNumberFormat="1" applyFill="1"/>
    <xf numFmtId="1" fontId="0" fillId="10" borderId="0" xfId="0" applyNumberFormat="1" applyFill="1"/>
    <xf numFmtId="1" fontId="10" fillId="9" borderId="0" xfId="0" applyNumberFormat="1" applyFont="1" applyFill="1"/>
    <xf numFmtId="0" fontId="10" fillId="5" borderId="0" xfId="0" applyFont="1" applyFill="1" applyAlignment="1">
      <alignment horizontal="center"/>
    </xf>
    <xf numFmtId="0" fontId="8" fillId="5" borderId="0" xfId="0" applyFont="1" applyFill="1" applyBorder="1" applyAlignment="1">
      <alignment vertical="center"/>
    </xf>
    <xf numFmtId="0" fontId="8" fillId="12" borderId="0" xfId="0" applyFont="1" applyFill="1" applyBorder="1" applyAlignment="1">
      <alignment vertical="center"/>
    </xf>
    <xf numFmtId="0" fontId="10" fillId="12" borderId="0" xfId="0" applyFont="1" applyFill="1" applyAlignment="1">
      <alignment horizontal="center"/>
    </xf>
    <xf numFmtId="0" fontId="8" fillId="12" borderId="0" xfId="3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0" fillId="12" borderId="0" xfId="0" applyFont="1" applyFill="1"/>
    <xf numFmtId="1" fontId="0" fillId="12" borderId="0" xfId="0" applyNumberFormat="1" applyFill="1"/>
    <xf numFmtId="1" fontId="0" fillId="0" borderId="0" xfId="0" applyNumberFormat="1" applyFill="1" applyAlignment="1"/>
    <xf numFmtId="0" fontId="0" fillId="0" borderId="0" xfId="0" applyFill="1" applyAlignment="1"/>
    <xf numFmtId="0" fontId="10" fillId="9" borderId="0" xfId="0" applyFont="1" applyFill="1"/>
    <xf numFmtId="0" fontId="10" fillId="0" borderId="0" xfId="3" applyFont="1" applyFill="1"/>
    <xf numFmtId="0" fontId="10" fillId="7" borderId="0" xfId="0" applyFont="1" applyFill="1" applyBorder="1"/>
    <xf numFmtId="0" fontId="0" fillId="7" borderId="0" xfId="0" applyFill="1"/>
    <xf numFmtId="0" fontId="10" fillId="8" borderId="0" xfId="0" applyFont="1" applyFill="1"/>
    <xf numFmtId="0" fontId="0" fillId="13" borderId="0" xfId="0" applyFill="1"/>
    <xf numFmtId="0" fontId="0" fillId="11" borderId="0" xfId="0" applyFill="1"/>
    <xf numFmtId="0" fontId="10" fillId="7" borderId="0" xfId="0" applyFont="1" applyFill="1" applyBorder="1" applyAlignment="1">
      <alignment vertical="center"/>
    </xf>
    <xf numFmtId="0" fontId="10" fillId="14" borderId="0" xfId="0" applyFont="1" applyFill="1" applyAlignment="1">
      <alignment horizontal="center"/>
    </xf>
    <xf numFmtId="0" fontId="10" fillId="15" borderId="0" xfId="0" applyFont="1" applyFill="1"/>
    <xf numFmtId="0" fontId="0" fillId="15" borderId="0" xfId="0" applyFill="1" applyAlignment="1">
      <alignment horizontal="center"/>
    </xf>
    <xf numFmtId="1" fontId="0" fillId="16" borderId="0" xfId="0" applyNumberFormat="1" applyFill="1"/>
    <xf numFmtId="0" fontId="10" fillId="17" borderId="0" xfId="0" applyFont="1" applyFill="1"/>
    <xf numFmtId="0" fontId="10" fillId="17" borderId="0" xfId="0" applyFont="1" applyFill="1" applyAlignment="1">
      <alignment horizontal="center"/>
    </xf>
    <xf numFmtId="1" fontId="0" fillId="17" borderId="0" xfId="0" applyNumberFormat="1" applyFill="1"/>
    <xf numFmtId="1" fontId="0" fillId="18" borderId="0" xfId="0" applyNumberFormat="1" applyFill="1"/>
    <xf numFmtId="0" fontId="0" fillId="18" borderId="0" xfId="0" applyFill="1"/>
    <xf numFmtId="0" fontId="10" fillId="6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0" fontId="0" fillId="3" borderId="0" xfId="0" applyFill="1" applyAlignment="1">
      <alignment horizontal="center"/>
    </xf>
    <xf numFmtId="1" fontId="30" fillId="0" borderId="0" xfId="0" applyNumberFormat="1" applyFont="1" applyFill="1"/>
    <xf numFmtId="0" fontId="8" fillId="3" borderId="0" xfId="0" applyFont="1" applyFill="1"/>
    <xf numFmtId="0" fontId="10" fillId="3" borderId="0" xfId="0" applyFont="1" applyFill="1" applyBorder="1"/>
    <xf numFmtId="1" fontId="13" fillId="0" borderId="0" xfId="0" applyNumberFormat="1" applyFont="1"/>
    <xf numFmtId="1" fontId="18" fillId="0" borderId="0" xfId="0" applyNumberFormat="1" applyFont="1" applyFill="1"/>
    <xf numFmtId="1" fontId="20" fillId="0" borderId="0" xfId="0" applyNumberFormat="1" applyFont="1" applyFill="1"/>
    <xf numFmtId="1" fontId="28" fillId="0" borderId="0" xfId="0" applyNumberFormat="1" applyFont="1" applyFill="1"/>
    <xf numFmtId="0" fontId="31" fillId="3" borderId="0" xfId="0" applyFont="1" applyFill="1" applyBorder="1" applyAlignment="1">
      <alignment vertical="center" wrapText="1"/>
    </xf>
    <xf numFmtId="0" fontId="8" fillId="19" borderId="0" xfId="0" applyFont="1" applyFill="1" applyBorder="1" applyAlignment="1">
      <alignment vertical="center" wrapText="1"/>
    </xf>
    <xf numFmtId="0" fontId="10" fillId="19" borderId="0" xfId="0" applyFont="1" applyFill="1" applyAlignment="1">
      <alignment horizontal="center"/>
    </xf>
    <xf numFmtId="1" fontId="0" fillId="19" borderId="0" xfId="0" applyNumberFormat="1" applyFill="1"/>
    <xf numFmtId="0" fontId="0" fillId="19" borderId="0" xfId="0" applyFill="1"/>
    <xf numFmtId="0" fontId="2" fillId="0" borderId="0" xfId="0" applyFont="1" applyBorder="1" applyAlignment="1">
      <alignment vertical="center"/>
    </xf>
    <xf numFmtId="0" fontId="31" fillId="0" borderId="0" xfId="0" applyFont="1" applyFill="1" applyBorder="1" applyAlignment="1">
      <alignment vertical="center" wrapText="1"/>
    </xf>
    <xf numFmtId="0" fontId="12" fillId="0" borderId="0" xfId="0" applyFont="1"/>
    <xf numFmtId="0" fontId="8" fillId="0" borderId="0" xfId="0" applyFont="1" applyFill="1"/>
    <xf numFmtId="0" fontId="32" fillId="0" borderId="0" xfId="0" applyFont="1" applyFill="1"/>
    <xf numFmtId="0" fontId="32" fillId="0" borderId="0" xfId="0" applyFont="1"/>
    <xf numFmtId="1" fontId="33" fillId="0" borderId="0" xfId="0" applyNumberFormat="1" applyFont="1" applyFill="1"/>
    <xf numFmtId="0" fontId="0" fillId="20" borderId="0" xfId="0" applyFill="1"/>
    <xf numFmtId="0" fontId="10" fillId="20" borderId="0" xfId="0" applyFont="1" applyFill="1" applyAlignment="1">
      <alignment horizontal="center"/>
    </xf>
    <xf numFmtId="0" fontId="0" fillId="21" borderId="0" xfId="0" applyFill="1"/>
    <xf numFmtId="0" fontId="10" fillId="22" borderId="0" xfId="0" applyFont="1" applyFill="1" applyAlignment="1">
      <alignment horizontal="center"/>
    </xf>
    <xf numFmtId="1" fontId="0" fillId="21" borderId="0" xfId="0" applyNumberFormat="1" applyFill="1"/>
    <xf numFmtId="1" fontId="0" fillId="23" borderId="0" xfId="0" applyNumberFormat="1" applyFill="1"/>
    <xf numFmtId="0" fontId="0" fillId="23" borderId="0" xfId="0" applyFill="1"/>
    <xf numFmtId="1" fontId="0" fillId="24" borderId="0" xfId="0" applyNumberFormat="1" applyFill="1"/>
    <xf numFmtId="0" fontId="0" fillId="21" borderId="0" xfId="0" applyFont="1" applyFill="1"/>
    <xf numFmtId="1" fontId="0" fillId="14" borderId="0" xfId="0" applyNumberFormat="1" applyFill="1"/>
    <xf numFmtId="1" fontId="0" fillId="25" borderId="0" xfId="0" applyNumberFormat="1" applyFill="1"/>
    <xf numFmtId="0" fontId="10" fillId="10" borderId="0" xfId="0" applyFont="1" applyFill="1"/>
    <xf numFmtId="0" fontId="0" fillId="25" borderId="0" xfId="0" applyFill="1"/>
    <xf numFmtId="0" fontId="17" fillId="0" borderId="0" xfId="0" applyFont="1" applyFill="1" applyAlignment="1">
      <alignment horizontal="center"/>
    </xf>
    <xf numFmtId="0" fontId="34" fillId="0" borderId="0" xfId="0" applyFont="1" applyFill="1"/>
    <xf numFmtId="0" fontId="35" fillId="0" borderId="0" xfId="0" applyFont="1" applyFill="1"/>
    <xf numFmtId="1" fontId="35" fillId="0" borderId="0" xfId="0" applyNumberFormat="1" applyFont="1"/>
    <xf numFmtId="0" fontId="10" fillId="9" borderId="0" xfId="3" applyFont="1" applyFill="1"/>
    <xf numFmtId="0" fontId="0" fillId="19" borderId="0" xfId="0" applyFont="1" applyFill="1"/>
    <xf numFmtId="0" fontId="0" fillId="26" borderId="0" xfId="0" applyFill="1" applyAlignment="1">
      <alignment horizontal="center"/>
    </xf>
    <xf numFmtId="1" fontId="0" fillId="26" borderId="0" xfId="0" applyNumberFormat="1" applyFill="1"/>
    <xf numFmtId="1" fontId="0" fillId="27" borderId="0" xfId="0" applyNumberFormat="1" applyFill="1"/>
    <xf numFmtId="1" fontId="0" fillId="28" borderId="0" xfId="0" applyNumberFormat="1" applyFill="1"/>
    <xf numFmtId="0" fontId="0" fillId="26" borderId="0" xfId="0" applyFill="1"/>
    <xf numFmtId="0" fontId="0" fillId="27" borderId="0" xfId="0" applyFill="1"/>
    <xf numFmtId="0" fontId="10" fillId="26" borderId="0" xfId="0" applyFont="1" applyFill="1"/>
    <xf numFmtId="0" fontId="10" fillId="29" borderId="0" xfId="0" applyFont="1" applyFill="1"/>
    <xf numFmtId="0" fontId="10" fillId="29" borderId="0" xfId="0" applyFont="1" applyFill="1" applyAlignment="1">
      <alignment horizontal="center"/>
    </xf>
    <xf numFmtId="0" fontId="0" fillId="29" borderId="0" xfId="0" applyFill="1"/>
    <xf numFmtId="0" fontId="10" fillId="6" borderId="0" xfId="0" applyFont="1" applyFill="1" applyAlignment="1">
      <alignment horizontal="left"/>
    </xf>
    <xf numFmtId="0" fontId="36" fillId="0" borderId="0" xfId="0" applyFont="1" applyFill="1"/>
    <xf numFmtId="0" fontId="26" fillId="0" borderId="0" xfId="0" applyFont="1" applyFill="1"/>
    <xf numFmtId="0" fontId="0" fillId="17" borderId="0" xfId="0" applyFill="1"/>
    <xf numFmtId="0" fontId="13" fillId="0" borderId="0" xfId="0" applyFont="1"/>
    <xf numFmtId="1" fontId="15" fillId="0" borderId="0" xfId="0" applyNumberFormat="1" applyFont="1" applyFill="1"/>
    <xf numFmtId="0" fontId="14" fillId="0" borderId="0" xfId="0" applyFont="1" applyFill="1"/>
    <xf numFmtId="1" fontId="37" fillId="0" borderId="0" xfId="0" applyNumberFormat="1" applyFont="1" applyFill="1"/>
    <xf numFmtId="0" fontId="37" fillId="0" borderId="0" xfId="0" applyFont="1" applyFill="1"/>
    <xf numFmtId="1" fontId="38" fillId="0" borderId="0" xfId="0" applyNumberFormat="1" applyFont="1" applyFill="1"/>
    <xf numFmtId="1" fontId="39" fillId="0" borderId="0" xfId="0" applyNumberFormat="1" applyFont="1" applyFill="1"/>
    <xf numFmtId="1" fontId="40" fillId="0" borderId="0" xfId="0" applyNumberFormat="1" applyFont="1" applyFill="1"/>
    <xf numFmtId="1" fontId="32" fillId="0" borderId="0" xfId="0" applyNumberFormat="1" applyFont="1" applyFill="1"/>
    <xf numFmtId="0" fontId="9" fillId="0" borderId="0" xfId="0" applyFont="1"/>
    <xf numFmtId="0" fontId="10" fillId="0" borderId="0" xfId="0" quotePrefix="1" applyFont="1" applyFill="1"/>
    <xf numFmtId="0" fontId="10" fillId="4" borderId="0" xfId="0" applyFont="1" applyFill="1"/>
    <xf numFmtId="0" fontId="10" fillId="10" borderId="0" xfId="0" applyFont="1" applyFill="1" applyAlignment="1">
      <alignment horizontal="left"/>
    </xf>
    <xf numFmtId="0" fontId="10" fillId="29" borderId="0" xfId="0" applyFont="1" applyFill="1" applyAlignment="1">
      <alignment horizontal="left"/>
    </xf>
    <xf numFmtId="0" fontId="10" fillId="22" borderId="0" xfId="0" applyFont="1" applyFill="1" applyAlignment="1">
      <alignment horizontal="left"/>
    </xf>
    <xf numFmtId="0" fontId="9" fillId="0" borderId="0" xfId="3" applyFont="1" applyFill="1"/>
    <xf numFmtId="0" fontId="10" fillId="0" borderId="0" xfId="3" applyFill="1"/>
    <xf numFmtId="0" fontId="11" fillId="0" borderId="0" xfId="3" applyFont="1"/>
    <xf numFmtId="0" fontId="10" fillId="0" borderId="0" xfId="3" applyFont="1" applyFill="1" applyAlignment="1">
      <alignment horizontal="left"/>
    </xf>
    <xf numFmtId="0" fontId="10" fillId="5" borderId="0" xfId="3" applyFont="1" applyFill="1"/>
    <xf numFmtId="0" fontId="10" fillId="6" borderId="0" xfId="3" applyFont="1" applyFill="1" applyAlignment="1">
      <alignment horizontal="left"/>
    </xf>
    <xf numFmtId="0" fontId="10" fillId="11" borderId="0" xfId="3" applyFont="1" applyFill="1"/>
    <xf numFmtId="0" fontId="10" fillId="10" borderId="0" xfId="3" applyFont="1" applyFill="1" applyAlignment="1">
      <alignment horizontal="left"/>
    </xf>
    <xf numFmtId="0" fontId="10" fillId="29" borderId="0" xfId="3" applyFont="1" applyFill="1" applyAlignment="1">
      <alignment horizontal="left"/>
    </xf>
    <xf numFmtId="0" fontId="10" fillId="17" borderId="0" xfId="3" applyFont="1" applyFill="1"/>
    <xf numFmtId="0" fontId="5" fillId="0" borderId="0" xfId="3" applyFont="1" applyFill="1" applyAlignment="1">
      <alignment wrapText="1"/>
    </xf>
    <xf numFmtId="0" fontId="10" fillId="12" borderId="0" xfId="3" applyFont="1" applyFill="1" applyAlignment="1">
      <alignment horizontal="center"/>
    </xf>
    <xf numFmtId="0" fontId="10" fillId="12" borderId="0" xfId="3" applyFont="1" applyFill="1"/>
    <xf numFmtId="0" fontId="8" fillId="0" borderId="0" xfId="3" applyFont="1" applyFill="1" applyBorder="1" applyAlignment="1">
      <alignment vertical="center"/>
    </xf>
    <xf numFmtId="0" fontId="10" fillId="0" borderId="0" xfId="3" applyFont="1" applyFill="1" applyAlignment="1">
      <alignment horizontal="center"/>
    </xf>
    <xf numFmtId="10" fontId="0" fillId="0" borderId="0" xfId="0" applyNumberFormat="1" applyFill="1"/>
    <xf numFmtId="1" fontId="8" fillId="0" borderId="0" xfId="0" applyNumberFormat="1" applyFont="1" applyFill="1"/>
    <xf numFmtId="0" fontId="10" fillId="0" borderId="0" xfId="3"/>
    <xf numFmtId="0" fontId="8" fillId="0" borderId="0" xfId="3" applyFont="1" applyFill="1"/>
    <xf numFmtId="0" fontId="1" fillId="0" borderId="0" xfId="0" applyFont="1"/>
    <xf numFmtId="0" fontId="10" fillId="27" borderId="0" xfId="0" applyFont="1" applyFill="1"/>
    <xf numFmtId="0" fontId="0" fillId="29" borderId="0" xfId="0" applyFill="1" applyAlignment="1">
      <alignment horizontal="center"/>
    </xf>
    <xf numFmtId="1" fontId="0" fillId="29" borderId="0" xfId="0" applyNumberFormat="1" applyFill="1"/>
    <xf numFmtId="0" fontId="0" fillId="17" borderId="0" xfId="0" applyFill="1" applyAlignment="1">
      <alignment horizontal="center"/>
    </xf>
    <xf numFmtId="0" fontId="0" fillId="30" borderId="0" xfId="0" applyFill="1"/>
    <xf numFmtId="0" fontId="0" fillId="20" borderId="0" xfId="0" applyFill="1" applyAlignment="1">
      <alignment horizontal="center"/>
    </xf>
    <xf numFmtId="1" fontId="0" fillId="22" borderId="0" xfId="0" applyNumberFormat="1" applyFill="1"/>
    <xf numFmtId="0" fontId="0" fillId="14" borderId="0" xfId="0" applyFill="1"/>
    <xf numFmtId="1" fontId="0" fillId="6" borderId="0" xfId="0" applyNumberFormat="1" applyFill="1"/>
    <xf numFmtId="0" fontId="10" fillId="31" borderId="0" xfId="0" applyFont="1" applyFill="1"/>
    <xf numFmtId="9" fontId="0" fillId="31" borderId="0" xfId="0" applyNumberFormat="1" applyFill="1" applyAlignment="1">
      <alignment horizontal="center"/>
    </xf>
    <xf numFmtId="1" fontId="0" fillId="31" borderId="0" xfId="0" applyNumberFormat="1" applyFill="1"/>
    <xf numFmtId="0" fontId="10" fillId="2" borderId="0" xfId="0" applyFont="1" applyFill="1"/>
    <xf numFmtId="165" fontId="0" fillId="2" borderId="0" xfId="0" applyNumberFormat="1" applyFill="1" applyAlignment="1">
      <alignment horizontal="center"/>
    </xf>
    <xf numFmtId="1" fontId="0" fillId="2" borderId="0" xfId="0" applyNumberFormat="1" applyFill="1"/>
    <xf numFmtId="0" fontId="37" fillId="0" borderId="0" xfId="0" applyFont="1"/>
    <xf numFmtId="0" fontId="0" fillId="2" borderId="0" xfId="0" applyFill="1" applyAlignment="1">
      <alignment horizontal="center"/>
    </xf>
    <xf numFmtId="1" fontId="0" fillId="4" borderId="0" xfId="0" applyNumberFormat="1" applyFill="1"/>
    <xf numFmtId="0" fontId="0" fillId="10" borderId="0" xfId="0" applyFill="1" applyAlignment="1">
      <alignment horizontal="center"/>
    </xf>
    <xf numFmtId="0" fontId="0" fillId="22" borderId="0" xfId="0" applyFill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5"/>
  <sheetViews>
    <sheetView zoomScale="70" zoomScaleNormal="70" workbookViewId="0">
      <selection activeCell="J40" sqref="J40"/>
    </sheetView>
  </sheetViews>
  <sheetFormatPr defaultRowHeight="14.25" x14ac:dyDescent="0.2"/>
  <cols>
    <col min="1" max="2" width="9.140625" style="2"/>
    <col min="3" max="3" width="9.28515625" style="2" bestFit="1" customWidth="1"/>
    <col min="4" max="4" width="10.85546875" style="2" customWidth="1"/>
    <col min="5" max="5" width="12.42578125" style="2" customWidth="1"/>
    <col min="6" max="6" width="10.85546875" style="2" customWidth="1"/>
    <col min="7" max="19" width="13.140625" style="2" bestFit="1" customWidth="1"/>
    <col min="20" max="22" width="12.140625" style="2" customWidth="1"/>
    <col min="23" max="32" width="9.28515625" style="2" bestFit="1" customWidth="1"/>
    <col min="33" max="16384" width="9.140625" style="2"/>
  </cols>
  <sheetData>
    <row r="1" spans="1:19" ht="15" x14ac:dyDescent="0.25">
      <c r="A1" s="1" t="s">
        <v>129</v>
      </c>
    </row>
    <row r="2" spans="1:19" ht="15" x14ac:dyDescent="0.25">
      <c r="A2" s="1" t="s">
        <v>0</v>
      </c>
    </row>
    <row r="3" spans="1:19" ht="15" x14ac:dyDescent="0.25">
      <c r="A3" s="1" t="s">
        <v>1</v>
      </c>
    </row>
    <row r="4" spans="1:19" x14ac:dyDescent="0.2">
      <c r="G4" s="2" t="s">
        <v>2</v>
      </c>
      <c r="H4" s="2" t="s">
        <v>2</v>
      </c>
      <c r="I4" s="2" t="s">
        <v>3</v>
      </c>
      <c r="J4" s="2" t="s">
        <v>4</v>
      </c>
      <c r="K4" s="2" t="s">
        <v>4</v>
      </c>
      <c r="L4" s="2" t="s">
        <v>4</v>
      </c>
      <c r="M4" s="2" t="s">
        <v>4</v>
      </c>
      <c r="N4" s="2" t="s">
        <v>4</v>
      </c>
      <c r="O4" s="2" t="s">
        <v>4</v>
      </c>
      <c r="P4" s="2" t="s">
        <v>4</v>
      </c>
      <c r="Q4" s="2" t="s">
        <v>4</v>
      </c>
      <c r="R4" s="2" t="s">
        <v>4</v>
      </c>
      <c r="S4" s="2" t="s">
        <v>4</v>
      </c>
    </row>
    <row r="5" spans="1:19" x14ac:dyDescent="0.2"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  <c r="O5" s="2" t="s">
        <v>13</v>
      </c>
      <c r="P5" s="2" t="s">
        <v>14</v>
      </c>
      <c r="Q5" s="2" t="s">
        <v>15</v>
      </c>
      <c r="R5" s="2" t="s">
        <v>16</v>
      </c>
      <c r="S5" s="2" t="s">
        <v>17</v>
      </c>
    </row>
    <row r="6" spans="1:19" x14ac:dyDescent="0.2">
      <c r="G6" s="2" t="s">
        <v>18</v>
      </c>
      <c r="H6" s="2" t="s">
        <v>18</v>
      </c>
      <c r="I6" s="2" t="s">
        <v>18</v>
      </c>
      <c r="J6" s="2" t="s">
        <v>18</v>
      </c>
      <c r="K6" s="2" t="s">
        <v>18</v>
      </c>
      <c r="L6" s="2" t="s">
        <v>18</v>
      </c>
      <c r="M6" s="2" t="s">
        <v>18</v>
      </c>
      <c r="N6" s="2" t="s">
        <v>18</v>
      </c>
      <c r="O6" s="2" t="s">
        <v>18</v>
      </c>
      <c r="P6" s="2" t="s">
        <v>18</v>
      </c>
      <c r="Q6" s="2" t="s">
        <v>18</v>
      </c>
      <c r="R6" s="2" t="s">
        <v>18</v>
      </c>
    </row>
    <row r="7" spans="1:19" x14ac:dyDescent="0.2"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ht="15" x14ac:dyDescent="0.25">
      <c r="A8" s="1" t="s">
        <v>19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x14ac:dyDescent="0.2"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x14ac:dyDescent="0.2">
      <c r="A10" s="2" t="s">
        <v>20</v>
      </c>
      <c r="G10" s="3">
        <v>11100000</v>
      </c>
      <c r="H10" s="3">
        <v>10966000</v>
      </c>
      <c r="I10" s="3">
        <v>11373200</v>
      </c>
      <c r="J10" s="3">
        <v>11689969.800000001</v>
      </c>
      <c r="K10" s="3">
        <v>11979382.675199999</v>
      </c>
      <c r="L10" s="3">
        <v>12275962.799404798</v>
      </c>
      <c r="M10" s="3">
        <v>12576913.570791107</v>
      </c>
      <c r="N10" s="3">
        <v>12882208.745861007</v>
      </c>
      <c r="O10" s="3">
        <v>13198044.982632685</v>
      </c>
      <c r="P10" s="3">
        <v>13527996.107198503</v>
      </c>
      <c r="Q10" s="3">
        <v>13866196.009878466</v>
      </c>
      <c r="R10" s="3">
        <v>14209508.862304222</v>
      </c>
      <c r="S10" s="3">
        <v>14561324.326892918</v>
      </c>
    </row>
    <row r="11" spans="1:19" x14ac:dyDescent="0.2">
      <c r="A11" s="2" t="s">
        <v>21</v>
      </c>
      <c r="G11" s="3">
        <v>1602000</v>
      </c>
      <c r="H11" s="3">
        <v>1408000</v>
      </c>
      <c r="I11" s="3">
        <v>1538700</v>
      </c>
      <c r="J11" s="3">
        <v>1574090.0999999999</v>
      </c>
      <c r="K11" s="3">
        <v>1611868.2624000001</v>
      </c>
      <c r="L11" s="3">
        <v>1650553.1006976</v>
      </c>
      <c r="M11" s="3">
        <v>1688515.8220136447</v>
      </c>
      <c r="N11" s="3">
        <v>1725663.1700979448</v>
      </c>
      <c r="O11" s="3">
        <v>1765353.4230101977</v>
      </c>
      <c r="P11" s="3">
        <v>1809487.2585854521</v>
      </c>
      <c r="Q11" s="3">
        <v>1854724.4400500886</v>
      </c>
      <c r="R11" s="3">
        <v>1899237.8266112905</v>
      </c>
      <c r="S11" s="3">
        <v>1944819.534449962</v>
      </c>
    </row>
    <row r="12" spans="1:19" x14ac:dyDescent="0.2">
      <c r="A12" s="2" t="s">
        <v>22</v>
      </c>
      <c r="G12" s="3">
        <v>505000</v>
      </c>
      <c r="H12" s="3">
        <v>490000</v>
      </c>
      <c r="I12" s="3">
        <v>509320</v>
      </c>
      <c r="J12" s="3">
        <v>529617.80000000005</v>
      </c>
      <c r="K12" s="3">
        <v>628955.75470000005</v>
      </c>
      <c r="L12" s="3">
        <v>649388.2585003</v>
      </c>
      <c r="M12" s="3">
        <v>610487.5152019558</v>
      </c>
      <c r="N12" s="3">
        <v>571595.04871833301</v>
      </c>
      <c r="O12" s="3">
        <v>651259.29899973585</v>
      </c>
      <c r="P12" s="3">
        <v>730953.25728118129</v>
      </c>
      <c r="Q12" s="3">
        <v>751396.56451966148</v>
      </c>
      <c r="R12" s="3">
        <v>712582.28708026232</v>
      </c>
      <c r="S12" s="3">
        <v>713296.87946245854</v>
      </c>
    </row>
    <row r="13" spans="1:19" x14ac:dyDescent="0.2">
      <c r="A13" s="2" t="s">
        <v>23</v>
      </c>
      <c r="G13" s="3">
        <v>873000</v>
      </c>
      <c r="H13" s="3">
        <v>891000</v>
      </c>
      <c r="I13" s="3">
        <v>2166600</v>
      </c>
      <c r="J13" s="3">
        <v>1302710</v>
      </c>
      <c r="K13" s="3">
        <v>1352804.1475</v>
      </c>
      <c r="L13" s="3">
        <v>1303306.1622275</v>
      </c>
      <c r="M13" s="3">
        <v>1354444.7500931076</v>
      </c>
      <c r="N13" s="3">
        <v>1362647.1280267572</v>
      </c>
      <c r="O13" s="3">
        <v>1416034.4908163003</v>
      </c>
      <c r="P13" s="3">
        <v>1428890.3530867076</v>
      </c>
      <c r="Q13" s="3">
        <v>1486807.6119138754</v>
      </c>
      <c r="R13" s="3">
        <v>1499760.1601206777</v>
      </c>
      <c r="S13" s="3">
        <v>1559146.778622465</v>
      </c>
    </row>
    <row r="14" spans="1:19" x14ac:dyDescent="0.2">
      <c r="A14" s="2" t="s">
        <v>24</v>
      </c>
      <c r="G14" s="3">
        <v>1053000</v>
      </c>
      <c r="H14" s="3">
        <v>869000</v>
      </c>
      <c r="I14" s="3">
        <v>1012533</v>
      </c>
      <c r="J14" s="3">
        <v>754744.79999999993</v>
      </c>
      <c r="K14" s="3">
        <v>772527.82520000008</v>
      </c>
      <c r="L14" s="3">
        <v>790738.37175479985</v>
      </c>
      <c r="M14" s="3">
        <v>808641.60574266035</v>
      </c>
      <c r="N14" s="3">
        <v>826195.89515415498</v>
      </c>
      <c r="O14" s="3">
        <v>844917.75303422415</v>
      </c>
      <c r="P14" s="3">
        <v>865665.69686007942</v>
      </c>
      <c r="Q14" s="3">
        <v>886932.33928158158</v>
      </c>
      <c r="R14" s="3">
        <v>907893.36561405892</v>
      </c>
      <c r="S14" s="3">
        <v>929358.32283325866</v>
      </c>
    </row>
    <row r="15" spans="1:19" x14ac:dyDescent="0.2">
      <c r="A15" s="2" t="s">
        <v>25</v>
      </c>
      <c r="G15" s="3">
        <v>394000</v>
      </c>
      <c r="H15" s="3">
        <v>569000</v>
      </c>
      <c r="I15" s="3">
        <v>330000</v>
      </c>
      <c r="J15" s="3">
        <v>337589.99999999994</v>
      </c>
      <c r="K15" s="3">
        <v>345692.15999999997</v>
      </c>
      <c r="L15" s="3">
        <v>353988.77184</v>
      </c>
      <c r="M15" s="3">
        <v>362130.51359231997</v>
      </c>
      <c r="N15" s="3">
        <v>370097.38489135104</v>
      </c>
      <c r="O15" s="3">
        <v>378609.62474385207</v>
      </c>
      <c r="P15" s="3">
        <v>388074.86536244833</v>
      </c>
      <c r="Q15" s="3">
        <v>397776.73699650948</v>
      </c>
      <c r="R15" s="3">
        <v>407323.37868442573</v>
      </c>
      <c r="S15" s="3">
        <v>417099.13977285195</v>
      </c>
    </row>
    <row r="16" spans="1:19" x14ac:dyDescent="0.2"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x14ac:dyDescent="0.2">
      <c r="A17" s="4" t="s">
        <v>26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x14ac:dyDescent="0.2">
      <c r="A18" s="2" t="s">
        <v>27</v>
      </c>
      <c r="G18" s="3">
        <v>0</v>
      </c>
      <c r="H18" s="3">
        <v>0</v>
      </c>
      <c r="I18" s="3">
        <v>32900</v>
      </c>
      <c r="J18" s="3">
        <v>81600</v>
      </c>
      <c r="K18" s="3">
        <v>26700</v>
      </c>
      <c r="L18" s="3">
        <v>0</v>
      </c>
      <c r="M18" s="3">
        <v>0</v>
      </c>
      <c r="N18" s="3">
        <v>38100</v>
      </c>
      <c r="O18" s="3">
        <v>39700</v>
      </c>
      <c r="P18" s="3">
        <v>19800</v>
      </c>
      <c r="Q18" s="3">
        <v>64900</v>
      </c>
      <c r="R18" s="3">
        <v>19400</v>
      </c>
      <c r="S18" s="3">
        <v>19400</v>
      </c>
    </row>
    <row r="19" spans="1:19" x14ac:dyDescent="0.2">
      <c r="A19" s="2" t="s">
        <v>28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x14ac:dyDescent="0.2">
      <c r="A20" s="2" t="s">
        <v>29</v>
      </c>
      <c r="G20" s="3">
        <v>57000</v>
      </c>
      <c r="H20" s="3">
        <v>72000</v>
      </c>
      <c r="I20" s="3">
        <v>6000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</row>
    <row r="21" spans="1:19" x14ac:dyDescent="0.2"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x14ac:dyDescent="0.2">
      <c r="A22" s="2" t="s">
        <v>30</v>
      </c>
      <c r="G22" s="3">
        <v>15584000</v>
      </c>
      <c r="H22" s="3">
        <v>15265000</v>
      </c>
      <c r="I22" s="3">
        <v>16969253</v>
      </c>
      <c r="J22" s="3">
        <v>16270322.500000002</v>
      </c>
      <c r="K22" s="3">
        <v>16717930.824999997</v>
      </c>
      <c r="L22" s="3">
        <v>17023937.464424998</v>
      </c>
      <c r="M22" s="3">
        <v>17401133.777434796</v>
      </c>
      <c r="N22" s="3">
        <v>17776507.372749548</v>
      </c>
      <c r="O22" s="3">
        <v>18293919.573236994</v>
      </c>
      <c r="P22" s="3">
        <v>18770867.538374368</v>
      </c>
      <c r="Q22" s="3">
        <v>19308733.70264018</v>
      </c>
      <c r="R22" s="3">
        <v>19655705.88041494</v>
      </c>
      <c r="S22" s="3">
        <v>20144444.982033912</v>
      </c>
    </row>
    <row r="23" spans="1:19" x14ac:dyDescent="0.2"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" x14ac:dyDescent="0.25">
      <c r="A24" s="1" t="s">
        <v>31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x14ac:dyDescent="0.2"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x14ac:dyDescent="0.2">
      <c r="A26" s="2" t="s">
        <v>32</v>
      </c>
      <c r="G26" s="3">
        <v>5180000</v>
      </c>
      <c r="H26" s="3">
        <v>5330000</v>
      </c>
      <c r="I26" s="3">
        <v>6081070</v>
      </c>
      <c r="J26" s="3">
        <v>6228626.0499999998</v>
      </c>
      <c r="K26" s="3">
        <v>6409066.7134499988</v>
      </c>
      <c r="L26" s="3">
        <v>6638171.4004980475</v>
      </c>
      <c r="M26" s="3">
        <v>6889356.3496623486</v>
      </c>
      <c r="N26" s="3">
        <v>7141596.2208868088</v>
      </c>
      <c r="O26" s="3">
        <v>7390388.5295676747</v>
      </c>
      <c r="P26" s="3">
        <v>7660600.4397287071</v>
      </c>
      <c r="Q26" s="3">
        <v>7919887.185149801</v>
      </c>
      <c r="R26" s="3">
        <v>8185873.6033694223</v>
      </c>
      <c r="S26" s="3">
        <v>8462460.6115186978</v>
      </c>
    </row>
    <row r="27" spans="1:19" x14ac:dyDescent="0.2">
      <c r="A27" s="2" t="s">
        <v>33</v>
      </c>
      <c r="G27" s="3">
        <v>5000</v>
      </c>
      <c r="H27" s="3">
        <v>1000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</row>
    <row r="28" spans="1:19" x14ac:dyDescent="0.2">
      <c r="A28" s="2" t="s">
        <v>34</v>
      </c>
      <c r="G28" s="3">
        <v>6162000</v>
      </c>
      <c r="H28" s="3">
        <v>5080000</v>
      </c>
      <c r="I28" s="3">
        <v>5545263</v>
      </c>
      <c r="J28" s="3">
        <v>5512840.2319999998</v>
      </c>
      <c r="K28" s="3">
        <v>5586406.8405679986</v>
      </c>
      <c r="L28" s="3">
        <v>5682620.160474631</v>
      </c>
      <c r="M28" s="3">
        <v>5865683.9366615647</v>
      </c>
      <c r="N28" s="3">
        <v>5975229.2495116675</v>
      </c>
      <c r="O28" s="3">
        <v>6134692.7117893016</v>
      </c>
      <c r="P28" s="3">
        <v>6212218.5212809313</v>
      </c>
      <c r="Q28" s="3">
        <v>6402941.7939557908</v>
      </c>
      <c r="R28" s="3">
        <v>6532534.1458950108</v>
      </c>
      <c r="S28" s="3">
        <v>6761285.9556444604</v>
      </c>
    </row>
    <row r="29" spans="1:19" x14ac:dyDescent="0.2">
      <c r="A29" s="2" t="s">
        <v>35</v>
      </c>
      <c r="G29" s="3">
        <v>2249000</v>
      </c>
      <c r="H29" s="3">
        <v>2244000</v>
      </c>
      <c r="I29" s="3">
        <v>2227622</v>
      </c>
      <c r="J29" s="3">
        <v>2267324</v>
      </c>
      <c r="K29" s="3">
        <v>2311025</v>
      </c>
      <c r="L29" s="3">
        <v>2345645</v>
      </c>
      <c r="M29" s="3">
        <v>2386118</v>
      </c>
      <c r="N29" s="3">
        <v>2440882.7659999998</v>
      </c>
      <c r="O29" s="3">
        <v>2495949.0946180001</v>
      </c>
      <c r="P29" s="3">
        <v>2556191.9469834501</v>
      </c>
      <c r="Q29" s="3">
        <v>2620984.6206580363</v>
      </c>
      <c r="R29" s="3">
        <v>2680774.1315538287</v>
      </c>
      <c r="S29" s="3">
        <v>2706793.4707111209</v>
      </c>
    </row>
    <row r="30" spans="1:19" x14ac:dyDescent="0.2">
      <c r="A30" s="2" t="s">
        <v>36</v>
      </c>
      <c r="G30" s="3">
        <v>2179000</v>
      </c>
      <c r="H30" s="3">
        <v>2421000</v>
      </c>
      <c r="I30" s="3">
        <v>2565646</v>
      </c>
      <c r="J30" s="3">
        <v>2638511.5972499996</v>
      </c>
      <c r="K30" s="3">
        <v>2797253.5862812488</v>
      </c>
      <c r="L30" s="3">
        <v>2744823.03516958</v>
      </c>
      <c r="M30" s="3">
        <v>2814054.9647136275</v>
      </c>
      <c r="N30" s="3">
        <v>2883381.1491789315</v>
      </c>
      <c r="O30" s="3">
        <v>3056332.571827292</v>
      </c>
      <c r="P30" s="3">
        <v>3034927.5789478803</v>
      </c>
      <c r="Q30" s="3">
        <v>3115727.1286860332</v>
      </c>
      <c r="R30" s="3">
        <v>3196800.2976844553</v>
      </c>
      <c r="S30" s="3">
        <v>3280176.7010354623</v>
      </c>
    </row>
    <row r="31" spans="1:19" x14ac:dyDescent="0.2"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x14ac:dyDescent="0.2">
      <c r="A32" s="4" t="s">
        <v>36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x14ac:dyDescent="0.2">
      <c r="A33" s="2" t="s">
        <v>37</v>
      </c>
      <c r="G33" s="3">
        <v>295000</v>
      </c>
      <c r="H33" s="3">
        <v>198000</v>
      </c>
      <c r="I33" s="3">
        <v>194616</v>
      </c>
      <c r="J33" s="3">
        <v>209922.58499999999</v>
      </c>
      <c r="K33" s="3">
        <v>229702.83103999999</v>
      </c>
      <c r="L33" s="3">
        <v>208898.01098495998</v>
      </c>
      <c r="M33" s="3">
        <v>230861.67823761405</v>
      </c>
      <c r="N33" s="3">
        <v>223778.83515884157</v>
      </c>
      <c r="O33" s="3">
        <v>228925.7483674949</v>
      </c>
      <c r="P33" s="3">
        <v>234648.89207668224</v>
      </c>
      <c r="Q33" s="3">
        <v>240515.11437859928</v>
      </c>
      <c r="R33" s="3">
        <v>246287.47712368568</v>
      </c>
      <c r="S33" s="3">
        <v>252198.3765746541</v>
      </c>
    </row>
    <row r="34" spans="1:19" x14ac:dyDescent="0.2"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x14ac:dyDescent="0.2">
      <c r="A35" s="2" t="s">
        <v>38</v>
      </c>
      <c r="G35" s="3">
        <v>16070000</v>
      </c>
      <c r="H35" s="3">
        <v>15274000</v>
      </c>
      <c r="I35" s="3">
        <v>16614217</v>
      </c>
      <c r="J35" s="3">
        <v>16857224.464249998</v>
      </c>
      <c r="K35" s="3">
        <v>17333454.971339244</v>
      </c>
      <c r="L35" s="3">
        <v>17620157.607127219</v>
      </c>
      <c r="M35" s="3">
        <v>18186074.929275151</v>
      </c>
      <c r="N35" s="3">
        <v>18664868.22073625</v>
      </c>
      <c r="O35" s="3">
        <v>19306288.656169765</v>
      </c>
      <c r="P35" s="3">
        <v>19698587.379017651</v>
      </c>
      <c r="Q35" s="3">
        <v>20300055.842828259</v>
      </c>
      <c r="R35" s="3">
        <v>20842269.655626401</v>
      </c>
      <c r="S35" s="3">
        <v>21462915.115484394</v>
      </c>
    </row>
    <row r="36" spans="1:19" x14ac:dyDescent="0.2"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 x14ac:dyDescent="0.2">
      <c r="A37" s="2" t="s">
        <v>39</v>
      </c>
      <c r="G37" s="3">
        <v>-486000</v>
      </c>
      <c r="H37" s="3">
        <v>-9000</v>
      </c>
      <c r="I37" s="3">
        <v>355036</v>
      </c>
      <c r="J37" s="3">
        <v>-586901.96424999647</v>
      </c>
      <c r="K37" s="3">
        <v>-615524.146339247</v>
      </c>
      <c r="L37" s="3">
        <v>-596220.14270222187</v>
      </c>
      <c r="M37" s="3">
        <v>-784941.15184035525</v>
      </c>
      <c r="N37" s="3">
        <v>-888360.84798670188</v>
      </c>
      <c r="O37" s="3">
        <v>-1012369.0829327703</v>
      </c>
      <c r="P37" s="3">
        <v>-927719.84064328298</v>
      </c>
      <c r="Q37" s="3">
        <v>-991322.14018807933</v>
      </c>
      <c r="R37" s="3">
        <v>-1186563.7752114609</v>
      </c>
      <c r="S37" s="3">
        <v>-1318470.133450482</v>
      </c>
    </row>
    <row r="38" spans="1:19" x14ac:dyDescent="0.2"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x14ac:dyDescent="0.2">
      <c r="A39" s="2" t="s">
        <v>40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x14ac:dyDescent="0.2">
      <c r="A40" s="2" t="s">
        <v>41</v>
      </c>
      <c r="G40" s="3">
        <v>-880000</v>
      </c>
      <c r="H40" s="3">
        <v>-578000</v>
      </c>
      <c r="I40" s="3">
        <v>25036</v>
      </c>
      <c r="J40" s="3">
        <v>-924491.96424999647</v>
      </c>
      <c r="K40" s="3">
        <v>-961216.30633924692</v>
      </c>
      <c r="L40" s="3">
        <v>-950208.91454222193</v>
      </c>
      <c r="M40" s="3">
        <v>-1147071.6654326753</v>
      </c>
      <c r="N40" s="3">
        <v>-1258458.2328780529</v>
      </c>
      <c r="O40" s="3">
        <v>-1390978.7076766223</v>
      </c>
      <c r="P40" s="3">
        <v>-1315794.7060057314</v>
      </c>
      <c r="Q40" s="3">
        <v>-1389098.8771845889</v>
      </c>
      <c r="R40" s="3">
        <v>-1593887.1538958866</v>
      </c>
      <c r="S40" s="3">
        <v>-1735569.273223334</v>
      </c>
    </row>
    <row r="42" spans="1:19" ht="15" x14ac:dyDescent="0.25">
      <c r="A42" s="1" t="s">
        <v>129</v>
      </c>
    </row>
    <row r="43" spans="1:19" ht="15" x14ac:dyDescent="0.25">
      <c r="A43" s="1" t="s">
        <v>42</v>
      </c>
    </row>
    <row r="44" spans="1:19" ht="15" x14ac:dyDescent="0.25">
      <c r="A44" s="1" t="s">
        <v>43</v>
      </c>
    </row>
    <row r="46" spans="1:19" x14ac:dyDescent="0.2">
      <c r="G46" s="2" t="s">
        <v>2</v>
      </c>
      <c r="H46" s="2" t="s">
        <v>2</v>
      </c>
      <c r="I46" s="2" t="s">
        <v>3</v>
      </c>
      <c r="J46" s="2" t="s">
        <v>4</v>
      </c>
      <c r="K46" s="2" t="s">
        <v>4</v>
      </c>
      <c r="L46" s="2" t="s">
        <v>4</v>
      </c>
      <c r="M46" s="2" t="s">
        <v>4</v>
      </c>
      <c r="N46" s="2" t="s">
        <v>4</v>
      </c>
      <c r="O46" s="2" t="s">
        <v>4</v>
      </c>
      <c r="P46" s="2" t="s">
        <v>4</v>
      </c>
      <c r="Q46" s="2" t="s">
        <v>4</v>
      </c>
      <c r="R46" s="2" t="s">
        <v>4</v>
      </c>
      <c r="S46" s="2" t="s">
        <v>4</v>
      </c>
    </row>
    <row r="47" spans="1:19" x14ac:dyDescent="0.2">
      <c r="G47" s="2" t="s">
        <v>5</v>
      </c>
      <c r="H47" s="2" t="s">
        <v>6</v>
      </c>
      <c r="I47" s="2" t="s">
        <v>7</v>
      </c>
      <c r="J47" s="2" t="s">
        <v>8</v>
      </c>
      <c r="K47" s="2" t="s">
        <v>9</v>
      </c>
      <c r="L47" s="2" t="s">
        <v>10</v>
      </c>
      <c r="M47" s="2" t="s">
        <v>11</v>
      </c>
      <c r="N47" s="2" t="s">
        <v>12</v>
      </c>
      <c r="O47" s="2" t="s">
        <v>13</v>
      </c>
      <c r="P47" s="2" t="s">
        <v>14</v>
      </c>
      <c r="Q47" s="2" t="s">
        <v>15</v>
      </c>
      <c r="R47" s="2" t="s">
        <v>16</v>
      </c>
      <c r="S47" s="2" t="s">
        <v>17</v>
      </c>
    </row>
    <row r="49" spans="1:19" x14ac:dyDescent="0.2">
      <c r="G49" s="2" t="s">
        <v>18</v>
      </c>
      <c r="H49" s="2" t="s">
        <v>18</v>
      </c>
      <c r="I49" s="2" t="s">
        <v>18</v>
      </c>
      <c r="J49" s="2" t="s">
        <v>18</v>
      </c>
      <c r="K49" s="2" t="s">
        <v>18</v>
      </c>
      <c r="L49" s="2" t="s">
        <v>18</v>
      </c>
      <c r="M49" s="2" t="s">
        <v>18</v>
      </c>
      <c r="N49" s="2" t="s">
        <v>18</v>
      </c>
      <c r="O49" s="2" t="s">
        <v>18</v>
      </c>
      <c r="P49" s="2" t="s">
        <v>18</v>
      </c>
      <c r="Q49" s="2" t="s">
        <v>18</v>
      </c>
      <c r="R49" s="2" t="s">
        <v>18</v>
      </c>
    </row>
    <row r="51" spans="1:19" ht="15" x14ac:dyDescent="0.25">
      <c r="A51" s="1" t="s">
        <v>44</v>
      </c>
    </row>
    <row r="53" spans="1:19" x14ac:dyDescent="0.2">
      <c r="A53" s="2" t="s">
        <v>45</v>
      </c>
      <c r="G53" s="3">
        <v>16954000</v>
      </c>
      <c r="H53" s="3">
        <v>15898000</v>
      </c>
      <c r="I53" s="3">
        <v>16969253</v>
      </c>
      <c r="J53" s="3">
        <v>16270322.500000002</v>
      </c>
      <c r="K53" s="3">
        <v>16717930.824999997</v>
      </c>
      <c r="L53" s="3">
        <v>17023937.464424998</v>
      </c>
      <c r="M53" s="3">
        <v>17401133.777434796</v>
      </c>
      <c r="N53" s="3">
        <v>17776507.372749548</v>
      </c>
      <c r="O53" s="3">
        <v>18293919.573236994</v>
      </c>
      <c r="P53" s="3">
        <v>18770867.538374368</v>
      </c>
      <c r="Q53" s="3">
        <v>19308733.70264018</v>
      </c>
      <c r="R53" s="3">
        <v>19655705.88041494</v>
      </c>
      <c r="S53" s="3">
        <v>20144444.982033912</v>
      </c>
    </row>
    <row r="54" spans="1:19" x14ac:dyDescent="0.2">
      <c r="A54" s="2" t="s">
        <v>46</v>
      </c>
      <c r="G54" s="3">
        <v>-14350000</v>
      </c>
      <c r="H54" s="3">
        <v>-14124000</v>
      </c>
      <c r="I54" s="3">
        <v>-14627043</v>
      </c>
      <c r="J54" s="3">
        <v>-14588205.488249999</v>
      </c>
      <c r="K54" s="3">
        <v>-14960177.235915244</v>
      </c>
      <c r="L54" s="3">
        <v>-15179636.078053044</v>
      </c>
      <c r="M54" s="3">
        <v>-15703706.644743694</v>
      </c>
      <c r="N54" s="3">
        <v>-16174620.9891856</v>
      </c>
      <c r="O54" s="3">
        <v>-16647651.755768418</v>
      </c>
      <c r="P54" s="3">
        <v>-17058303.087125111</v>
      </c>
      <c r="Q54" s="3">
        <v>-17637451.018638406</v>
      </c>
      <c r="R54" s="3">
        <v>-18076114.515797265</v>
      </c>
      <c r="S54" s="3">
        <v>-18668226.24429936</v>
      </c>
    </row>
    <row r="55" spans="1:19" x14ac:dyDescent="0.2"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ht="15" x14ac:dyDescent="0.25">
      <c r="A56" s="1" t="s">
        <v>47</v>
      </c>
      <c r="G56" s="3">
        <v>2604000</v>
      </c>
      <c r="H56" s="3">
        <v>1774000</v>
      </c>
      <c r="I56" s="3">
        <v>2342210</v>
      </c>
      <c r="J56" s="3">
        <v>1682117.0117500033</v>
      </c>
      <c r="K56" s="3">
        <v>1757753.5890847538</v>
      </c>
      <c r="L56" s="3">
        <v>1844301.3863719534</v>
      </c>
      <c r="M56" s="3">
        <v>1697427.1326911021</v>
      </c>
      <c r="N56" s="3">
        <v>1601886.3835639488</v>
      </c>
      <c r="O56" s="3">
        <v>1646267.8174685761</v>
      </c>
      <c r="P56" s="3">
        <v>1712564.4512492567</v>
      </c>
      <c r="Q56" s="3">
        <v>1671282.6840017736</v>
      </c>
      <c r="R56" s="3">
        <v>1579591.3646176755</v>
      </c>
      <c r="S56" s="3">
        <v>1476218.7377345525</v>
      </c>
    </row>
    <row r="57" spans="1:19" x14ac:dyDescent="0.2"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</row>
    <row r="58" spans="1:19" ht="15" x14ac:dyDescent="0.25">
      <c r="A58" s="1" t="s">
        <v>48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spans="1:19" x14ac:dyDescent="0.2"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19" x14ac:dyDescent="0.2">
      <c r="A60" s="2" t="s">
        <v>45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19" x14ac:dyDescent="0.2">
      <c r="A61" s="2" t="s">
        <v>49</v>
      </c>
      <c r="G61" s="3">
        <v>86000</v>
      </c>
      <c r="H61" s="3">
        <v>108000</v>
      </c>
      <c r="I61" s="3">
        <v>167800</v>
      </c>
      <c r="J61" s="3">
        <v>91100</v>
      </c>
      <c r="K61" s="3">
        <v>140900</v>
      </c>
      <c r="L61" s="3">
        <v>101550</v>
      </c>
      <c r="M61" s="3">
        <v>85550</v>
      </c>
      <c r="N61" s="3">
        <v>132600</v>
      </c>
      <c r="O61" s="3">
        <v>67100</v>
      </c>
      <c r="P61" s="3">
        <v>55400</v>
      </c>
      <c r="Q61" s="3">
        <v>190750</v>
      </c>
      <c r="R61" s="3">
        <v>150100</v>
      </c>
      <c r="S61" s="3">
        <v>150101</v>
      </c>
    </row>
    <row r="62" spans="1:19" x14ac:dyDescent="0.2"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spans="1:19" x14ac:dyDescent="0.2">
      <c r="A63" s="2" t="s">
        <v>46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 spans="1:19" x14ac:dyDescent="0.2">
      <c r="A64" s="2" t="s">
        <v>50</v>
      </c>
      <c r="G64" s="3">
        <v>-2019000</v>
      </c>
      <c r="H64" s="3">
        <v>-1147000</v>
      </c>
      <c r="I64" s="3">
        <v>-2538551</v>
      </c>
      <c r="J64" s="3">
        <v>-1821652</v>
      </c>
      <c r="K64" s="3">
        <v>-1897047.76</v>
      </c>
      <c r="L64" s="3">
        <v>-1848569.46624</v>
      </c>
      <c r="M64" s="3">
        <v>-1777988.82596352</v>
      </c>
      <c r="N64" s="3">
        <v>-1896527.5361347175</v>
      </c>
      <c r="O64" s="3">
        <v>-2171255.509465816</v>
      </c>
      <c r="P64" s="3">
        <v>-1854412.9222024614</v>
      </c>
      <c r="Q64" s="3">
        <v>-2134811.9202575227</v>
      </c>
      <c r="R64" s="3">
        <v>-2094029.5663437033</v>
      </c>
      <c r="S64" s="3">
        <v>-2103953.6839359524</v>
      </c>
    </row>
    <row r="65" spans="1:19" x14ac:dyDescent="0.2"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spans="1:19" ht="15" x14ac:dyDescent="0.25">
      <c r="A66" s="1" t="s">
        <v>51</v>
      </c>
      <c r="G66" s="3">
        <v>-1933000</v>
      </c>
      <c r="H66" s="3">
        <v>-1039000</v>
      </c>
      <c r="I66" s="3">
        <v>-2370751</v>
      </c>
      <c r="J66" s="3">
        <v>-1730552</v>
      </c>
      <c r="K66" s="3">
        <v>-1756147.76</v>
      </c>
      <c r="L66" s="3">
        <v>-1747019.46624</v>
      </c>
      <c r="M66" s="3">
        <v>-1692438.82596352</v>
      </c>
      <c r="N66" s="3">
        <v>-1763927.5361347175</v>
      </c>
      <c r="O66" s="3">
        <v>-2104155.509465816</v>
      </c>
      <c r="P66" s="3">
        <v>-1799012.9222024614</v>
      </c>
      <c r="Q66" s="3">
        <v>-1944061.9202575227</v>
      </c>
      <c r="R66" s="3">
        <v>-1943929.5663437033</v>
      </c>
      <c r="S66" s="3">
        <v>-1953852.6839359524</v>
      </c>
    </row>
    <row r="67" spans="1:19" x14ac:dyDescent="0.2"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spans="1:19" ht="15" x14ac:dyDescent="0.25">
      <c r="A68" s="1" t="s">
        <v>52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spans="1:19" x14ac:dyDescent="0.2"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1:19" x14ac:dyDescent="0.2">
      <c r="A70" s="2" t="s">
        <v>45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1:19" x14ac:dyDescent="0.2">
      <c r="A71" s="2" t="s">
        <v>53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</row>
    <row r="72" spans="1:19" x14ac:dyDescent="0.2"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</row>
    <row r="73" spans="1:19" x14ac:dyDescent="0.2">
      <c r="A73" s="2" t="s">
        <v>46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19" x14ac:dyDescent="0.2">
      <c r="A74" s="2" t="s">
        <v>54</v>
      </c>
      <c r="G74" s="3">
        <v>-65000</v>
      </c>
      <c r="H74" s="3">
        <v>-34500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</row>
    <row r="75" spans="1:19" x14ac:dyDescent="0.2"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1:19" ht="15" x14ac:dyDescent="0.25">
      <c r="A76" s="1" t="s">
        <v>55</v>
      </c>
      <c r="G76" s="3">
        <v>-65000</v>
      </c>
      <c r="H76" s="3">
        <v>-34500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</row>
    <row r="77" spans="1:19" x14ac:dyDescent="0.2"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 spans="1:19" ht="15" x14ac:dyDescent="0.25">
      <c r="A78" s="1" t="s">
        <v>56</v>
      </c>
      <c r="G78" s="3">
        <v>606000</v>
      </c>
      <c r="H78" s="3">
        <v>700500</v>
      </c>
      <c r="I78" s="3">
        <v>-28541</v>
      </c>
      <c r="J78" s="3">
        <v>-48434.988249996677</v>
      </c>
      <c r="K78" s="3">
        <v>1605.8290847537573</v>
      </c>
      <c r="L78" s="3">
        <v>97281.920131953433</v>
      </c>
      <c r="M78" s="3">
        <v>4988.3067275821231</v>
      </c>
      <c r="N78" s="3">
        <v>-162041.15257076873</v>
      </c>
      <c r="O78" s="3">
        <v>-457887.69199723983</v>
      </c>
      <c r="P78" s="3">
        <v>-86448.470953204669</v>
      </c>
      <c r="Q78" s="3">
        <v>-272779.23625574913</v>
      </c>
      <c r="R78" s="3">
        <v>-364338.20172602776</v>
      </c>
      <c r="S78" s="3">
        <v>-477633.9462013999</v>
      </c>
    </row>
    <row r="79" spans="1:19" x14ac:dyDescent="0.2"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</row>
    <row r="80" spans="1:19" ht="15" x14ac:dyDescent="0.25">
      <c r="A80" s="1" t="s">
        <v>57</v>
      </c>
      <c r="G80" s="3">
        <v>10333000</v>
      </c>
      <c r="H80" s="3">
        <v>19826000</v>
      </c>
      <c r="I80" s="3">
        <v>20526500</v>
      </c>
      <c r="J80" s="3">
        <v>20497959</v>
      </c>
      <c r="K80" s="3">
        <v>20449524.011750005</v>
      </c>
      <c r="L80" s="3">
        <v>20451129.840834759</v>
      </c>
      <c r="M80" s="3">
        <v>20548411.760966711</v>
      </c>
      <c r="N80" s="3">
        <v>20553400.067694291</v>
      </c>
      <c r="O80" s="3">
        <v>20391358.915123522</v>
      </c>
      <c r="P80" s="3">
        <v>19933471.223126281</v>
      </c>
      <c r="Q80" s="3">
        <v>19847022.752173077</v>
      </c>
      <c r="R80" s="3">
        <v>19574243.515917327</v>
      </c>
      <c r="S80" s="3">
        <v>19209905.3141913</v>
      </c>
    </row>
    <row r="81" spans="1:19" x14ac:dyDescent="0.2"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</row>
    <row r="82" spans="1:19" ht="15" x14ac:dyDescent="0.25">
      <c r="A82" s="1" t="s">
        <v>58</v>
      </c>
      <c r="G82" s="3">
        <v>19826000</v>
      </c>
      <c r="H82" s="3">
        <v>20526500</v>
      </c>
      <c r="I82" s="3">
        <v>20497959</v>
      </c>
      <c r="J82" s="3">
        <v>20449524.011750005</v>
      </c>
      <c r="K82" s="3">
        <v>20451129.840834759</v>
      </c>
      <c r="L82" s="3">
        <v>20548411.760966711</v>
      </c>
      <c r="M82" s="3">
        <v>20553400.067694291</v>
      </c>
      <c r="N82" s="3">
        <v>20391358.915123522</v>
      </c>
      <c r="O82" s="3">
        <v>19933471.223126281</v>
      </c>
      <c r="P82" s="3">
        <v>19847022.752173077</v>
      </c>
      <c r="Q82" s="3">
        <v>19574243.515917327</v>
      </c>
      <c r="R82" s="3">
        <v>19209905.3141913</v>
      </c>
      <c r="S82" s="3">
        <v>18732271.367989901</v>
      </c>
    </row>
    <row r="84" spans="1:19" ht="15" x14ac:dyDescent="0.25">
      <c r="A84" s="1" t="s">
        <v>129</v>
      </c>
    </row>
    <row r="85" spans="1:19" ht="15" x14ac:dyDescent="0.25">
      <c r="A85" s="1" t="s">
        <v>0</v>
      </c>
    </row>
    <row r="86" spans="1:19" ht="15" x14ac:dyDescent="0.25">
      <c r="A86" s="1" t="s">
        <v>59</v>
      </c>
    </row>
    <row r="88" spans="1:19" x14ac:dyDescent="0.2">
      <c r="G88" s="2" t="s">
        <v>2</v>
      </c>
      <c r="H88" s="2" t="s">
        <v>2</v>
      </c>
      <c r="I88" s="2" t="s">
        <v>3</v>
      </c>
      <c r="J88" s="2" t="s">
        <v>4</v>
      </c>
      <c r="K88" s="2" t="s">
        <v>4</v>
      </c>
      <c r="L88" s="2" t="s">
        <v>4</v>
      </c>
      <c r="M88" s="2" t="s">
        <v>4</v>
      </c>
      <c r="N88" s="2" t="s">
        <v>4</v>
      </c>
      <c r="O88" s="2" t="s">
        <v>4</v>
      </c>
      <c r="P88" s="2" t="s">
        <v>4</v>
      </c>
      <c r="Q88" s="2" t="s">
        <v>4</v>
      </c>
      <c r="R88" s="2" t="s">
        <v>4</v>
      </c>
      <c r="S88" s="2" t="s">
        <v>4</v>
      </c>
    </row>
    <row r="89" spans="1:19" x14ac:dyDescent="0.2">
      <c r="G89" s="2" t="s">
        <v>5</v>
      </c>
      <c r="H89" s="2" t="s">
        <v>6</v>
      </c>
      <c r="I89" s="2" t="s">
        <v>7</v>
      </c>
      <c r="J89" s="2" t="s">
        <v>8</v>
      </c>
      <c r="K89" s="2" t="s">
        <v>9</v>
      </c>
      <c r="L89" s="2" t="s">
        <v>10</v>
      </c>
      <c r="M89" s="2" t="s">
        <v>11</v>
      </c>
      <c r="N89" s="2" t="s">
        <v>12</v>
      </c>
      <c r="O89" s="2" t="s">
        <v>13</v>
      </c>
      <c r="P89" s="2" t="s">
        <v>14</v>
      </c>
      <c r="Q89" s="2" t="s">
        <v>15</v>
      </c>
      <c r="R89" s="2" t="s">
        <v>16</v>
      </c>
      <c r="S89" s="2" t="s">
        <v>17</v>
      </c>
    </row>
    <row r="91" spans="1:19" x14ac:dyDescent="0.2">
      <c r="G91" s="2" t="s">
        <v>18</v>
      </c>
      <c r="H91" s="2" t="s">
        <v>18</v>
      </c>
      <c r="I91" s="2" t="s">
        <v>18</v>
      </c>
      <c r="J91" s="2" t="s">
        <v>18</v>
      </c>
      <c r="K91" s="2" t="s">
        <v>18</v>
      </c>
      <c r="L91" s="2" t="s">
        <v>18</v>
      </c>
      <c r="M91" s="2" t="s">
        <v>18</v>
      </c>
      <c r="N91" s="2" t="s">
        <v>18</v>
      </c>
      <c r="O91" s="2" t="s">
        <v>18</v>
      </c>
      <c r="P91" s="2" t="s">
        <v>18</v>
      </c>
      <c r="Q91" s="2" t="s">
        <v>18</v>
      </c>
      <c r="R91" s="2" t="s">
        <v>18</v>
      </c>
    </row>
    <row r="93" spans="1:19" ht="15" x14ac:dyDescent="0.25">
      <c r="A93" s="1" t="s">
        <v>61</v>
      </c>
    </row>
    <row r="94" spans="1:19" ht="15" x14ac:dyDescent="0.25">
      <c r="A94" s="1" t="s">
        <v>62</v>
      </c>
    </row>
    <row r="95" spans="1:19" x14ac:dyDescent="0.2">
      <c r="A95" s="2" t="s">
        <v>63</v>
      </c>
      <c r="G95" s="3">
        <v>19826000</v>
      </c>
      <c r="H95" s="3">
        <v>20527000</v>
      </c>
      <c r="I95" s="3">
        <v>20497959</v>
      </c>
      <c r="J95" s="3">
        <v>20449524.011750005</v>
      </c>
      <c r="K95" s="3">
        <v>20451129.840834759</v>
      </c>
      <c r="L95" s="3">
        <v>20548411.760966711</v>
      </c>
      <c r="M95" s="3">
        <v>20553400.067694291</v>
      </c>
      <c r="N95" s="3">
        <v>20391358.915123522</v>
      </c>
      <c r="O95" s="3">
        <v>19933471.223126281</v>
      </c>
      <c r="P95" s="3">
        <v>19847022.752173077</v>
      </c>
      <c r="Q95" s="3">
        <v>19574243.515917327</v>
      </c>
      <c r="R95" s="3">
        <v>19209905.3141913</v>
      </c>
      <c r="S95" s="3">
        <v>18732271.367989901</v>
      </c>
    </row>
    <row r="96" spans="1:19" x14ac:dyDescent="0.2">
      <c r="A96" s="2" t="s">
        <v>64</v>
      </c>
      <c r="G96" s="3">
        <v>0</v>
      </c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</row>
    <row r="97" spans="1:19" x14ac:dyDescent="0.2">
      <c r="A97" s="2" t="s">
        <v>65</v>
      </c>
      <c r="G97" s="3">
        <v>836000</v>
      </c>
      <c r="H97" s="3">
        <v>970000</v>
      </c>
      <c r="I97" s="3">
        <v>993280</v>
      </c>
      <c r="J97" s="3">
        <v>1016125.4399999999</v>
      </c>
      <c r="K97" s="3">
        <v>1040512.4505599999</v>
      </c>
      <c r="L97" s="3">
        <v>1065484.7493734399</v>
      </c>
      <c r="M97" s="3">
        <v>1089990.8986090289</v>
      </c>
      <c r="N97" s="3">
        <v>1113970.6983784277</v>
      </c>
      <c r="O97" s="3">
        <v>1139592.0244411314</v>
      </c>
      <c r="P97" s="3">
        <v>1168081.8250521596</v>
      </c>
      <c r="Q97" s="3">
        <v>1197283.8706784635</v>
      </c>
      <c r="R97" s="3">
        <v>1226018.6835747466</v>
      </c>
      <c r="S97" s="3">
        <v>1255443.1319805405</v>
      </c>
    </row>
    <row r="98" spans="1:19" x14ac:dyDescent="0.2">
      <c r="A98" s="2" t="s">
        <v>66</v>
      </c>
      <c r="G98" s="3">
        <v>8000</v>
      </c>
      <c r="H98" s="3">
        <v>5000</v>
      </c>
      <c r="I98" s="3">
        <v>5120</v>
      </c>
      <c r="J98" s="3">
        <v>5237.7599999999993</v>
      </c>
      <c r="K98" s="3">
        <v>5363.4662399999997</v>
      </c>
      <c r="L98" s="3">
        <v>5492.1894297600002</v>
      </c>
      <c r="M98" s="3">
        <v>5618.5097866444794</v>
      </c>
      <c r="N98" s="3">
        <v>5742.1170019506581</v>
      </c>
      <c r="O98" s="3">
        <v>5874.1856929955229</v>
      </c>
      <c r="P98" s="3">
        <v>6021.0403353204101</v>
      </c>
      <c r="Q98" s="3">
        <v>6171.56634370342</v>
      </c>
      <c r="R98" s="3">
        <v>6319.6839359523019</v>
      </c>
      <c r="S98" s="3">
        <v>6471.3563504151571</v>
      </c>
    </row>
    <row r="99" spans="1:19" x14ac:dyDescent="0.2">
      <c r="A99" s="2" t="s">
        <v>67</v>
      </c>
      <c r="G99" s="3">
        <v>49000</v>
      </c>
      <c r="H99" s="3">
        <v>109000</v>
      </c>
      <c r="I99" s="3">
        <v>111616</v>
      </c>
      <c r="J99" s="3">
        <v>114183.16799999999</v>
      </c>
      <c r="K99" s="3">
        <v>116923.56403199999</v>
      </c>
      <c r="L99" s="3">
        <v>119729.729568768</v>
      </c>
      <c r="M99" s="3">
        <v>122483.51334884965</v>
      </c>
      <c r="N99" s="3">
        <v>125178.15064252434</v>
      </c>
      <c r="O99" s="3">
        <v>128057.2481073024</v>
      </c>
      <c r="P99" s="3">
        <v>131258.67930998493</v>
      </c>
      <c r="Q99" s="3">
        <v>134540.14629273454</v>
      </c>
      <c r="R99" s="3">
        <v>137769.10980376016</v>
      </c>
      <c r="S99" s="3">
        <v>141075.5684390504</v>
      </c>
    </row>
    <row r="100" spans="1:19" ht="15" x14ac:dyDescent="0.25">
      <c r="A100" s="1" t="s">
        <v>68</v>
      </c>
      <c r="G100" s="3">
        <v>20719000</v>
      </c>
      <c r="H100" s="3">
        <v>21611000</v>
      </c>
      <c r="I100" s="3">
        <v>21607975</v>
      </c>
      <c r="J100" s="3">
        <v>21585070.37975001</v>
      </c>
      <c r="K100" s="3">
        <v>21613929.321666759</v>
      </c>
      <c r="L100" s="3">
        <v>21739118.429338679</v>
      </c>
      <c r="M100" s="3">
        <v>21771492.989438813</v>
      </c>
      <c r="N100" s="3">
        <v>21636249.881146427</v>
      </c>
      <c r="O100" s="3">
        <v>21206994.68136771</v>
      </c>
      <c r="P100" s="3">
        <v>21152384.296870545</v>
      </c>
      <c r="Q100" s="3">
        <v>20912239.099232227</v>
      </c>
      <c r="R100" s="3">
        <v>20580012.791505758</v>
      </c>
      <c r="S100" s="3">
        <v>20135261.42475991</v>
      </c>
    </row>
    <row r="101" spans="1:19" x14ac:dyDescent="0.2"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</row>
    <row r="102" spans="1:19" ht="15" x14ac:dyDescent="0.25">
      <c r="A102" s="1" t="s">
        <v>69</v>
      </c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</row>
    <row r="103" spans="1:19" x14ac:dyDescent="0.2">
      <c r="A103" s="2" t="s">
        <v>65</v>
      </c>
      <c r="G103" s="3">
        <v>32000</v>
      </c>
      <c r="H103" s="3">
        <v>32000</v>
      </c>
      <c r="I103" s="3">
        <v>32768</v>
      </c>
      <c r="J103" s="3">
        <v>33521.663999999997</v>
      </c>
      <c r="K103" s="3">
        <v>34326.183936000001</v>
      </c>
      <c r="L103" s="3">
        <v>35150.012350464</v>
      </c>
      <c r="M103" s="3">
        <v>35958.462634524665</v>
      </c>
      <c r="N103" s="3">
        <v>36749.548812484209</v>
      </c>
      <c r="O103" s="3">
        <v>37594.788435171344</v>
      </c>
      <c r="P103" s="3">
        <v>38534.65814605062</v>
      </c>
      <c r="Q103" s="3">
        <v>39498.024599701879</v>
      </c>
      <c r="R103" s="3">
        <v>40445.977190094723</v>
      </c>
      <c r="S103" s="3">
        <v>41416.680642656996</v>
      </c>
    </row>
    <row r="104" spans="1:19" x14ac:dyDescent="0.2">
      <c r="A104" s="2" t="s">
        <v>70</v>
      </c>
      <c r="G104" s="3">
        <v>197227000</v>
      </c>
      <c r="H104" s="3">
        <v>209182000</v>
      </c>
      <c r="I104" s="3">
        <v>209357989</v>
      </c>
      <c r="J104" s="3">
        <v>208902849</v>
      </c>
      <c r="K104" s="3">
        <v>208374668.75999999</v>
      </c>
      <c r="L104" s="3">
        <v>207772251.22623998</v>
      </c>
      <c r="M104" s="3">
        <v>207071706.05220351</v>
      </c>
      <c r="N104" s="3">
        <v>206432850.82233822</v>
      </c>
      <c r="O104" s="3">
        <v>205971821.23718604</v>
      </c>
      <c r="P104" s="3">
        <v>205234464.21240506</v>
      </c>
      <c r="Q104" s="3">
        <v>204622433.51200452</v>
      </c>
      <c r="R104" s="3">
        <v>203905015.94679439</v>
      </c>
      <c r="S104" s="3">
        <v>203171503.16001922</v>
      </c>
    </row>
    <row r="105" spans="1:19" x14ac:dyDescent="0.2">
      <c r="A105" s="2" t="s">
        <v>67</v>
      </c>
      <c r="G105" s="3">
        <v>522000</v>
      </c>
      <c r="H105" s="3">
        <v>594000</v>
      </c>
      <c r="I105" s="3">
        <v>608256</v>
      </c>
      <c r="J105" s="3">
        <v>622245.88799999992</v>
      </c>
      <c r="K105" s="3">
        <v>637179.78931199992</v>
      </c>
      <c r="L105" s="3">
        <v>652472.10425548791</v>
      </c>
      <c r="M105" s="3">
        <v>667478.96265336405</v>
      </c>
      <c r="N105" s="3">
        <v>682163.49983173807</v>
      </c>
      <c r="O105" s="3">
        <v>697853.26032786793</v>
      </c>
      <c r="P105" s="3">
        <v>715299.59183606459</v>
      </c>
      <c r="Q105" s="3">
        <v>733182.08163196617</v>
      </c>
      <c r="R105" s="3">
        <v>750778.45159113337</v>
      </c>
      <c r="S105" s="3">
        <v>768797.13442932058</v>
      </c>
    </row>
    <row r="106" spans="1:19" ht="15" x14ac:dyDescent="0.25">
      <c r="A106" s="1" t="s">
        <v>71</v>
      </c>
      <c r="G106" s="3">
        <v>197781000</v>
      </c>
      <c r="H106" s="3">
        <v>209808000</v>
      </c>
      <c r="I106" s="3">
        <v>209999013</v>
      </c>
      <c r="J106" s="3">
        <v>209558616.55200002</v>
      </c>
      <c r="K106" s="3">
        <v>209046174.733248</v>
      </c>
      <c r="L106" s="3">
        <v>208459873.34284595</v>
      </c>
      <c r="M106" s="3">
        <v>207775143.47749141</v>
      </c>
      <c r="N106" s="3">
        <v>207151763.87098244</v>
      </c>
      <c r="O106" s="3">
        <v>206707269.28594908</v>
      </c>
      <c r="P106" s="3">
        <v>205988298.46238717</v>
      </c>
      <c r="Q106" s="3">
        <v>205395113.61823618</v>
      </c>
      <c r="R106" s="3">
        <v>204696240.37557563</v>
      </c>
      <c r="S106" s="3">
        <v>203981716.97509119</v>
      </c>
    </row>
    <row r="107" spans="1:19" x14ac:dyDescent="0.2"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</row>
    <row r="108" spans="1:19" ht="15" x14ac:dyDescent="0.25">
      <c r="A108" s="1" t="s">
        <v>72</v>
      </c>
      <c r="G108" s="3">
        <v>218500000</v>
      </c>
      <c r="H108" s="3">
        <v>231419000</v>
      </c>
      <c r="I108" s="3">
        <v>231606988</v>
      </c>
      <c r="J108" s="3">
        <v>231143686.93175003</v>
      </c>
      <c r="K108" s="3">
        <v>230660104.05491474</v>
      </c>
      <c r="L108" s="3">
        <v>230198991.77218461</v>
      </c>
      <c r="M108" s="3">
        <v>229546636.46693021</v>
      </c>
      <c r="N108" s="3">
        <v>228788013.75212887</v>
      </c>
      <c r="O108" s="3">
        <v>227914263.96731681</v>
      </c>
      <c r="P108" s="3">
        <v>227140682.75925773</v>
      </c>
      <c r="Q108" s="3">
        <v>226307352.71746841</v>
      </c>
      <c r="R108" s="3">
        <v>225276253.16708139</v>
      </c>
      <c r="S108" s="3">
        <v>224116978.39985108</v>
      </c>
    </row>
    <row r="109" spans="1:19" x14ac:dyDescent="0.2"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</row>
    <row r="110" spans="1:19" ht="15" x14ac:dyDescent="0.25">
      <c r="A110" s="1" t="s">
        <v>73</v>
      </c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</row>
    <row r="111" spans="1:19" x14ac:dyDescent="0.2"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</row>
    <row r="112" spans="1:19" ht="15" x14ac:dyDescent="0.25">
      <c r="A112" s="1" t="s">
        <v>74</v>
      </c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</row>
    <row r="113" spans="1:19" x14ac:dyDescent="0.2">
      <c r="A113" s="2" t="s">
        <v>75</v>
      </c>
      <c r="G113" s="3">
        <v>3743000</v>
      </c>
      <c r="H113" s="3">
        <v>3315000</v>
      </c>
      <c r="I113" s="3">
        <v>3394560</v>
      </c>
      <c r="J113" s="3">
        <v>3472634.88</v>
      </c>
      <c r="K113" s="3">
        <v>3555978.1171200001</v>
      </c>
      <c r="L113" s="3">
        <v>3641321.5919308802</v>
      </c>
      <c r="M113" s="3">
        <v>3725071.9885452902</v>
      </c>
      <c r="N113" s="3">
        <v>3807023.5722932867</v>
      </c>
      <c r="O113" s="3">
        <v>3894585.1144560319</v>
      </c>
      <c r="P113" s="3">
        <v>3991949.7423174325</v>
      </c>
      <c r="Q113" s="3">
        <v>4091748.4858753681</v>
      </c>
      <c r="R113" s="3">
        <v>4189950.4495363771</v>
      </c>
      <c r="S113" s="3">
        <v>4290509.2603252502</v>
      </c>
    </row>
    <row r="114" spans="1:19" x14ac:dyDescent="0.2">
      <c r="A114" s="2" t="s">
        <v>76</v>
      </c>
      <c r="G114" s="3">
        <v>273000</v>
      </c>
      <c r="H114" s="3">
        <v>293000</v>
      </c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</row>
    <row r="115" spans="1:19" x14ac:dyDescent="0.2">
      <c r="A115" s="2" t="s">
        <v>77</v>
      </c>
      <c r="G115" s="3">
        <v>34000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</row>
    <row r="116" spans="1:19" x14ac:dyDescent="0.2">
      <c r="A116" s="2" t="s">
        <v>78</v>
      </c>
      <c r="G116" s="3">
        <v>1924000</v>
      </c>
      <c r="H116" s="3">
        <v>1915000</v>
      </c>
      <c r="I116" s="3">
        <v>1960960</v>
      </c>
      <c r="J116" s="3">
        <v>2006062.0799999998</v>
      </c>
      <c r="K116" s="3">
        <v>2054207.5699199999</v>
      </c>
      <c r="L116" s="3">
        <v>2103508.55159808</v>
      </c>
      <c r="M116" s="3">
        <v>2151889.2482848358</v>
      </c>
      <c r="N116" s="3">
        <v>2199230.8117471021</v>
      </c>
      <c r="O116" s="3">
        <v>2249813.1204172852</v>
      </c>
      <c r="P116" s="3">
        <v>2306058.4484277172</v>
      </c>
      <c r="Q116" s="3">
        <v>2363709.90963841</v>
      </c>
      <c r="R116" s="3">
        <v>2420438.9474697318</v>
      </c>
      <c r="S116" s="3">
        <v>2478529.4822090054</v>
      </c>
    </row>
    <row r="117" spans="1:19" ht="15" x14ac:dyDescent="0.25">
      <c r="A117" s="1" t="s">
        <v>79</v>
      </c>
      <c r="G117" s="3">
        <v>5974000</v>
      </c>
      <c r="H117" s="3">
        <v>5523000</v>
      </c>
      <c r="I117" s="3">
        <v>5355520</v>
      </c>
      <c r="J117" s="3">
        <v>5478696.96</v>
      </c>
      <c r="K117" s="3">
        <v>5610185.6870400002</v>
      </c>
      <c r="L117" s="3">
        <v>5744830.1435289606</v>
      </c>
      <c r="M117" s="3">
        <v>5876961.2368301265</v>
      </c>
      <c r="N117" s="3">
        <v>6006254.3840403892</v>
      </c>
      <c r="O117" s="3">
        <v>6144398.2348733172</v>
      </c>
      <c r="P117" s="3">
        <v>6298008.1907451497</v>
      </c>
      <c r="Q117" s="3">
        <v>6455458.3955137786</v>
      </c>
      <c r="R117" s="3">
        <v>6610389.3970061094</v>
      </c>
      <c r="S117" s="3">
        <v>6769038.7425342556</v>
      </c>
    </row>
    <row r="118" spans="1:19" x14ac:dyDescent="0.2"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</row>
    <row r="119" spans="1:19" ht="15" x14ac:dyDescent="0.25">
      <c r="A119" s="1" t="s">
        <v>80</v>
      </c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</row>
    <row r="120" spans="1:19" x14ac:dyDescent="0.2">
      <c r="A120" s="2" t="s">
        <v>75</v>
      </c>
      <c r="G120" s="3">
        <v>0</v>
      </c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</row>
    <row r="121" spans="1:19" x14ac:dyDescent="0.2">
      <c r="A121" s="2" t="s">
        <v>77</v>
      </c>
      <c r="G121" s="3">
        <v>0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3">
        <v>0</v>
      </c>
      <c r="O121" s="3">
        <v>0</v>
      </c>
      <c r="P121" s="3">
        <v>0</v>
      </c>
      <c r="Q121" s="3">
        <v>0</v>
      </c>
      <c r="R121" s="3">
        <v>0</v>
      </c>
      <c r="S121" s="3">
        <v>0</v>
      </c>
    </row>
    <row r="122" spans="1:19" x14ac:dyDescent="0.2">
      <c r="A122" s="2" t="s">
        <v>78</v>
      </c>
      <c r="G122" s="3">
        <v>10000</v>
      </c>
      <c r="H122" s="3">
        <v>18000</v>
      </c>
      <c r="I122" s="3">
        <v>18432</v>
      </c>
      <c r="J122" s="3">
        <v>18855.935999999998</v>
      </c>
      <c r="K122" s="3">
        <v>19308.478464</v>
      </c>
      <c r="L122" s="3">
        <v>19771.881947136</v>
      </c>
      <c r="M122" s="3">
        <v>20226.635231920125</v>
      </c>
      <c r="N122" s="3">
        <v>20671.621207022366</v>
      </c>
      <c r="O122" s="3">
        <v>21147.068494783878</v>
      </c>
      <c r="P122" s="3">
        <v>21675.745207153472</v>
      </c>
      <c r="Q122" s="3">
        <v>22217.638837332306</v>
      </c>
      <c r="R122" s="3">
        <v>22750.862169428281</v>
      </c>
      <c r="S122" s="3">
        <v>23296.88286149456</v>
      </c>
    </row>
    <row r="123" spans="1:19" ht="15" x14ac:dyDescent="0.25">
      <c r="A123" s="1" t="s">
        <v>81</v>
      </c>
      <c r="G123" s="3">
        <v>10000</v>
      </c>
      <c r="H123" s="3">
        <v>18000</v>
      </c>
      <c r="I123" s="3">
        <v>18432</v>
      </c>
      <c r="J123" s="3">
        <v>18855.935999999998</v>
      </c>
      <c r="K123" s="3">
        <v>19308.478464</v>
      </c>
      <c r="L123" s="3">
        <v>19771.881947136</v>
      </c>
      <c r="M123" s="3">
        <v>20226.635231920125</v>
      </c>
      <c r="N123" s="3">
        <v>20671.621207022366</v>
      </c>
      <c r="O123" s="3">
        <v>21147.068494783878</v>
      </c>
      <c r="P123" s="3">
        <v>21675.745207153472</v>
      </c>
      <c r="Q123" s="3">
        <v>22217.638837332306</v>
      </c>
      <c r="R123" s="3">
        <v>22750.862169428281</v>
      </c>
      <c r="S123" s="3">
        <v>23296.88286149456</v>
      </c>
    </row>
    <row r="124" spans="1:19" x14ac:dyDescent="0.2"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</row>
    <row r="125" spans="1:19" ht="15" x14ac:dyDescent="0.25">
      <c r="A125" s="1" t="s">
        <v>82</v>
      </c>
      <c r="G125" s="3">
        <v>5984000</v>
      </c>
      <c r="H125" s="3">
        <v>5541000</v>
      </c>
      <c r="I125" s="3">
        <v>5373952</v>
      </c>
      <c r="J125" s="3">
        <v>5497552.8959999997</v>
      </c>
      <c r="K125" s="3">
        <v>5629494.1655040001</v>
      </c>
      <c r="L125" s="3">
        <v>5764602.0254760962</v>
      </c>
      <c r="M125" s="3">
        <v>5897187.872062047</v>
      </c>
      <c r="N125" s="3">
        <v>6026926.0052474113</v>
      </c>
      <c r="O125" s="3">
        <v>6165545.3033681009</v>
      </c>
      <c r="P125" s="3">
        <v>6319683.935952303</v>
      </c>
      <c r="Q125" s="3">
        <v>6477676.0343511105</v>
      </c>
      <c r="R125" s="3">
        <v>6633140.2591755381</v>
      </c>
      <c r="S125" s="3">
        <v>6792335.6253957506</v>
      </c>
    </row>
    <row r="126" spans="1:19" x14ac:dyDescent="0.2"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</row>
    <row r="127" spans="1:19" ht="15" x14ac:dyDescent="0.25">
      <c r="A127" s="1" t="s">
        <v>83</v>
      </c>
      <c r="G127" s="3">
        <v>212516000</v>
      </c>
      <c r="H127" s="3">
        <v>225878000</v>
      </c>
      <c r="I127" s="3">
        <v>226233036</v>
      </c>
      <c r="J127" s="3">
        <v>225646134.03575003</v>
      </c>
      <c r="K127" s="3">
        <v>225030609.88941073</v>
      </c>
      <c r="L127" s="3">
        <v>224434389.74670851</v>
      </c>
      <c r="M127" s="3">
        <v>223649448.59486815</v>
      </c>
      <c r="N127" s="3">
        <v>222761087.74688146</v>
      </c>
      <c r="O127" s="3">
        <v>221748718.66394871</v>
      </c>
      <c r="P127" s="3">
        <v>220820998.82330543</v>
      </c>
      <c r="Q127" s="3">
        <v>219829676.6831173</v>
      </c>
      <c r="R127" s="3">
        <v>218643112.90790585</v>
      </c>
      <c r="S127" s="3">
        <v>217324642.77445534</v>
      </c>
    </row>
    <row r="128" spans="1:19" x14ac:dyDescent="0.2"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</row>
    <row r="129" spans="1:19" ht="15" x14ac:dyDescent="0.25">
      <c r="A129" s="1" t="s">
        <v>84</v>
      </c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</row>
    <row r="130" spans="1:19" x14ac:dyDescent="0.2">
      <c r="A130" s="2" t="s">
        <v>85</v>
      </c>
      <c r="G130" s="3">
        <v>109656000</v>
      </c>
      <c r="H130" s="3">
        <v>109647000</v>
      </c>
      <c r="I130" s="3">
        <v>110002036</v>
      </c>
      <c r="J130" s="3">
        <v>109415134.03575</v>
      </c>
      <c r="K130" s="3">
        <v>108799609.88941075</v>
      </c>
      <c r="L130" s="3">
        <v>108203389.74670853</v>
      </c>
      <c r="M130" s="3">
        <v>107418448.59486817</v>
      </c>
      <c r="N130" s="3">
        <v>106530087.74688147</v>
      </c>
      <c r="O130" s="3">
        <v>105517718.6639487</v>
      </c>
      <c r="P130" s="3">
        <v>104589998.82330541</v>
      </c>
      <c r="Q130" s="3">
        <v>103598676.68311733</v>
      </c>
      <c r="R130" s="3">
        <v>102412112.90790588</v>
      </c>
      <c r="S130" s="3">
        <v>101093642.7744554</v>
      </c>
    </row>
    <row r="131" spans="1:19" x14ac:dyDescent="0.2">
      <c r="A131" s="2" t="s">
        <v>86</v>
      </c>
      <c r="G131" s="3">
        <v>102860000</v>
      </c>
      <c r="H131" s="3">
        <v>116231000</v>
      </c>
      <c r="I131" s="3">
        <v>116231000</v>
      </c>
      <c r="J131" s="3">
        <v>116231000</v>
      </c>
      <c r="K131" s="3">
        <v>116231000</v>
      </c>
      <c r="L131" s="3">
        <v>116231000</v>
      </c>
      <c r="M131" s="3">
        <v>116231000</v>
      </c>
      <c r="N131" s="3">
        <v>116231000</v>
      </c>
      <c r="O131" s="3">
        <v>116231000</v>
      </c>
      <c r="P131" s="3">
        <v>116231000</v>
      </c>
      <c r="Q131" s="3">
        <v>116231000</v>
      </c>
      <c r="R131" s="3">
        <v>116231000</v>
      </c>
      <c r="S131" s="3">
        <v>116231000</v>
      </c>
    </row>
    <row r="132" spans="1:19" x14ac:dyDescent="0.2">
      <c r="A132" s="2" t="s">
        <v>87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</row>
    <row r="133" spans="1:19" x14ac:dyDescent="0.2">
      <c r="A133" s="2" t="s">
        <v>88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</row>
    <row r="134" spans="1:19" ht="15" x14ac:dyDescent="0.25">
      <c r="A134" s="1" t="s">
        <v>89</v>
      </c>
      <c r="G134" s="3">
        <v>212516000</v>
      </c>
      <c r="H134" s="3">
        <v>225878000</v>
      </c>
      <c r="I134" s="3">
        <v>226233036</v>
      </c>
      <c r="J134" s="3">
        <v>225646134.03575</v>
      </c>
      <c r="K134" s="3">
        <v>225030609.88941073</v>
      </c>
      <c r="L134" s="3">
        <v>224434389.74670851</v>
      </c>
      <c r="M134" s="3">
        <v>223649448.59486818</v>
      </c>
      <c r="N134" s="3">
        <v>222761087.74688148</v>
      </c>
      <c r="O134" s="3">
        <v>221748718.66394871</v>
      </c>
      <c r="P134" s="3">
        <v>220820998.82330543</v>
      </c>
      <c r="Q134" s="3">
        <v>219829676.68311733</v>
      </c>
      <c r="R134" s="3">
        <v>218643112.90790588</v>
      </c>
      <c r="S134" s="3">
        <v>217324642.7744554</v>
      </c>
    </row>
    <row r="135" spans="1:19" ht="15" x14ac:dyDescent="0.25">
      <c r="A135" s="1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</row>
    <row r="136" spans="1:19" ht="15" x14ac:dyDescent="0.25">
      <c r="A136" s="1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</row>
    <row r="137" spans="1:19" ht="15" x14ac:dyDescent="0.25">
      <c r="A137" s="1" t="s">
        <v>129</v>
      </c>
    </row>
    <row r="138" spans="1:19" ht="15" x14ac:dyDescent="0.25">
      <c r="A138" s="1" t="s">
        <v>42</v>
      </c>
    </row>
    <row r="139" spans="1:19" ht="15" x14ac:dyDescent="0.25">
      <c r="A139" s="1" t="s">
        <v>90</v>
      </c>
    </row>
    <row r="141" spans="1:19" x14ac:dyDescent="0.2">
      <c r="G141" s="2" t="s">
        <v>2</v>
      </c>
      <c r="H141" s="2" t="s">
        <v>4</v>
      </c>
      <c r="I141" s="2" t="s">
        <v>4</v>
      </c>
      <c r="J141" s="2" t="s">
        <v>4</v>
      </c>
      <c r="K141" s="2" t="s">
        <v>4</v>
      </c>
      <c r="L141" s="2" t="s">
        <v>4</v>
      </c>
      <c r="M141" s="2" t="s">
        <v>4</v>
      </c>
      <c r="N141" s="2" t="s">
        <v>4</v>
      </c>
      <c r="O141" s="2" t="s">
        <v>4</v>
      </c>
      <c r="P141" s="2" t="s">
        <v>4</v>
      </c>
      <c r="Q141" s="2" t="s">
        <v>4</v>
      </c>
      <c r="R141" s="2" t="s">
        <v>4</v>
      </c>
      <c r="S141" s="2" t="s">
        <v>4</v>
      </c>
    </row>
    <row r="142" spans="1:19" x14ac:dyDescent="0.2">
      <c r="G142" s="2" t="s">
        <v>5</v>
      </c>
      <c r="H142" s="2" t="s">
        <v>6</v>
      </c>
      <c r="I142" s="2" t="s">
        <v>7</v>
      </c>
      <c r="J142" s="2" t="s">
        <v>8</v>
      </c>
      <c r="K142" s="2" t="s">
        <v>9</v>
      </c>
      <c r="L142" s="2" t="s">
        <v>10</v>
      </c>
      <c r="M142" s="2" t="s">
        <v>11</v>
      </c>
      <c r="N142" s="2" t="s">
        <v>12</v>
      </c>
      <c r="O142" s="2" t="s">
        <v>13</v>
      </c>
      <c r="P142" s="2" t="s">
        <v>14</v>
      </c>
      <c r="Q142" s="2" t="s">
        <v>15</v>
      </c>
      <c r="R142" s="2" t="s">
        <v>16</v>
      </c>
      <c r="S142" s="2" t="s">
        <v>17</v>
      </c>
    </row>
    <row r="144" spans="1:19" x14ac:dyDescent="0.2">
      <c r="G144" s="2" t="s">
        <v>18</v>
      </c>
      <c r="H144" s="2" t="s">
        <v>18</v>
      </c>
      <c r="I144" s="2" t="s">
        <v>18</v>
      </c>
      <c r="J144" s="2" t="s">
        <v>18</v>
      </c>
      <c r="K144" s="2" t="s">
        <v>18</v>
      </c>
      <c r="L144" s="2" t="s">
        <v>18</v>
      </c>
      <c r="M144" s="2" t="s">
        <v>18</v>
      </c>
      <c r="N144" s="2" t="s">
        <v>18</v>
      </c>
      <c r="O144" s="2" t="s">
        <v>18</v>
      </c>
      <c r="P144" s="2" t="s">
        <v>18</v>
      </c>
      <c r="Q144" s="2" t="s">
        <v>18</v>
      </c>
      <c r="R144" s="2" t="s">
        <v>18</v>
      </c>
    </row>
    <row r="145" spans="1:19" ht="15" x14ac:dyDescent="0.25">
      <c r="A145" s="1" t="s">
        <v>90</v>
      </c>
    </row>
    <row r="146" spans="1:19" x14ac:dyDescent="0.2">
      <c r="A146" s="2" t="s">
        <v>91</v>
      </c>
      <c r="G146" s="3">
        <v>95000</v>
      </c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</row>
    <row r="147" spans="1:19" x14ac:dyDescent="0.2">
      <c r="A147" s="2" t="s">
        <v>92</v>
      </c>
      <c r="G147" s="3">
        <v>198000</v>
      </c>
      <c r="H147" s="3">
        <v>291900</v>
      </c>
      <c r="I147" s="3">
        <v>453900</v>
      </c>
      <c r="J147" s="3">
        <v>233315</v>
      </c>
      <c r="K147" s="3">
        <v>308737.76</v>
      </c>
      <c r="L147" s="3">
        <v>246388.46624000001</v>
      </c>
      <c r="M147" s="3">
        <v>229346.82596352001</v>
      </c>
      <c r="N147" s="3">
        <v>326507.5361347174</v>
      </c>
      <c r="O147" s="3">
        <v>445936.50946581597</v>
      </c>
      <c r="P147" s="3">
        <v>145279.92220246134</v>
      </c>
      <c r="Q147" s="3">
        <v>415976.92025752284</v>
      </c>
      <c r="R147" s="3">
        <v>365646.56634370342</v>
      </c>
      <c r="S147" s="3">
        <v>365794.68393595231</v>
      </c>
    </row>
    <row r="148" spans="1:19" x14ac:dyDescent="0.2">
      <c r="A148" s="2" t="s">
        <v>93</v>
      </c>
      <c r="G148" s="3">
        <v>53000</v>
      </c>
      <c r="H148" s="3">
        <v>169709</v>
      </c>
      <c r="I148" s="3">
        <v>581000</v>
      </c>
      <c r="J148" s="3">
        <v>92000</v>
      </c>
      <c r="K148" s="3">
        <v>55000</v>
      </c>
      <c r="L148" s="3">
        <v>100000</v>
      </c>
      <c r="M148" s="3">
        <v>94000</v>
      </c>
      <c r="N148" s="3">
        <v>55000</v>
      </c>
      <c r="O148" s="3">
        <v>90000</v>
      </c>
      <c r="P148" s="3">
        <v>55000</v>
      </c>
      <c r="Q148" s="3">
        <v>55000</v>
      </c>
      <c r="R148" s="3">
        <v>55000</v>
      </c>
      <c r="S148" s="3">
        <v>55000</v>
      </c>
    </row>
    <row r="149" spans="1:19" x14ac:dyDescent="0.2">
      <c r="A149" s="2" t="s">
        <v>94</v>
      </c>
      <c r="G149" s="3">
        <v>23000</v>
      </c>
      <c r="H149" s="3">
        <v>25000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  <c r="S149" s="3">
        <v>0</v>
      </c>
    </row>
    <row r="150" spans="1:19" x14ac:dyDescent="0.2">
      <c r="A150" s="2" t="s">
        <v>95</v>
      </c>
      <c r="G150" s="3"/>
      <c r="H150" s="3"/>
      <c r="I150" s="3"/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3">
        <v>0</v>
      </c>
      <c r="P150" s="3">
        <v>0</v>
      </c>
      <c r="Q150" s="3">
        <v>0</v>
      </c>
      <c r="R150" s="3">
        <v>0</v>
      </c>
      <c r="S150" s="3">
        <v>0</v>
      </c>
    </row>
    <row r="151" spans="1:19" x14ac:dyDescent="0.2">
      <c r="A151" s="2" t="s">
        <v>96</v>
      </c>
      <c r="G151" s="3"/>
      <c r="H151" s="3"/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3">
        <v>0</v>
      </c>
      <c r="P151" s="3">
        <v>0</v>
      </c>
      <c r="Q151" s="3">
        <v>0</v>
      </c>
      <c r="R151" s="3">
        <v>0</v>
      </c>
      <c r="S151" s="3">
        <v>0</v>
      </c>
    </row>
    <row r="152" spans="1:19" x14ac:dyDescent="0.2">
      <c r="A152" s="2" t="s">
        <v>97</v>
      </c>
      <c r="G152" s="3"/>
      <c r="H152" s="3"/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3">
        <v>0</v>
      </c>
      <c r="P152" s="3">
        <v>0</v>
      </c>
      <c r="Q152" s="3">
        <v>0</v>
      </c>
      <c r="R152" s="3">
        <v>0</v>
      </c>
      <c r="S152" s="3">
        <v>0</v>
      </c>
    </row>
    <row r="153" spans="1:19" x14ac:dyDescent="0.2">
      <c r="A153" s="2" t="s">
        <v>98</v>
      </c>
      <c r="G153" s="3"/>
      <c r="H153" s="3"/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>
        <v>0</v>
      </c>
      <c r="S153" s="3">
        <v>0</v>
      </c>
    </row>
    <row r="154" spans="1:19" x14ac:dyDescent="0.2">
      <c r="A154" s="2" t="s">
        <v>99</v>
      </c>
      <c r="G154" s="3"/>
      <c r="H154" s="3">
        <v>50000</v>
      </c>
      <c r="I154" s="3">
        <v>0</v>
      </c>
      <c r="J154" s="3">
        <v>0</v>
      </c>
      <c r="K154" s="3">
        <v>0</v>
      </c>
      <c r="L154" s="3">
        <v>0</v>
      </c>
      <c r="M154" s="3">
        <v>0</v>
      </c>
      <c r="N154" s="3">
        <v>0</v>
      </c>
      <c r="O154" s="3">
        <v>0</v>
      </c>
      <c r="P154" s="3">
        <v>0</v>
      </c>
      <c r="Q154" s="3">
        <v>0</v>
      </c>
      <c r="R154" s="3">
        <v>0</v>
      </c>
      <c r="S154" s="3">
        <v>0</v>
      </c>
    </row>
    <row r="155" spans="1:19" x14ac:dyDescent="0.2">
      <c r="A155" s="2" t="s">
        <v>100</v>
      </c>
      <c r="G155" s="3">
        <v>55000</v>
      </c>
      <c r="H155" s="3">
        <v>410000</v>
      </c>
      <c r="I155" s="3">
        <v>373418</v>
      </c>
      <c r="J155" s="3">
        <v>0</v>
      </c>
      <c r="K155" s="3">
        <v>172846</v>
      </c>
      <c r="L155" s="3">
        <v>176994</v>
      </c>
      <c r="M155" s="3">
        <v>181065</v>
      </c>
      <c r="N155" s="3">
        <v>185049</v>
      </c>
      <c r="O155" s="3">
        <v>189305</v>
      </c>
      <c r="P155" s="3">
        <v>194037</v>
      </c>
      <c r="Q155" s="3">
        <v>198888</v>
      </c>
      <c r="R155" s="3">
        <v>203662</v>
      </c>
      <c r="S155" s="3">
        <v>208550</v>
      </c>
    </row>
    <row r="156" spans="1:19" x14ac:dyDescent="0.2">
      <c r="A156" s="2" t="s">
        <v>101</v>
      </c>
      <c r="G156" s="3">
        <v>30000</v>
      </c>
      <c r="H156" s="3">
        <v>796027</v>
      </c>
      <c r="I156" s="3">
        <v>50000</v>
      </c>
      <c r="J156" s="3">
        <v>241295</v>
      </c>
      <c r="K156" s="3">
        <v>75000</v>
      </c>
      <c r="L156" s="3">
        <v>62500</v>
      </c>
      <c r="M156" s="3">
        <v>52500</v>
      </c>
      <c r="N156" s="3">
        <v>45000</v>
      </c>
      <c r="O156" s="3">
        <v>82500</v>
      </c>
      <c r="P156" s="3">
        <v>82500</v>
      </c>
      <c r="Q156" s="3">
        <v>82500</v>
      </c>
      <c r="R156" s="3">
        <v>82500</v>
      </c>
      <c r="S156" s="3">
        <v>82500</v>
      </c>
    </row>
    <row r="157" spans="1:19" x14ac:dyDescent="0.2">
      <c r="A157" s="2" t="s">
        <v>102</v>
      </c>
      <c r="G157" s="3">
        <v>219000</v>
      </c>
      <c r="H157" s="3">
        <v>606105</v>
      </c>
      <c r="I157" s="3">
        <v>214490</v>
      </c>
      <c r="J157" s="3">
        <v>171112</v>
      </c>
      <c r="K157" s="3">
        <v>183565</v>
      </c>
      <c r="L157" s="3">
        <v>203877</v>
      </c>
      <c r="M157" s="3">
        <v>196109</v>
      </c>
      <c r="N157" s="3">
        <v>215893</v>
      </c>
      <c r="O157" s="3">
        <v>244363</v>
      </c>
      <c r="P157" s="3">
        <v>249095</v>
      </c>
      <c r="Q157" s="3">
        <v>253946</v>
      </c>
      <c r="R157" s="3">
        <v>258720</v>
      </c>
      <c r="S157" s="3">
        <v>263608</v>
      </c>
    </row>
    <row r="158" spans="1:19" x14ac:dyDescent="0.2">
      <c r="A158" s="2" t="s">
        <v>103</v>
      </c>
      <c r="G158" s="3">
        <v>1209000</v>
      </c>
      <c r="H158" s="3">
        <v>590142</v>
      </c>
      <c r="I158" s="3">
        <v>559285</v>
      </c>
      <c r="J158" s="3">
        <v>788465</v>
      </c>
      <c r="K158" s="3">
        <v>815775</v>
      </c>
      <c r="L158" s="3">
        <v>746049</v>
      </c>
      <c r="M158" s="3">
        <v>744843</v>
      </c>
      <c r="N158" s="3">
        <v>726931</v>
      </c>
      <c r="O158" s="3">
        <v>838786</v>
      </c>
      <c r="P158" s="3">
        <v>838786</v>
      </c>
      <c r="Q158" s="3">
        <v>838786</v>
      </c>
      <c r="R158" s="3">
        <v>838786</v>
      </c>
      <c r="S158" s="3">
        <v>838786</v>
      </c>
    </row>
    <row r="159" spans="1:19" x14ac:dyDescent="0.2">
      <c r="A159" s="2" t="s">
        <v>104</v>
      </c>
      <c r="G159" s="3">
        <v>173000</v>
      </c>
      <c r="H159" s="3">
        <v>740669</v>
      </c>
      <c r="I159" s="3">
        <v>161655</v>
      </c>
      <c r="J159" s="3">
        <v>103050</v>
      </c>
      <c r="K159" s="3">
        <v>112620</v>
      </c>
      <c r="L159" s="3">
        <v>118850</v>
      </c>
      <c r="M159" s="3">
        <v>125200</v>
      </c>
      <c r="N159" s="3">
        <v>127720</v>
      </c>
      <c r="O159" s="3">
        <v>120650</v>
      </c>
      <c r="P159" s="3">
        <v>130000</v>
      </c>
      <c r="Q159" s="3">
        <v>130000</v>
      </c>
      <c r="R159" s="3">
        <v>130000</v>
      </c>
      <c r="S159" s="3">
        <v>130000</v>
      </c>
    </row>
    <row r="160" spans="1:19" x14ac:dyDescent="0.2">
      <c r="A160" s="2" t="s">
        <v>105</v>
      </c>
      <c r="G160" s="3">
        <v>362000</v>
      </c>
      <c r="H160" s="3">
        <v>100297</v>
      </c>
      <c r="I160" s="3">
        <v>98416</v>
      </c>
      <c r="J160" s="3">
        <v>89325</v>
      </c>
      <c r="K160" s="3">
        <v>98000</v>
      </c>
      <c r="L160" s="3">
        <v>81550</v>
      </c>
      <c r="M160" s="3">
        <v>96000</v>
      </c>
      <c r="N160" s="3">
        <v>92627</v>
      </c>
      <c r="O160" s="3">
        <v>111087</v>
      </c>
      <c r="P160" s="3">
        <v>111087</v>
      </c>
      <c r="Q160" s="3">
        <v>111087</v>
      </c>
      <c r="R160" s="3">
        <v>111087</v>
      </c>
      <c r="S160" s="3">
        <v>111087</v>
      </c>
    </row>
    <row r="161" spans="1:19" x14ac:dyDescent="0.2">
      <c r="A161" s="2" t="s">
        <v>106</v>
      </c>
      <c r="G161" s="3">
        <v>174000</v>
      </c>
      <c r="H161" s="3">
        <v>121502</v>
      </c>
      <c r="I161" s="3">
        <v>46387</v>
      </c>
      <c r="J161" s="3">
        <v>103090</v>
      </c>
      <c r="K161" s="3">
        <v>75504</v>
      </c>
      <c r="L161" s="3">
        <v>112361</v>
      </c>
      <c r="M161" s="3">
        <v>58925</v>
      </c>
      <c r="N161" s="3">
        <v>121800</v>
      </c>
      <c r="O161" s="3">
        <v>48628</v>
      </c>
      <c r="P161" s="3">
        <v>48628</v>
      </c>
      <c r="Q161" s="3">
        <v>48628</v>
      </c>
      <c r="R161" s="3">
        <v>48628</v>
      </c>
      <c r="S161" s="3">
        <v>48628</v>
      </c>
    </row>
    <row r="162" spans="1:19" ht="15" x14ac:dyDescent="0.25">
      <c r="A162" s="1" t="s">
        <v>107</v>
      </c>
      <c r="G162" s="3">
        <v>2591000</v>
      </c>
      <c r="H162" s="3">
        <v>3901351</v>
      </c>
      <c r="I162" s="3">
        <v>2538551</v>
      </c>
      <c r="J162" s="3">
        <v>1821652</v>
      </c>
      <c r="K162" s="3">
        <v>1897047.76</v>
      </c>
      <c r="L162" s="3">
        <v>1848569.46624</v>
      </c>
      <c r="M162" s="3">
        <v>1777988.82596352</v>
      </c>
      <c r="N162" s="3">
        <v>1896527.5361347175</v>
      </c>
      <c r="O162" s="3">
        <v>2171255.509465816</v>
      </c>
      <c r="P162" s="3">
        <v>1854412.9222024614</v>
      </c>
      <c r="Q162" s="3">
        <v>2134811.9202575227</v>
      </c>
      <c r="R162" s="3">
        <v>2094029.5663437033</v>
      </c>
      <c r="S162" s="3">
        <v>2103953.6839359524</v>
      </c>
    </row>
    <row r="165" spans="1:19" ht="15" x14ac:dyDescent="0.25">
      <c r="A165" s="1" t="s">
        <v>129</v>
      </c>
    </row>
    <row r="166" spans="1:19" ht="15" x14ac:dyDescent="0.25">
      <c r="A166" s="1" t="s">
        <v>108</v>
      </c>
    </row>
    <row r="168" spans="1:19" x14ac:dyDescent="0.2">
      <c r="A168" s="7"/>
      <c r="B168" s="7"/>
      <c r="C168" s="7"/>
      <c r="D168" s="7"/>
      <c r="E168" s="7"/>
      <c r="F168" s="7" t="s">
        <v>4</v>
      </c>
      <c r="G168" s="7" t="s">
        <v>4</v>
      </c>
      <c r="H168" s="7" t="s">
        <v>4</v>
      </c>
      <c r="I168" s="7" t="s">
        <v>4</v>
      </c>
      <c r="J168" s="7" t="s">
        <v>4</v>
      </c>
      <c r="K168" s="7" t="s">
        <v>4</v>
      </c>
      <c r="L168" s="7" t="s">
        <v>4</v>
      </c>
      <c r="M168" s="7" t="s">
        <v>4</v>
      </c>
      <c r="N168" s="7" t="s">
        <v>4</v>
      </c>
      <c r="O168" s="7" t="s">
        <v>4</v>
      </c>
      <c r="P168" s="7" t="s">
        <v>4</v>
      </c>
      <c r="Q168" s="2" t="s">
        <v>4</v>
      </c>
      <c r="R168" s="2" t="s">
        <v>4</v>
      </c>
      <c r="S168" s="2" t="s">
        <v>4</v>
      </c>
    </row>
    <row r="169" spans="1:19" x14ac:dyDescent="0.2">
      <c r="A169" s="7"/>
      <c r="B169" s="7"/>
      <c r="C169" s="7"/>
      <c r="D169" s="7"/>
      <c r="E169" s="7"/>
      <c r="F169" s="7" t="s">
        <v>60</v>
      </c>
      <c r="G169" s="7" t="s">
        <v>5</v>
      </c>
      <c r="H169" s="7" t="s">
        <v>6</v>
      </c>
      <c r="I169" s="7" t="s">
        <v>7</v>
      </c>
      <c r="J169" s="7" t="s">
        <v>8</v>
      </c>
      <c r="K169" s="7" t="s">
        <v>9</v>
      </c>
      <c r="L169" s="7" t="s">
        <v>10</v>
      </c>
      <c r="M169" s="7" t="s">
        <v>11</v>
      </c>
      <c r="N169" s="7" t="s">
        <v>12</v>
      </c>
      <c r="O169" s="7" t="s">
        <v>13</v>
      </c>
      <c r="P169" s="7" t="s">
        <v>14</v>
      </c>
      <c r="Q169" s="7" t="s">
        <v>15</v>
      </c>
      <c r="R169" s="7" t="s">
        <v>16</v>
      </c>
      <c r="S169" s="2" t="s">
        <v>17</v>
      </c>
    </row>
    <row r="170" spans="1:19" ht="15" x14ac:dyDescent="0.25">
      <c r="A170" s="7"/>
      <c r="B170" s="7"/>
      <c r="C170" s="7"/>
      <c r="D170" s="7"/>
      <c r="E170" s="7"/>
      <c r="F170" s="8"/>
      <c r="G170" s="8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</row>
    <row r="171" spans="1:19" x14ac:dyDescent="0.2">
      <c r="A171" s="9" t="s">
        <v>112</v>
      </c>
      <c r="B171" s="7"/>
      <c r="C171" s="7"/>
      <c r="D171" s="7"/>
      <c r="E171" s="7"/>
      <c r="F171" s="11">
        <v>-5.6800000000000003E-2</v>
      </c>
      <c r="G171" s="11">
        <v>-4.24E-2</v>
      </c>
      <c r="H171" s="11">
        <v>-3.09E-2</v>
      </c>
      <c r="I171" s="11">
        <v>1.12E-2</v>
      </c>
      <c r="J171" s="11">
        <v>-5.0200000000000002E-2</v>
      </c>
      <c r="K171" s="11">
        <v>-4.6399999999999997E-2</v>
      </c>
      <c r="L171" s="11">
        <v>-4.4499999999999998E-2</v>
      </c>
      <c r="M171" s="11">
        <v>-5.3800000000000001E-2</v>
      </c>
      <c r="N171" s="11">
        <v>-6.1800000000000001E-2</v>
      </c>
      <c r="O171" s="11">
        <v>-6.7199999999999996E-2</v>
      </c>
      <c r="P171" s="11">
        <v>-0.06</v>
      </c>
      <c r="Q171" s="11">
        <v>-6.4399999999999999E-2</v>
      </c>
      <c r="R171" s="11">
        <v>-7.1099999999999997E-2</v>
      </c>
      <c r="S171" s="12">
        <v>-7.6300000000000007E-2</v>
      </c>
    </row>
    <row r="172" spans="1:19" x14ac:dyDescent="0.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</row>
    <row r="173" spans="1:19" x14ac:dyDescent="0.2">
      <c r="A173" s="9" t="s">
        <v>113</v>
      </c>
      <c r="B173" s="7"/>
      <c r="C173" s="7"/>
      <c r="D173" s="7"/>
      <c r="E173" s="7"/>
      <c r="F173" s="11">
        <v>0.89959999999999996</v>
      </c>
      <c r="G173" s="11">
        <v>0.90680000000000005</v>
      </c>
      <c r="H173" s="11">
        <v>0.90539999999999998</v>
      </c>
      <c r="I173" s="11">
        <v>0.92069999999999996</v>
      </c>
      <c r="J173" s="11">
        <v>0.9325</v>
      </c>
      <c r="K173" s="11">
        <v>0.93300000000000005</v>
      </c>
      <c r="L173" s="11">
        <v>0.93279999999999996</v>
      </c>
      <c r="M173" s="11">
        <v>0.93269999999999997</v>
      </c>
      <c r="N173" s="11">
        <v>0.93259999999999998</v>
      </c>
      <c r="O173" s="11">
        <v>0.93300000000000005</v>
      </c>
      <c r="P173" s="11">
        <v>0.93310000000000004</v>
      </c>
      <c r="Q173" s="11">
        <v>0.93320000000000003</v>
      </c>
      <c r="R173" s="11">
        <v>0.93300000000000005</v>
      </c>
      <c r="S173" s="12">
        <v>0.93310000000000004</v>
      </c>
    </row>
    <row r="174" spans="1:19" x14ac:dyDescent="0.2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</row>
    <row r="175" spans="1:19" x14ac:dyDescent="0.2">
      <c r="A175" s="7" t="s">
        <v>114</v>
      </c>
      <c r="B175" s="7"/>
      <c r="C175" s="7"/>
      <c r="D175" s="7"/>
      <c r="E175" s="7"/>
      <c r="F175" s="13">
        <v>7.57</v>
      </c>
      <c r="G175" s="13">
        <v>7.35</v>
      </c>
      <c r="H175" s="13">
        <v>8.6999999999999993</v>
      </c>
      <c r="I175" s="13">
        <v>6.13</v>
      </c>
      <c r="J175" s="13">
        <v>5.98</v>
      </c>
      <c r="K175" s="13">
        <v>5.84</v>
      </c>
      <c r="L175" s="13">
        <v>5.74</v>
      </c>
      <c r="M175" s="13">
        <v>5.61</v>
      </c>
      <c r="N175" s="13">
        <v>5.45</v>
      </c>
      <c r="O175" s="13">
        <v>5.22</v>
      </c>
      <c r="P175" s="13">
        <v>5.07</v>
      </c>
      <c r="Q175" s="13">
        <v>4.88</v>
      </c>
      <c r="R175" s="13">
        <v>4.68</v>
      </c>
      <c r="S175" s="2">
        <v>4.47</v>
      </c>
    </row>
    <row r="176" spans="1:19" x14ac:dyDescent="0.2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</row>
    <row r="177" spans="1:23" x14ac:dyDescent="0.2">
      <c r="A177" s="7" t="s">
        <v>115</v>
      </c>
      <c r="B177" s="7"/>
      <c r="C177" s="7"/>
      <c r="D177" s="7"/>
      <c r="E177" s="7"/>
      <c r="F177" s="13">
        <v>20.56</v>
      </c>
      <c r="G177" s="13">
        <v>23.03</v>
      </c>
      <c r="H177" s="13">
        <v>51.23</v>
      </c>
      <c r="I177" s="7">
        <v>0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7">
        <v>0</v>
      </c>
      <c r="P177" s="7">
        <v>0</v>
      </c>
      <c r="Q177" s="7">
        <v>0</v>
      </c>
      <c r="R177" s="7">
        <v>0</v>
      </c>
      <c r="S177" s="2">
        <v>0</v>
      </c>
    </row>
    <row r="178" spans="1:23" x14ac:dyDescent="0.2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</row>
    <row r="179" spans="1:23" x14ac:dyDescent="0.2">
      <c r="A179" s="7" t="s">
        <v>116</v>
      </c>
      <c r="B179" s="7"/>
      <c r="C179" s="7"/>
      <c r="D179" s="7"/>
      <c r="E179" s="7"/>
      <c r="F179" s="11">
        <v>2.8400000000000002E-2</v>
      </c>
      <c r="G179" s="11">
        <v>2.9499999999999998E-2</v>
      </c>
      <c r="H179" s="11">
        <v>2.4899999999999999E-2</v>
      </c>
      <c r="I179" s="11">
        <v>2.4899999999999999E-2</v>
      </c>
      <c r="J179" s="11">
        <v>2.4199999999999999E-2</v>
      </c>
      <c r="K179" s="11">
        <v>2.4199999999999999E-2</v>
      </c>
      <c r="L179" s="11">
        <v>2.41E-2</v>
      </c>
      <c r="M179" s="11">
        <v>2.41E-2</v>
      </c>
      <c r="N179" s="11">
        <v>2.41E-2</v>
      </c>
      <c r="O179" s="11">
        <v>2.4E-2</v>
      </c>
      <c r="P179" s="11">
        <v>2.4E-2</v>
      </c>
      <c r="Q179" s="11">
        <v>2.4E-2</v>
      </c>
      <c r="R179" s="11">
        <v>2.4E-2</v>
      </c>
      <c r="S179" s="12">
        <v>2.4E-2</v>
      </c>
    </row>
    <row r="180" spans="1:23" x14ac:dyDescent="0.2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</row>
    <row r="181" spans="1:23" x14ac:dyDescent="0.2">
      <c r="A181" s="9" t="s">
        <v>117</v>
      </c>
      <c r="B181" s="7"/>
      <c r="C181" s="7"/>
      <c r="D181" s="7"/>
      <c r="E181" s="7"/>
      <c r="F181" s="13">
        <v>16.39</v>
      </c>
      <c r="G181" s="13">
        <v>16.5</v>
      </c>
      <c r="H181" s="13">
        <v>17.399999999999999</v>
      </c>
      <c r="I181" s="13">
        <v>17.100000000000001</v>
      </c>
      <c r="J181" s="13">
        <v>16.82</v>
      </c>
      <c r="K181" s="13">
        <v>16.34</v>
      </c>
      <c r="L181" s="13">
        <v>16.14</v>
      </c>
      <c r="M181" s="13">
        <v>15.61</v>
      </c>
      <c r="N181" s="13">
        <v>15.08</v>
      </c>
      <c r="O181" s="13">
        <v>14.23</v>
      </c>
      <c r="P181" s="13">
        <v>13.89</v>
      </c>
      <c r="Q181" s="13">
        <v>13.29</v>
      </c>
      <c r="R181" s="13">
        <v>12.69</v>
      </c>
      <c r="S181" s="2">
        <v>11.98</v>
      </c>
    </row>
    <row r="182" spans="1:23" x14ac:dyDescent="0.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</row>
    <row r="183" spans="1:23" x14ac:dyDescent="0.2">
      <c r="A183" s="7" t="s">
        <v>118</v>
      </c>
      <c r="B183" s="7"/>
      <c r="C183" s="7"/>
      <c r="D183" s="7"/>
      <c r="E183" s="7"/>
      <c r="F183" s="11">
        <v>1.0498000000000001</v>
      </c>
      <c r="G183" s="11">
        <v>0.76559999999999995</v>
      </c>
      <c r="H183" s="11">
        <v>0.36359999999999998</v>
      </c>
      <c r="I183" s="11">
        <v>0.72789999999999999</v>
      </c>
      <c r="J183" s="11">
        <v>0.7127</v>
      </c>
      <c r="K183" s="11">
        <v>0.71799999999999997</v>
      </c>
      <c r="L183" s="11">
        <v>0.69340000000000002</v>
      </c>
      <c r="M183" s="11">
        <v>0.66100000000000003</v>
      </c>
      <c r="N183" s="11">
        <v>0.67359999999999998</v>
      </c>
      <c r="O183" s="11">
        <v>0.71079999999999999</v>
      </c>
      <c r="P183" s="11">
        <v>0.70140000000000002</v>
      </c>
      <c r="Q183" s="11">
        <v>0.68830000000000002</v>
      </c>
      <c r="R183" s="11">
        <v>0.67649999999999999</v>
      </c>
      <c r="S183" s="12">
        <v>0.6734</v>
      </c>
    </row>
    <row r="184" spans="1:23" x14ac:dyDescent="0.2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</row>
    <row r="185" spans="1:23" x14ac:dyDescent="0.2">
      <c r="A185" s="9" t="s">
        <v>119</v>
      </c>
      <c r="B185" s="7"/>
      <c r="C185" s="7"/>
      <c r="D185" s="7"/>
      <c r="E185" s="7"/>
      <c r="F185" s="11">
        <v>2.1499999999999998E-2</v>
      </c>
      <c r="G185" s="11">
        <v>1.9099999999999999E-2</v>
      </c>
      <c r="H185" s="11">
        <v>2.0400000000000001E-2</v>
      </c>
      <c r="I185" s="11">
        <v>2.0199999999999999E-2</v>
      </c>
      <c r="J185" s="11">
        <v>1.03E-2</v>
      </c>
      <c r="K185" s="11">
        <v>1.03E-2</v>
      </c>
      <c r="L185" s="11">
        <v>1.03E-2</v>
      </c>
      <c r="M185" s="11">
        <v>1.03E-2</v>
      </c>
      <c r="N185" s="11">
        <v>1.03E-2</v>
      </c>
      <c r="O185" s="11">
        <v>1.03E-2</v>
      </c>
      <c r="P185" s="14">
        <v>1.03E-2</v>
      </c>
      <c r="Q185" s="14">
        <v>1.03E-2</v>
      </c>
      <c r="R185" s="14">
        <v>1.03E-2</v>
      </c>
      <c r="S185" s="11">
        <v>1.03E-2</v>
      </c>
      <c r="W185" s="7"/>
    </row>
    <row r="186" spans="1:23" x14ac:dyDescent="0.2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W186" s="7"/>
    </row>
    <row r="187" spans="1:23" x14ac:dyDescent="0.2">
      <c r="A187" s="9" t="s">
        <v>120</v>
      </c>
      <c r="B187" s="7"/>
      <c r="C187" s="7"/>
      <c r="D187" s="7"/>
      <c r="E187" s="7"/>
      <c r="F187" s="13">
        <v>0.83</v>
      </c>
      <c r="G187" s="13">
        <v>1.06</v>
      </c>
      <c r="H187" s="13">
        <v>0.79</v>
      </c>
      <c r="I187" s="13">
        <v>1</v>
      </c>
      <c r="J187" s="13">
        <v>1</v>
      </c>
      <c r="K187" s="13">
        <v>1</v>
      </c>
      <c r="L187" s="13">
        <v>1</v>
      </c>
      <c r="M187" s="13">
        <v>1</v>
      </c>
      <c r="N187" s="13">
        <v>1</v>
      </c>
      <c r="O187" s="13">
        <v>1</v>
      </c>
      <c r="P187" s="7">
        <v>1</v>
      </c>
      <c r="Q187" s="7">
        <v>1</v>
      </c>
      <c r="R187" s="7">
        <v>1</v>
      </c>
      <c r="S187" s="7">
        <v>1</v>
      </c>
      <c r="W187" s="7"/>
    </row>
    <row r="188" spans="1:23" x14ac:dyDescent="0.2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</row>
    <row r="189" spans="1:23" x14ac:dyDescent="0.2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W189" s="7"/>
    </row>
    <row r="190" spans="1:23" x14ac:dyDescent="0.2">
      <c r="A190" s="7"/>
      <c r="B190" s="7"/>
      <c r="C190" s="7"/>
      <c r="D190" s="7"/>
      <c r="E190" s="7"/>
      <c r="F190" s="7" t="s">
        <v>2</v>
      </c>
      <c r="G190" s="7" t="s">
        <v>2</v>
      </c>
      <c r="H190" s="7" t="s">
        <v>2</v>
      </c>
      <c r="I190" s="7" t="s">
        <v>4</v>
      </c>
      <c r="J190" s="7" t="s">
        <v>4</v>
      </c>
      <c r="K190" s="7" t="s">
        <v>4</v>
      </c>
      <c r="L190" s="7" t="s">
        <v>4</v>
      </c>
      <c r="M190" s="7" t="s">
        <v>4</v>
      </c>
      <c r="N190" s="7" t="s">
        <v>4</v>
      </c>
      <c r="O190" s="7" t="s">
        <v>4</v>
      </c>
      <c r="P190" s="7" t="s">
        <v>4</v>
      </c>
      <c r="Q190" s="2" t="s">
        <v>4</v>
      </c>
      <c r="R190" s="2" t="s">
        <v>4</v>
      </c>
      <c r="S190" s="2" t="s">
        <v>4</v>
      </c>
      <c r="W190" s="7"/>
    </row>
    <row r="191" spans="1:23" x14ac:dyDescent="0.2">
      <c r="A191" s="7"/>
      <c r="B191" s="7"/>
      <c r="C191" s="7"/>
      <c r="D191" s="7"/>
      <c r="E191" s="7"/>
      <c r="F191" s="7" t="s">
        <v>60</v>
      </c>
      <c r="G191" s="7" t="s">
        <v>5</v>
      </c>
      <c r="H191" s="7" t="s">
        <v>6</v>
      </c>
      <c r="I191" s="7" t="s">
        <v>7</v>
      </c>
      <c r="J191" s="7" t="s">
        <v>8</v>
      </c>
      <c r="K191" s="7" t="s">
        <v>9</v>
      </c>
      <c r="L191" s="7" t="s">
        <v>10</v>
      </c>
      <c r="M191" s="7" t="s">
        <v>11</v>
      </c>
      <c r="N191" s="7" t="s">
        <v>12</v>
      </c>
      <c r="O191" s="7" t="s">
        <v>13</v>
      </c>
      <c r="P191" s="7" t="s">
        <v>14</v>
      </c>
      <c r="Q191" s="7" t="s">
        <v>15</v>
      </c>
      <c r="R191" s="7" t="s">
        <v>16</v>
      </c>
      <c r="S191" s="2" t="s">
        <v>17</v>
      </c>
      <c r="W191" s="7"/>
    </row>
    <row r="192" spans="1:23" ht="15" x14ac:dyDescent="0.25">
      <c r="A192" s="15" t="s">
        <v>121</v>
      </c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W192" s="7"/>
    </row>
    <row r="193" spans="1:23" x14ac:dyDescent="0.2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W193" s="7"/>
    </row>
    <row r="194" spans="1:23" x14ac:dyDescent="0.2">
      <c r="A194" s="9" t="s">
        <v>122</v>
      </c>
      <c r="B194" s="7"/>
      <c r="C194" s="7"/>
      <c r="D194" s="7"/>
      <c r="E194" s="10"/>
      <c r="F194" s="11">
        <v>-5.6800000000000003E-2</v>
      </c>
      <c r="G194" s="11">
        <v>-4.24E-2</v>
      </c>
      <c r="H194" s="11">
        <v>-3.09E-2</v>
      </c>
      <c r="I194" s="11">
        <v>1.12E-2</v>
      </c>
      <c r="J194" s="11">
        <v>-5.0200000000000002E-2</v>
      </c>
      <c r="K194" s="11">
        <v>-4.6399999999999997E-2</v>
      </c>
      <c r="L194" s="11">
        <v>-4.4499999999999998E-2</v>
      </c>
      <c r="M194" s="11">
        <v>-5.3800000000000001E-2</v>
      </c>
      <c r="N194" s="11">
        <v>-6.1800000000000001E-2</v>
      </c>
      <c r="O194" s="11">
        <v>-6.7199999999999996E-2</v>
      </c>
      <c r="P194" s="10">
        <v>-0.06</v>
      </c>
      <c r="Q194" s="10">
        <v>-6.4399999999999999E-2</v>
      </c>
      <c r="R194" s="10">
        <v>-7.1099999999999997E-2</v>
      </c>
      <c r="S194" s="10">
        <v>-7.6300000000000007E-2</v>
      </c>
      <c r="W194" s="7"/>
    </row>
    <row r="195" spans="1:23" x14ac:dyDescent="0.2">
      <c r="A195" s="7" t="s">
        <v>123</v>
      </c>
      <c r="B195" s="7"/>
      <c r="C195" s="7"/>
      <c r="D195" s="7"/>
      <c r="E195" s="7"/>
      <c r="F195" s="11">
        <v>-4.24E-2</v>
      </c>
      <c r="G195" s="11">
        <v>-4.2599999999999999E-2</v>
      </c>
      <c r="H195" s="11">
        <v>-4.3400000000000001E-2</v>
      </c>
      <c r="I195" s="11">
        <v>-2.07E-2</v>
      </c>
      <c r="J195" s="11">
        <v>-2.3300000000000001E-2</v>
      </c>
      <c r="K195" s="11">
        <v>-2.8500000000000001E-2</v>
      </c>
      <c r="L195" s="11">
        <v>-4.7E-2</v>
      </c>
      <c r="M195" s="11">
        <v>-4.82E-2</v>
      </c>
      <c r="N195" s="11">
        <v>-5.33E-2</v>
      </c>
      <c r="O195" s="11">
        <v>-6.0900000000000003E-2</v>
      </c>
      <c r="P195" s="10">
        <v>-6.3E-2</v>
      </c>
      <c r="Q195" s="10">
        <v>-6.3899999999999998E-2</v>
      </c>
      <c r="R195" s="10">
        <v>-6.5100000000000005E-2</v>
      </c>
      <c r="S195" s="10">
        <v>-7.0599999999999996E-2</v>
      </c>
      <c r="W195" s="7"/>
    </row>
    <row r="196" spans="1:23" x14ac:dyDescent="0.2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W196" s="7"/>
    </row>
    <row r="197" spans="1:23" x14ac:dyDescent="0.2">
      <c r="A197" s="9" t="s">
        <v>113</v>
      </c>
      <c r="B197" s="7"/>
      <c r="C197" s="7"/>
      <c r="D197" s="7"/>
      <c r="E197" s="10"/>
      <c r="F197" s="11">
        <v>0.89959999999999996</v>
      </c>
      <c r="G197" s="11">
        <v>0.90680000000000005</v>
      </c>
      <c r="H197" s="11">
        <v>0.90539999999999998</v>
      </c>
      <c r="I197" s="11">
        <v>0.92069999999999996</v>
      </c>
      <c r="J197" s="11">
        <v>0.9325</v>
      </c>
      <c r="K197" s="11">
        <v>0.93300000000000005</v>
      </c>
      <c r="L197" s="11">
        <v>0.93279999999999996</v>
      </c>
      <c r="M197" s="11">
        <v>0.93269999999999997</v>
      </c>
      <c r="N197" s="11">
        <v>0.93259999999999998</v>
      </c>
      <c r="O197" s="11">
        <v>0.93300000000000005</v>
      </c>
      <c r="P197" s="10">
        <v>0.93310000000000004</v>
      </c>
      <c r="Q197" s="10">
        <v>0.93320000000000003</v>
      </c>
      <c r="R197" s="10">
        <v>0.93300000000000005</v>
      </c>
      <c r="S197" s="10">
        <v>0.93310000000000004</v>
      </c>
      <c r="W197" s="7"/>
    </row>
    <row r="198" spans="1:23" x14ac:dyDescent="0.2">
      <c r="A198" s="7" t="s">
        <v>123</v>
      </c>
      <c r="B198" s="7"/>
      <c r="C198" s="7"/>
      <c r="D198" s="7"/>
      <c r="E198" s="7"/>
      <c r="F198" s="11">
        <v>0.8831</v>
      </c>
      <c r="G198" s="11">
        <v>0.88870000000000005</v>
      </c>
      <c r="H198" s="11">
        <v>0.90390000000000004</v>
      </c>
      <c r="I198" s="11">
        <v>0.91100000000000003</v>
      </c>
      <c r="J198" s="11">
        <v>0.91959999999999997</v>
      </c>
      <c r="K198" s="11">
        <v>0.92879999999999996</v>
      </c>
      <c r="L198" s="11">
        <v>0.93279999999999996</v>
      </c>
      <c r="M198" s="11">
        <v>0.93279999999999996</v>
      </c>
      <c r="N198" s="11">
        <v>0.93269999999999997</v>
      </c>
      <c r="O198" s="11">
        <v>0.93279999999999996</v>
      </c>
      <c r="P198" s="10">
        <v>0.93289999999999995</v>
      </c>
      <c r="Q198" s="10">
        <v>0.93310000000000004</v>
      </c>
      <c r="R198" s="10">
        <v>0.93310000000000004</v>
      </c>
      <c r="S198" s="10">
        <v>0.93310000000000004</v>
      </c>
      <c r="W198" s="7"/>
    </row>
    <row r="199" spans="1:23" x14ac:dyDescent="0.2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W199" s="7"/>
    </row>
    <row r="200" spans="1:23" x14ac:dyDescent="0.2">
      <c r="A200" s="9" t="s">
        <v>124</v>
      </c>
      <c r="B200" s="7"/>
      <c r="C200" s="7"/>
      <c r="D200" s="7"/>
      <c r="E200" s="10"/>
      <c r="F200" s="10">
        <v>1.0498000000000001</v>
      </c>
      <c r="G200" s="10">
        <v>0.76559999999999995</v>
      </c>
      <c r="H200" s="10">
        <v>0.36359999999999998</v>
      </c>
      <c r="I200" s="10">
        <v>0.72789999999999999</v>
      </c>
      <c r="J200" s="10">
        <v>0.7127</v>
      </c>
      <c r="K200" s="10">
        <v>0.71799999999999997</v>
      </c>
      <c r="L200" s="10">
        <v>0.69340000000000002</v>
      </c>
      <c r="M200" s="10">
        <v>0.66100000000000003</v>
      </c>
      <c r="N200" s="10">
        <v>0.67359999999999998</v>
      </c>
      <c r="O200" s="10">
        <v>0.71079999999999999</v>
      </c>
      <c r="P200" s="10">
        <v>0.70140000000000002</v>
      </c>
      <c r="Q200" s="10">
        <v>0.68830000000000002</v>
      </c>
      <c r="R200" s="10">
        <v>0.67649999999999999</v>
      </c>
      <c r="S200" s="10">
        <v>0.6734</v>
      </c>
      <c r="W200" s="7"/>
    </row>
    <row r="201" spans="1:23" x14ac:dyDescent="0.2">
      <c r="A201" s="7" t="s">
        <v>125</v>
      </c>
      <c r="B201" s="7"/>
      <c r="C201" s="7"/>
      <c r="D201" s="7"/>
      <c r="E201" s="7"/>
      <c r="F201" s="11">
        <v>0.97599999999999998</v>
      </c>
      <c r="G201" s="11">
        <v>1.0013000000000001</v>
      </c>
      <c r="H201" s="11">
        <v>0.72629999999999995</v>
      </c>
      <c r="I201" s="11">
        <v>0.61899999999999999</v>
      </c>
      <c r="J201" s="11">
        <v>0.60140000000000005</v>
      </c>
      <c r="K201" s="11">
        <v>0.71950000000000003</v>
      </c>
      <c r="L201" s="11">
        <v>0.70799999999999996</v>
      </c>
      <c r="M201" s="11">
        <v>0.69079999999999997</v>
      </c>
      <c r="N201" s="11">
        <v>0.67600000000000005</v>
      </c>
      <c r="O201" s="11">
        <v>0.68179999999999996</v>
      </c>
      <c r="P201" s="10">
        <v>0.69530000000000003</v>
      </c>
      <c r="Q201" s="10">
        <v>0.70020000000000004</v>
      </c>
      <c r="R201" s="10">
        <v>0.68879999999999997</v>
      </c>
      <c r="S201" s="10">
        <v>0.6794</v>
      </c>
      <c r="W201" s="7"/>
    </row>
    <row r="202" spans="1:23" x14ac:dyDescent="0.2">
      <c r="A202" s="7"/>
      <c r="B202" s="7"/>
      <c r="C202" s="7"/>
      <c r="D202" s="7"/>
      <c r="E202" s="7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7"/>
      <c r="Q202" s="7"/>
      <c r="R202" s="7"/>
      <c r="S202" s="7"/>
      <c r="W202" s="7"/>
    </row>
    <row r="203" spans="1:23" x14ac:dyDescent="0.2">
      <c r="A203" s="9" t="s">
        <v>119</v>
      </c>
      <c r="B203" s="7"/>
      <c r="C203" s="7"/>
      <c r="D203" s="7"/>
      <c r="E203" s="7"/>
      <c r="F203" s="11">
        <v>2.1499999999999998E-2</v>
      </c>
      <c r="G203" s="11">
        <v>1.9099999999999999E-2</v>
      </c>
      <c r="H203" s="11">
        <v>2.0400000000000001E-2</v>
      </c>
      <c r="I203" s="11">
        <v>2.0199999999999999E-2</v>
      </c>
      <c r="J203" s="11">
        <v>1.03E-2</v>
      </c>
      <c r="K203" s="11">
        <v>1.03E-2</v>
      </c>
      <c r="L203" s="11">
        <v>1.03E-2</v>
      </c>
      <c r="M203" s="11">
        <v>1.03E-2</v>
      </c>
      <c r="N203" s="11">
        <v>1.03E-2</v>
      </c>
      <c r="O203" s="11">
        <v>1.03E-2</v>
      </c>
      <c r="P203" s="14">
        <v>1.03E-2</v>
      </c>
      <c r="Q203" s="14">
        <v>1.03E-2</v>
      </c>
      <c r="R203" s="14">
        <v>1.03E-2</v>
      </c>
      <c r="S203" s="11">
        <v>1.03E-2</v>
      </c>
      <c r="W203" s="7"/>
    </row>
    <row r="204" spans="1:23" x14ac:dyDescent="0.2">
      <c r="A204" s="7"/>
      <c r="B204" s="7"/>
      <c r="C204" s="7"/>
      <c r="D204" s="7"/>
      <c r="E204" s="7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7"/>
      <c r="Q204" s="7"/>
      <c r="R204" s="7"/>
      <c r="S204" s="7"/>
      <c r="W204" s="7"/>
    </row>
    <row r="205" spans="1:23" x14ac:dyDescent="0.2">
      <c r="A205" s="9" t="s">
        <v>120</v>
      </c>
      <c r="B205" s="7"/>
      <c r="C205" s="7"/>
      <c r="D205" s="7"/>
      <c r="E205" s="17"/>
      <c r="F205" s="18">
        <v>0.83</v>
      </c>
      <c r="G205" s="18">
        <v>1.06</v>
      </c>
      <c r="H205" s="18">
        <v>0.79</v>
      </c>
      <c r="I205" s="18">
        <v>1</v>
      </c>
      <c r="J205" s="18">
        <v>1</v>
      </c>
      <c r="K205" s="18">
        <v>1</v>
      </c>
      <c r="L205" s="18">
        <v>1</v>
      </c>
      <c r="M205" s="18">
        <v>1</v>
      </c>
      <c r="N205" s="18">
        <v>1</v>
      </c>
      <c r="O205" s="18">
        <v>1</v>
      </c>
      <c r="P205" s="18">
        <v>1</v>
      </c>
      <c r="Q205" s="18">
        <v>1</v>
      </c>
      <c r="R205" s="18">
        <v>1</v>
      </c>
      <c r="S205" s="18">
        <v>1</v>
      </c>
      <c r="W205" s="7"/>
    </row>
    <row r="206" spans="1:23" x14ac:dyDescent="0.2">
      <c r="A206" s="7" t="s">
        <v>125</v>
      </c>
      <c r="B206" s="7"/>
      <c r="C206" s="7"/>
      <c r="D206" s="7"/>
      <c r="E206" s="17"/>
      <c r="F206" s="17">
        <v>1.01</v>
      </c>
      <c r="G206" s="17">
        <v>0.98</v>
      </c>
      <c r="H206" s="17">
        <v>0.89</v>
      </c>
      <c r="I206" s="17">
        <v>0.95</v>
      </c>
      <c r="J206" s="17">
        <v>0.93</v>
      </c>
      <c r="K206" s="17">
        <v>1</v>
      </c>
      <c r="L206" s="17">
        <v>1</v>
      </c>
      <c r="M206" s="17">
        <v>1</v>
      </c>
      <c r="N206" s="17">
        <v>1</v>
      </c>
      <c r="O206" s="17">
        <v>1</v>
      </c>
      <c r="P206" s="18">
        <v>1</v>
      </c>
      <c r="Q206" s="18">
        <v>1</v>
      </c>
      <c r="R206" s="18">
        <v>1</v>
      </c>
      <c r="S206" s="18">
        <v>1</v>
      </c>
      <c r="W206" s="7"/>
    </row>
    <row r="207" spans="1:23" x14ac:dyDescent="0.2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W207" s="7"/>
    </row>
    <row r="208" spans="1:23" x14ac:dyDescent="0.2">
      <c r="A208" s="9" t="s">
        <v>126</v>
      </c>
      <c r="B208" s="7"/>
      <c r="C208" s="7"/>
      <c r="D208" s="7"/>
      <c r="E208" s="10"/>
      <c r="F208" s="11">
        <v>5.1000000000000004E-3</v>
      </c>
      <c r="G208" s="11">
        <v>2.3E-3</v>
      </c>
      <c r="H208" s="11">
        <v>2.3999999999999998E-3</v>
      </c>
      <c r="I208" s="11">
        <v>0</v>
      </c>
      <c r="J208" s="11">
        <v>0</v>
      </c>
      <c r="K208" s="11">
        <v>0</v>
      </c>
      <c r="L208" s="11">
        <v>0</v>
      </c>
      <c r="M208" s="11">
        <v>0</v>
      </c>
      <c r="N208" s="11">
        <v>0</v>
      </c>
      <c r="O208" s="11">
        <v>0</v>
      </c>
      <c r="P208" s="10">
        <v>0</v>
      </c>
      <c r="Q208" s="10">
        <v>0</v>
      </c>
      <c r="R208" s="10">
        <v>0</v>
      </c>
      <c r="S208" s="10">
        <v>0</v>
      </c>
      <c r="W208" s="7"/>
    </row>
    <row r="209" spans="1:23" x14ac:dyDescent="0.2">
      <c r="A209" s="7" t="s">
        <v>125</v>
      </c>
      <c r="B209" s="7"/>
      <c r="C209" s="7"/>
      <c r="D209" s="7"/>
      <c r="E209" s="7"/>
      <c r="F209" s="10">
        <v>5.1999999999999998E-3</v>
      </c>
      <c r="G209" s="10">
        <v>4.1999999999999997E-3</v>
      </c>
      <c r="H209" s="10">
        <v>3.3E-3</v>
      </c>
      <c r="I209" s="10">
        <v>1.6000000000000001E-3</v>
      </c>
      <c r="J209" s="10">
        <v>8.0000000000000004E-4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W209" s="7"/>
    </row>
    <row r="210" spans="1:23" x14ac:dyDescent="0.2">
      <c r="A210" s="7"/>
      <c r="B210" s="7"/>
      <c r="C210" s="7"/>
      <c r="D210" s="7"/>
      <c r="E210" s="7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7"/>
      <c r="Q210" s="7"/>
      <c r="R210" s="7"/>
      <c r="S210" s="7"/>
      <c r="W210" s="7"/>
    </row>
    <row r="211" spans="1:23" x14ac:dyDescent="0.2">
      <c r="A211" s="19" t="s">
        <v>127</v>
      </c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W211" s="7"/>
    </row>
    <row r="212" spans="1:23" x14ac:dyDescent="0.2">
      <c r="A212" s="19"/>
      <c r="B212" s="7"/>
      <c r="C212" s="2" t="s">
        <v>109</v>
      </c>
      <c r="D212" s="7" t="s">
        <v>110</v>
      </c>
      <c r="E212" s="7" t="s">
        <v>111</v>
      </c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W212" s="7"/>
    </row>
    <row r="213" spans="1:23" x14ac:dyDescent="0.2">
      <c r="A213" s="19"/>
      <c r="B213" s="7"/>
      <c r="C213" s="2">
        <v>0.85</v>
      </c>
      <c r="D213" s="7">
        <v>0.82</v>
      </c>
      <c r="E213" s="13">
        <v>0.84</v>
      </c>
      <c r="F213" s="13">
        <v>0.88</v>
      </c>
      <c r="G213" s="13">
        <v>0.91</v>
      </c>
      <c r="H213" s="13">
        <v>0.85</v>
      </c>
      <c r="I213" s="13">
        <v>0.9</v>
      </c>
      <c r="J213" s="13">
        <v>0.89</v>
      </c>
      <c r="K213" s="13">
        <v>0.89</v>
      </c>
      <c r="L213" s="13">
        <v>0.88</v>
      </c>
      <c r="M213" s="13">
        <v>0.89</v>
      </c>
      <c r="N213" s="13">
        <v>0.89</v>
      </c>
      <c r="O213" s="13">
        <v>0.9</v>
      </c>
      <c r="P213" s="7">
        <v>0.89</v>
      </c>
      <c r="Q213" s="7">
        <v>0.89</v>
      </c>
      <c r="R213" s="7">
        <v>0.89</v>
      </c>
      <c r="S213" s="7">
        <v>0.91</v>
      </c>
      <c r="W213" s="7"/>
    </row>
    <row r="214" spans="1:23" x14ac:dyDescent="0.2">
      <c r="A214" s="7" t="s">
        <v>128</v>
      </c>
      <c r="B214" s="7"/>
      <c r="C214" s="7"/>
      <c r="D214" s="7"/>
      <c r="E214" s="7"/>
      <c r="F214" s="7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7"/>
      <c r="T214" s="7"/>
      <c r="U214" s="7"/>
      <c r="V214" s="7"/>
      <c r="W214" s="7"/>
    </row>
    <row r="215" spans="1:23" x14ac:dyDescent="0.2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</row>
  </sheetData>
  <pageMargins left="0.36" right="0.28000000000000003" top="0.75" bottom="0.75" header="0.3" footer="0.3"/>
  <pageSetup paperSize="9" scale="60" orientation="landscape" r:id="rId1"/>
  <rowBreaks count="4" manualBreakCount="4">
    <brk id="40" max="16383" man="1"/>
    <brk id="82" max="16383" man="1"/>
    <brk id="134" max="16383" man="1"/>
    <brk id="16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6"/>
  <sheetViews>
    <sheetView zoomScale="80" zoomScaleNormal="80" workbookViewId="0">
      <selection activeCell="J40" sqref="J40"/>
    </sheetView>
  </sheetViews>
  <sheetFormatPr defaultRowHeight="14.25" x14ac:dyDescent="0.2"/>
  <cols>
    <col min="1" max="2" width="9.140625" style="2"/>
    <col min="3" max="3" width="9.28515625" style="2" bestFit="1" customWidth="1"/>
    <col min="4" max="4" width="11.28515625" style="2" customWidth="1"/>
    <col min="5" max="5" width="11.140625" style="2" customWidth="1"/>
    <col min="6" max="6" width="12" style="2" customWidth="1"/>
    <col min="7" max="14" width="13.140625" style="2" bestFit="1" customWidth="1"/>
    <col min="15" max="15" width="11.85546875" style="2" customWidth="1"/>
    <col min="16" max="16" width="13.140625" style="2" bestFit="1" customWidth="1"/>
    <col min="17" max="17" width="12.5703125" style="2" customWidth="1"/>
    <col min="18" max="18" width="12" style="2" customWidth="1"/>
    <col min="19" max="19" width="11.85546875" style="2" customWidth="1"/>
    <col min="20" max="20" width="9.28515625" style="2" bestFit="1" customWidth="1"/>
    <col min="21" max="21" width="9.7109375" style="2" bestFit="1" customWidth="1"/>
    <col min="22" max="32" width="9.28515625" style="2" bestFit="1" customWidth="1"/>
    <col min="33" max="16384" width="9.140625" style="2"/>
  </cols>
  <sheetData>
    <row r="1" spans="1:19" ht="15" x14ac:dyDescent="0.25">
      <c r="A1" s="1" t="s">
        <v>130</v>
      </c>
    </row>
    <row r="2" spans="1:19" ht="15" x14ac:dyDescent="0.25">
      <c r="A2" s="1" t="s">
        <v>0</v>
      </c>
    </row>
    <row r="3" spans="1:19" ht="15" x14ac:dyDescent="0.25">
      <c r="A3" s="1" t="s">
        <v>1</v>
      </c>
    </row>
    <row r="4" spans="1:19" x14ac:dyDescent="0.2">
      <c r="G4" s="2" t="s">
        <v>2</v>
      </c>
      <c r="H4" s="2" t="s">
        <v>2</v>
      </c>
      <c r="I4" s="2" t="s">
        <v>3</v>
      </c>
      <c r="J4" s="2" t="s">
        <v>4</v>
      </c>
      <c r="K4" s="2" t="s">
        <v>4</v>
      </c>
      <c r="L4" s="2" t="s">
        <v>4</v>
      </c>
      <c r="M4" s="2" t="s">
        <v>4</v>
      </c>
      <c r="N4" s="2" t="s">
        <v>4</v>
      </c>
      <c r="O4" s="2" t="s">
        <v>4</v>
      </c>
      <c r="P4" s="2" t="s">
        <v>4</v>
      </c>
      <c r="Q4" s="2" t="s">
        <v>4</v>
      </c>
      <c r="R4" s="2" t="s">
        <v>4</v>
      </c>
      <c r="S4" s="2" t="s">
        <v>4</v>
      </c>
    </row>
    <row r="5" spans="1:19" x14ac:dyDescent="0.2"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  <c r="O5" s="2" t="s">
        <v>13</v>
      </c>
      <c r="P5" s="2" t="s">
        <v>14</v>
      </c>
      <c r="Q5" s="2" t="s">
        <v>15</v>
      </c>
      <c r="R5" s="2" t="s">
        <v>16</v>
      </c>
      <c r="S5" s="2" t="s">
        <v>17</v>
      </c>
    </row>
    <row r="6" spans="1:19" x14ac:dyDescent="0.2">
      <c r="G6" s="2" t="s">
        <v>18</v>
      </c>
      <c r="H6" s="2" t="s">
        <v>18</v>
      </c>
      <c r="I6" s="2" t="s">
        <v>18</v>
      </c>
      <c r="J6" s="2" t="s">
        <v>18</v>
      </c>
      <c r="K6" s="2" t="s">
        <v>18</v>
      </c>
      <c r="L6" s="2" t="s">
        <v>18</v>
      </c>
      <c r="M6" s="2" t="s">
        <v>18</v>
      </c>
      <c r="N6" s="2" t="s">
        <v>18</v>
      </c>
      <c r="O6" s="2" t="s">
        <v>18</v>
      </c>
      <c r="P6" s="2" t="s">
        <v>18</v>
      </c>
      <c r="Q6" s="2" t="s">
        <v>18</v>
      </c>
      <c r="R6" s="2" t="s">
        <v>18</v>
      </c>
    </row>
    <row r="8" spans="1:19" ht="15" x14ac:dyDescent="0.25">
      <c r="A8" s="1" t="s">
        <v>19</v>
      </c>
    </row>
    <row r="10" spans="1:19" x14ac:dyDescent="0.2">
      <c r="A10" s="2" t="s">
        <v>20</v>
      </c>
      <c r="G10" s="3">
        <v>11100000</v>
      </c>
      <c r="H10" s="3">
        <v>10966000</v>
      </c>
      <c r="I10" s="3">
        <v>11373200</v>
      </c>
      <c r="J10" s="3">
        <v>12039969.800000001</v>
      </c>
      <c r="K10" s="3">
        <v>12338132.675199999</v>
      </c>
      <c r="L10" s="3">
        <v>12643681.549404798</v>
      </c>
      <c r="M10" s="3">
        <v>12953825.289541107</v>
      </c>
      <c r="N10" s="3">
        <v>13268543.257579757</v>
      </c>
      <c r="O10" s="3">
        <v>13594037.857144404</v>
      </c>
      <c r="P10" s="3">
        <v>13933888.803573012</v>
      </c>
      <c r="Q10" s="3">
        <v>14282236.023662338</v>
      </c>
      <c r="R10" s="3">
        <v>14635949.876432693</v>
      </c>
      <c r="S10" s="3">
        <v>14998426.366374601</v>
      </c>
    </row>
    <row r="11" spans="1:19" x14ac:dyDescent="0.2">
      <c r="A11" s="2" t="s">
        <v>21</v>
      </c>
      <c r="G11" s="3">
        <v>1602000</v>
      </c>
      <c r="H11" s="3">
        <v>1408000</v>
      </c>
      <c r="I11" s="3">
        <v>1538700</v>
      </c>
      <c r="J11" s="3">
        <v>1574090.0999999999</v>
      </c>
      <c r="K11" s="3">
        <v>1611868.2624000001</v>
      </c>
      <c r="L11" s="3">
        <v>1650553.1006976</v>
      </c>
      <c r="M11" s="3">
        <v>1688515.8220136447</v>
      </c>
      <c r="N11" s="3">
        <v>1725663.1700979448</v>
      </c>
      <c r="O11" s="3">
        <v>1765353.4230101977</v>
      </c>
      <c r="P11" s="3">
        <v>1809487.2585854521</v>
      </c>
      <c r="Q11" s="3">
        <v>1854724.4400500886</v>
      </c>
      <c r="R11" s="3">
        <v>1899237.8266112905</v>
      </c>
      <c r="S11" s="3">
        <v>1944819.534449962</v>
      </c>
    </row>
    <row r="12" spans="1:19" x14ac:dyDescent="0.2">
      <c r="A12" s="2" t="s">
        <v>22</v>
      </c>
      <c r="G12" s="3">
        <v>505000</v>
      </c>
      <c r="H12" s="3">
        <v>490000</v>
      </c>
      <c r="I12" s="3">
        <v>509320</v>
      </c>
      <c r="J12" s="3">
        <v>529617.80000000005</v>
      </c>
      <c r="K12" s="3">
        <v>628955.75470000005</v>
      </c>
      <c r="L12" s="3">
        <v>649388.2585003</v>
      </c>
      <c r="M12" s="3">
        <v>610487.5152019558</v>
      </c>
      <c r="N12" s="3">
        <v>571595.04871833301</v>
      </c>
      <c r="O12" s="3">
        <v>651259.29899973585</v>
      </c>
      <c r="P12" s="3">
        <v>730953.25728118129</v>
      </c>
      <c r="Q12" s="3">
        <v>751396.56451966148</v>
      </c>
      <c r="R12" s="3">
        <v>712582.28708026232</v>
      </c>
      <c r="S12" s="3">
        <v>713296.87946245854</v>
      </c>
    </row>
    <row r="13" spans="1:19" x14ac:dyDescent="0.2">
      <c r="A13" s="2" t="s">
        <v>23</v>
      </c>
      <c r="G13" s="3">
        <v>873000</v>
      </c>
      <c r="H13" s="3">
        <v>891000</v>
      </c>
      <c r="I13" s="3">
        <v>2166600</v>
      </c>
      <c r="J13" s="3">
        <v>1302710</v>
      </c>
      <c r="K13" s="3">
        <v>1352804.1475</v>
      </c>
      <c r="L13" s="3">
        <v>1303306.1622275</v>
      </c>
      <c r="M13" s="3">
        <v>1354444.7500931076</v>
      </c>
      <c r="N13" s="3">
        <v>1362647.1280267572</v>
      </c>
      <c r="O13" s="3">
        <v>1416034.4908163003</v>
      </c>
      <c r="P13" s="3">
        <v>1428890.3530867076</v>
      </c>
      <c r="Q13" s="3">
        <v>1486807.6119138754</v>
      </c>
      <c r="R13" s="3">
        <v>1499760.1601206777</v>
      </c>
      <c r="S13" s="3">
        <v>1559146.778622465</v>
      </c>
    </row>
    <row r="14" spans="1:19" x14ac:dyDescent="0.2">
      <c r="A14" s="2" t="s">
        <v>24</v>
      </c>
      <c r="G14" s="3">
        <v>1053000</v>
      </c>
      <c r="H14" s="3">
        <v>869000</v>
      </c>
      <c r="I14" s="3">
        <v>1012533</v>
      </c>
      <c r="J14" s="3">
        <v>754744.79999999993</v>
      </c>
      <c r="K14" s="3">
        <v>772527.82520000008</v>
      </c>
      <c r="L14" s="3">
        <v>790738.37175479985</v>
      </c>
      <c r="M14" s="3">
        <v>808641.60574266035</v>
      </c>
      <c r="N14" s="3">
        <v>826195.89515415498</v>
      </c>
      <c r="O14" s="3">
        <v>844917.75303422415</v>
      </c>
      <c r="P14" s="3">
        <v>865665.69686007942</v>
      </c>
      <c r="Q14" s="3">
        <v>886932.33928158158</v>
      </c>
      <c r="R14" s="3">
        <v>907893.36561405892</v>
      </c>
      <c r="S14" s="3">
        <v>929358.32283325866</v>
      </c>
    </row>
    <row r="15" spans="1:19" x14ac:dyDescent="0.2">
      <c r="A15" s="2" t="s">
        <v>25</v>
      </c>
      <c r="G15" s="3">
        <v>394000</v>
      </c>
      <c r="H15" s="3">
        <v>569000</v>
      </c>
      <c r="I15" s="3">
        <v>330000</v>
      </c>
      <c r="J15" s="3">
        <v>337589.99999999994</v>
      </c>
      <c r="K15" s="3">
        <v>345692.15999999997</v>
      </c>
      <c r="L15" s="3">
        <v>353988.77184</v>
      </c>
      <c r="M15" s="3">
        <v>362130.51359231997</v>
      </c>
      <c r="N15" s="3">
        <v>370097.38489135104</v>
      </c>
      <c r="O15" s="3">
        <v>378609.62474385207</v>
      </c>
      <c r="P15" s="3">
        <v>388074.86536244833</v>
      </c>
      <c r="Q15" s="3">
        <v>397776.73699650948</v>
      </c>
      <c r="R15" s="3">
        <v>407323.37868442573</v>
      </c>
      <c r="S15" s="3">
        <v>417099.13977285195</v>
      </c>
    </row>
    <row r="16" spans="1:19" x14ac:dyDescent="0.2"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x14ac:dyDescent="0.2">
      <c r="A17" s="4" t="s">
        <v>26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x14ac:dyDescent="0.2">
      <c r="A18" s="2" t="s">
        <v>27</v>
      </c>
      <c r="G18" s="3">
        <v>0</v>
      </c>
      <c r="H18" s="3">
        <v>0</v>
      </c>
      <c r="I18" s="3">
        <v>32900</v>
      </c>
      <c r="J18" s="3">
        <v>81600</v>
      </c>
      <c r="K18" s="3">
        <v>26700</v>
      </c>
      <c r="L18" s="3">
        <v>0</v>
      </c>
      <c r="M18" s="3">
        <v>0</v>
      </c>
      <c r="N18" s="3">
        <v>38100</v>
      </c>
      <c r="O18" s="3">
        <v>39700</v>
      </c>
      <c r="P18" s="3">
        <v>19800</v>
      </c>
      <c r="Q18" s="3">
        <v>64900</v>
      </c>
      <c r="R18" s="3">
        <v>19400</v>
      </c>
      <c r="S18" s="3">
        <v>19400</v>
      </c>
    </row>
    <row r="19" spans="1:19" x14ac:dyDescent="0.2">
      <c r="A19" s="2" t="s">
        <v>28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x14ac:dyDescent="0.2">
      <c r="A20" s="2" t="s">
        <v>29</v>
      </c>
      <c r="G20" s="3">
        <v>57000</v>
      </c>
      <c r="H20" s="3">
        <v>72000</v>
      </c>
      <c r="I20" s="3">
        <v>6000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</row>
    <row r="21" spans="1:19" x14ac:dyDescent="0.2"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x14ac:dyDescent="0.2">
      <c r="A22" s="2" t="s">
        <v>30</v>
      </c>
      <c r="G22" s="3">
        <v>15584000</v>
      </c>
      <c r="H22" s="3">
        <v>15265000</v>
      </c>
      <c r="I22" s="3">
        <v>16969253</v>
      </c>
      <c r="J22" s="3">
        <v>16620322.500000002</v>
      </c>
      <c r="K22" s="3">
        <v>17076680.824999996</v>
      </c>
      <c r="L22" s="3">
        <v>17391656.214424998</v>
      </c>
      <c r="M22" s="3">
        <v>17778045.496184796</v>
      </c>
      <c r="N22" s="3">
        <v>18162841.884468298</v>
      </c>
      <c r="O22" s="3">
        <v>18689912.447748713</v>
      </c>
      <c r="P22" s="3">
        <v>19176760.234748878</v>
      </c>
      <c r="Q22" s="3">
        <v>19724773.716424052</v>
      </c>
      <c r="R22" s="3">
        <v>20082146.894543409</v>
      </c>
      <c r="S22" s="3">
        <v>20581547.021515593</v>
      </c>
    </row>
    <row r="23" spans="1:19" x14ac:dyDescent="0.2"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" x14ac:dyDescent="0.25">
      <c r="A24" s="1" t="s">
        <v>31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x14ac:dyDescent="0.2"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x14ac:dyDescent="0.2">
      <c r="A26" s="2" t="s">
        <v>32</v>
      </c>
      <c r="G26" s="3">
        <v>5180000</v>
      </c>
      <c r="H26" s="3">
        <v>5330000</v>
      </c>
      <c r="I26" s="3">
        <v>6081070</v>
      </c>
      <c r="J26" s="3">
        <v>6228626.0499999998</v>
      </c>
      <c r="K26" s="3">
        <v>6409066.7134499988</v>
      </c>
      <c r="L26" s="3">
        <v>6638171.4004980475</v>
      </c>
      <c r="M26" s="3">
        <v>6889356.3496623486</v>
      </c>
      <c r="N26" s="3">
        <v>7141596.2208868088</v>
      </c>
      <c r="O26" s="3">
        <v>7390388.5295676747</v>
      </c>
      <c r="P26" s="3">
        <v>7660600.4397287071</v>
      </c>
      <c r="Q26" s="3">
        <v>7919887.185149801</v>
      </c>
      <c r="R26" s="3">
        <v>8185873.6033694223</v>
      </c>
      <c r="S26" s="3">
        <v>8462460.6115186978</v>
      </c>
    </row>
    <row r="27" spans="1:19" x14ac:dyDescent="0.2">
      <c r="A27" s="2" t="s">
        <v>33</v>
      </c>
      <c r="G27" s="3">
        <v>5000</v>
      </c>
      <c r="H27" s="3">
        <v>1000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</row>
    <row r="28" spans="1:19" x14ac:dyDescent="0.2">
      <c r="A28" s="2" t="s">
        <v>34</v>
      </c>
      <c r="G28" s="3">
        <v>6162000</v>
      </c>
      <c r="H28" s="3">
        <v>5080000</v>
      </c>
      <c r="I28" s="3">
        <v>5545263</v>
      </c>
      <c r="J28" s="3">
        <v>5512840.2319999998</v>
      </c>
      <c r="K28" s="3">
        <v>5586406.8405679986</v>
      </c>
      <c r="L28" s="3">
        <v>5682620.160474631</v>
      </c>
      <c r="M28" s="3">
        <v>5865683.9366615647</v>
      </c>
      <c r="N28" s="3">
        <v>5975229.2495116675</v>
      </c>
      <c r="O28" s="3">
        <v>6134692.7117893016</v>
      </c>
      <c r="P28" s="3">
        <v>6212218.5212809313</v>
      </c>
      <c r="Q28" s="3">
        <v>6402941.7939557908</v>
      </c>
      <c r="R28" s="3">
        <v>6532534.1458950108</v>
      </c>
      <c r="S28" s="3">
        <v>6761285.9556444604</v>
      </c>
    </row>
    <row r="29" spans="1:19" x14ac:dyDescent="0.2">
      <c r="A29" s="2" t="s">
        <v>35</v>
      </c>
      <c r="G29" s="3">
        <v>2249000</v>
      </c>
      <c r="H29" s="3">
        <v>2244000</v>
      </c>
      <c r="I29" s="3">
        <v>2227622</v>
      </c>
      <c r="J29" s="3">
        <v>2267324</v>
      </c>
      <c r="K29" s="3">
        <v>2311025</v>
      </c>
      <c r="L29" s="3">
        <v>2345645</v>
      </c>
      <c r="M29" s="3">
        <v>2386118</v>
      </c>
      <c r="N29" s="3">
        <v>2440882.7659999998</v>
      </c>
      <c r="O29" s="3">
        <v>2495949.0946180001</v>
      </c>
      <c r="P29" s="3">
        <v>2556191.9469834501</v>
      </c>
      <c r="Q29" s="3">
        <v>2620984.6206580363</v>
      </c>
      <c r="R29" s="3">
        <v>2680774.1315538287</v>
      </c>
      <c r="S29" s="3">
        <v>2706793.4707111209</v>
      </c>
    </row>
    <row r="30" spans="1:19" x14ac:dyDescent="0.2">
      <c r="A30" s="2" t="s">
        <v>36</v>
      </c>
      <c r="G30" s="3">
        <v>2179000</v>
      </c>
      <c r="H30" s="3">
        <v>2421000</v>
      </c>
      <c r="I30" s="3">
        <v>2565646</v>
      </c>
      <c r="J30" s="3">
        <v>2638511.5972499996</v>
      </c>
      <c r="K30" s="3">
        <v>2797253.5862812488</v>
      </c>
      <c r="L30" s="3">
        <v>2744823.03516958</v>
      </c>
      <c r="M30" s="3">
        <v>2814054.9647136275</v>
      </c>
      <c r="N30" s="3">
        <v>2883381.1491789315</v>
      </c>
      <c r="O30" s="3">
        <v>3056332.571827292</v>
      </c>
      <c r="P30" s="3">
        <v>3034927.5789478803</v>
      </c>
      <c r="Q30" s="3">
        <v>3115727.1286860332</v>
      </c>
      <c r="R30" s="3">
        <v>3196800.2976844553</v>
      </c>
      <c r="S30" s="3">
        <v>3280176.7010354623</v>
      </c>
    </row>
    <row r="31" spans="1:19" x14ac:dyDescent="0.2"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x14ac:dyDescent="0.2">
      <c r="A32" s="4" t="s">
        <v>36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x14ac:dyDescent="0.2">
      <c r="A33" s="2" t="s">
        <v>37</v>
      </c>
      <c r="G33" s="3">
        <v>295000</v>
      </c>
      <c r="H33" s="3">
        <v>198000</v>
      </c>
      <c r="I33" s="3">
        <v>194616</v>
      </c>
      <c r="J33" s="3">
        <v>209922.58499999999</v>
      </c>
      <c r="K33" s="3">
        <v>229702.83103999999</v>
      </c>
      <c r="L33" s="3">
        <v>208898.01098495998</v>
      </c>
      <c r="M33" s="3">
        <v>230861.67823761405</v>
      </c>
      <c r="N33" s="3">
        <v>223778.83515884157</v>
      </c>
      <c r="O33" s="3">
        <v>228925.7483674949</v>
      </c>
      <c r="P33" s="3">
        <v>234648.89207668224</v>
      </c>
      <c r="Q33" s="3">
        <v>240515.11437859928</v>
      </c>
      <c r="R33" s="3">
        <v>246287.47712368568</v>
      </c>
      <c r="S33" s="3">
        <v>252198.3765746541</v>
      </c>
    </row>
    <row r="34" spans="1:19" x14ac:dyDescent="0.2"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x14ac:dyDescent="0.2">
      <c r="A35" s="2" t="s">
        <v>38</v>
      </c>
      <c r="G35" s="3">
        <v>16070000</v>
      </c>
      <c r="H35" s="3">
        <v>15274000</v>
      </c>
      <c r="I35" s="3">
        <v>16614217</v>
      </c>
      <c r="J35" s="3">
        <v>16857224.464249998</v>
      </c>
      <c r="K35" s="3">
        <v>17333454.971339244</v>
      </c>
      <c r="L35" s="3">
        <v>17620157.607127219</v>
      </c>
      <c r="M35" s="3">
        <v>18186074.929275151</v>
      </c>
      <c r="N35" s="3">
        <v>18664868.22073625</v>
      </c>
      <c r="O35" s="3">
        <v>19306288.656169765</v>
      </c>
      <c r="P35" s="3">
        <v>19698587.379017651</v>
      </c>
      <c r="Q35" s="3">
        <v>20300055.842828259</v>
      </c>
      <c r="R35" s="3">
        <v>20842269.655626401</v>
      </c>
      <c r="S35" s="3">
        <v>21462915.115484394</v>
      </c>
    </row>
    <row r="36" spans="1:19" x14ac:dyDescent="0.2"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 x14ac:dyDescent="0.2">
      <c r="A37" s="2" t="s">
        <v>39</v>
      </c>
      <c r="G37" s="3">
        <v>-486000</v>
      </c>
      <c r="H37" s="3">
        <v>-9000</v>
      </c>
      <c r="I37" s="3">
        <v>355036</v>
      </c>
      <c r="J37" s="3">
        <v>-236901.96424999647</v>
      </c>
      <c r="K37" s="3">
        <v>-256774.14633924887</v>
      </c>
      <c r="L37" s="3">
        <v>-228501.39270222187</v>
      </c>
      <c r="M37" s="3">
        <v>-408029.43309035525</v>
      </c>
      <c r="N37" s="3">
        <v>-502026.33626795188</v>
      </c>
      <c r="O37" s="3">
        <v>-616376.2084210515</v>
      </c>
      <c r="P37" s="3">
        <v>-521827.1442687735</v>
      </c>
      <c r="Q37" s="3">
        <v>-575282.1264042072</v>
      </c>
      <c r="R37" s="3">
        <v>-760122.76108299196</v>
      </c>
      <c r="S37" s="3">
        <v>-881368.0939688012</v>
      </c>
    </row>
    <row r="38" spans="1:19" x14ac:dyDescent="0.2"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x14ac:dyDescent="0.2">
      <c r="A39" s="2" t="s">
        <v>40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x14ac:dyDescent="0.2">
      <c r="A40" s="2" t="s">
        <v>41</v>
      </c>
      <c r="G40" s="3">
        <v>-880000</v>
      </c>
      <c r="H40" s="3">
        <v>-578000</v>
      </c>
      <c r="I40" s="3">
        <v>25036</v>
      </c>
      <c r="J40" s="3">
        <v>-574491.96424999647</v>
      </c>
      <c r="K40" s="3">
        <v>-602466.30633924878</v>
      </c>
      <c r="L40" s="3">
        <v>-582490.16454222193</v>
      </c>
      <c r="M40" s="3">
        <v>-770159.94668267528</v>
      </c>
      <c r="N40" s="3">
        <v>-872123.72115930286</v>
      </c>
      <c r="O40" s="3">
        <v>-994985.83316490357</v>
      </c>
      <c r="P40" s="3">
        <v>-909902.00963122188</v>
      </c>
      <c r="Q40" s="3">
        <v>-973058.86340071668</v>
      </c>
      <c r="R40" s="3">
        <v>-1167446.1397674177</v>
      </c>
      <c r="S40" s="3">
        <v>-1298467.2337416532</v>
      </c>
    </row>
    <row r="43" spans="1:19" ht="15" x14ac:dyDescent="0.25">
      <c r="A43" s="1" t="s">
        <v>130</v>
      </c>
    </row>
    <row r="44" spans="1:19" ht="15" x14ac:dyDescent="0.25">
      <c r="A44" s="1" t="s">
        <v>42</v>
      </c>
    </row>
    <row r="45" spans="1:19" ht="15" x14ac:dyDescent="0.25">
      <c r="A45" s="1" t="s">
        <v>43</v>
      </c>
    </row>
    <row r="46" spans="1:19" x14ac:dyDescent="0.2">
      <c r="G46" s="2" t="s">
        <v>2</v>
      </c>
      <c r="H46" s="2" t="s">
        <v>2</v>
      </c>
      <c r="I46" s="2" t="s">
        <v>3</v>
      </c>
      <c r="J46" s="2" t="s">
        <v>4</v>
      </c>
      <c r="K46" s="2" t="s">
        <v>4</v>
      </c>
      <c r="L46" s="2" t="s">
        <v>4</v>
      </c>
      <c r="M46" s="2" t="s">
        <v>4</v>
      </c>
      <c r="N46" s="2" t="s">
        <v>4</v>
      </c>
      <c r="O46" s="2" t="s">
        <v>4</v>
      </c>
      <c r="P46" s="2" t="s">
        <v>4</v>
      </c>
      <c r="Q46" s="2" t="s">
        <v>4</v>
      </c>
      <c r="R46" s="2" t="s">
        <v>4</v>
      </c>
      <c r="S46" s="2" t="s">
        <v>4</v>
      </c>
    </row>
    <row r="47" spans="1:19" x14ac:dyDescent="0.2">
      <c r="G47" s="2" t="s">
        <v>5</v>
      </c>
      <c r="H47" s="2" t="s">
        <v>6</v>
      </c>
      <c r="I47" s="2" t="s">
        <v>7</v>
      </c>
      <c r="J47" s="2" t="s">
        <v>8</v>
      </c>
      <c r="K47" s="2" t="s">
        <v>9</v>
      </c>
      <c r="L47" s="2" t="s">
        <v>10</v>
      </c>
      <c r="M47" s="2" t="s">
        <v>11</v>
      </c>
      <c r="N47" s="2" t="s">
        <v>12</v>
      </c>
      <c r="O47" s="2" t="s">
        <v>13</v>
      </c>
      <c r="P47" s="2" t="s">
        <v>14</v>
      </c>
      <c r="Q47" s="2" t="s">
        <v>15</v>
      </c>
      <c r="R47" s="2" t="s">
        <v>16</v>
      </c>
      <c r="S47" s="2" t="s">
        <v>17</v>
      </c>
    </row>
    <row r="49" spans="1:19" x14ac:dyDescent="0.2">
      <c r="G49" s="2" t="s">
        <v>18</v>
      </c>
      <c r="H49" s="2" t="s">
        <v>18</v>
      </c>
      <c r="I49" s="2" t="s">
        <v>18</v>
      </c>
      <c r="J49" s="2" t="s">
        <v>18</v>
      </c>
      <c r="K49" s="2" t="s">
        <v>18</v>
      </c>
      <c r="L49" s="2" t="s">
        <v>18</v>
      </c>
      <c r="M49" s="2" t="s">
        <v>18</v>
      </c>
      <c r="N49" s="2" t="s">
        <v>18</v>
      </c>
      <c r="O49" s="2" t="s">
        <v>18</v>
      </c>
      <c r="P49" s="2" t="s">
        <v>18</v>
      </c>
      <c r="Q49" s="2" t="s">
        <v>18</v>
      </c>
      <c r="R49" s="2" t="s">
        <v>18</v>
      </c>
    </row>
    <row r="51" spans="1:19" x14ac:dyDescent="0.2">
      <c r="A51" s="2" t="s">
        <v>44</v>
      </c>
    </row>
    <row r="53" spans="1:19" x14ac:dyDescent="0.2">
      <c r="A53" s="2" t="s">
        <v>45</v>
      </c>
      <c r="G53" s="3">
        <v>16954000</v>
      </c>
      <c r="H53" s="3">
        <v>15898000</v>
      </c>
      <c r="I53" s="3">
        <v>16969253</v>
      </c>
      <c r="J53" s="3">
        <v>16620322.500000002</v>
      </c>
      <c r="K53" s="3">
        <v>17076680.824999996</v>
      </c>
      <c r="L53" s="3">
        <v>17391656.214424998</v>
      </c>
      <c r="M53" s="3">
        <v>17778045.496184796</v>
      </c>
      <c r="N53" s="3">
        <v>18162841.884468298</v>
      </c>
      <c r="O53" s="3">
        <v>18689912.447748713</v>
      </c>
      <c r="P53" s="3">
        <v>19176760.234748878</v>
      </c>
      <c r="Q53" s="3">
        <v>19724773.716424052</v>
      </c>
      <c r="R53" s="3">
        <v>20082146.894543409</v>
      </c>
      <c r="S53" s="3">
        <v>20581547.021515593</v>
      </c>
    </row>
    <row r="54" spans="1:19" x14ac:dyDescent="0.2">
      <c r="A54" s="2" t="s">
        <v>46</v>
      </c>
      <c r="G54" s="3">
        <v>-14350000</v>
      </c>
      <c r="H54" s="3">
        <v>-14124000</v>
      </c>
      <c r="I54" s="3">
        <v>-14627043</v>
      </c>
      <c r="J54" s="3">
        <v>-14588205.488249999</v>
      </c>
      <c r="K54" s="3">
        <v>-14960177.235915244</v>
      </c>
      <c r="L54" s="3">
        <v>-15179636.078053044</v>
      </c>
      <c r="M54" s="3">
        <v>-15703706.644743694</v>
      </c>
      <c r="N54" s="3">
        <v>-16174620.9891856</v>
      </c>
      <c r="O54" s="3">
        <v>-16647651.755768418</v>
      </c>
      <c r="P54" s="3">
        <v>-17058303.087125111</v>
      </c>
      <c r="Q54" s="3">
        <v>-17637451.018638406</v>
      </c>
      <c r="R54" s="3">
        <v>-18076114.515797265</v>
      </c>
      <c r="S54" s="3">
        <v>-18668226.24429936</v>
      </c>
    </row>
    <row r="55" spans="1:19" x14ac:dyDescent="0.2"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ht="15" x14ac:dyDescent="0.25">
      <c r="A56" s="1" t="s">
        <v>47</v>
      </c>
      <c r="G56" s="3">
        <v>2604000</v>
      </c>
      <c r="H56" s="3">
        <v>1774000</v>
      </c>
      <c r="I56" s="3">
        <v>2342210</v>
      </c>
      <c r="J56" s="3">
        <v>2032117.0117500033</v>
      </c>
      <c r="K56" s="3">
        <v>2116503.5890847519</v>
      </c>
      <c r="L56" s="3">
        <v>2212020.1363719534</v>
      </c>
      <c r="M56" s="3">
        <v>2074338.8514411021</v>
      </c>
      <c r="N56" s="3">
        <v>1988220.8952826988</v>
      </c>
      <c r="O56" s="3">
        <v>2042260.6919802949</v>
      </c>
      <c r="P56" s="3">
        <v>2118457.1476237662</v>
      </c>
      <c r="Q56" s="3">
        <v>2087322.6977856457</v>
      </c>
      <c r="R56" s="3">
        <v>2006032.3787461445</v>
      </c>
      <c r="S56" s="3">
        <v>1913320.7772162333</v>
      </c>
    </row>
    <row r="57" spans="1:19" x14ac:dyDescent="0.2"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</row>
    <row r="58" spans="1:19" ht="15" x14ac:dyDescent="0.25">
      <c r="A58" s="1" t="s">
        <v>48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spans="1:19" x14ac:dyDescent="0.2"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19" x14ac:dyDescent="0.2">
      <c r="A60" s="2" t="s">
        <v>45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19" x14ac:dyDescent="0.2">
      <c r="A61" s="2" t="s">
        <v>49</v>
      </c>
      <c r="G61" s="3">
        <v>86000</v>
      </c>
      <c r="H61" s="3">
        <v>108000</v>
      </c>
      <c r="I61" s="3">
        <v>167800</v>
      </c>
      <c r="J61" s="3">
        <v>91100</v>
      </c>
      <c r="K61" s="3">
        <v>140900</v>
      </c>
      <c r="L61" s="3">
        <v>101550</v>
      </c>
      <c r="M61" s="3">
        <v>85550</v>
      </c>
      <c r="N61" s="3">
        <v>132600</v>
      </c>
      <c r="O61" s="3">
        <v>67100</v>
      </c>
      <c r="P61" s="3">
        <v>55400</v>
      </c>
      <c r="Q61" s="3">
        <v>190750</v>
      </c>
      <c r="R61" s="3">
        <v>150100</v>
      </c>
      <c r="S61" s="3">
        <v>150101</v>
      </c>
    </row>
    <row r="62" spans="1:19" x14ac:dyDescent="0.2"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spans="1:19" x14ac:dyDescent="0.2">
      <c r="A63" s="2" t="s">
        <v>46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 spans="1:19" x14ac:dyDescent="0.2">
      <c r="A64" s="2" t="s">
        <v>50</v>
      </c>
      <c r="G64" s="3">
        <v>-2019000</v>
      </c>
      <c r="H64" s="3">
        <v>-1147000</v>
      </c>
      <c r="I64" s="3">
        <v>-2538551</v>
      </c>
      <c r="J64" s="3">
        <v>-2206652</v>
      </c>
      <c r="K64" s="3">
        <v>-2345047.7599999998</v>
      </c>
      <c r="L64" s="3">
        <v>-2198569.46624</v>
      </c>
      <c r="M64" s="3">
        <v>-2212988.82596352</v>
      </c>
      <c r="N64" s="3">
        <v>-2281527.5361347175</v>
      </c>
      <c r="O64" s="3">
        <v>-2566255.509465816</v>
      </c>
      <c r="P64" s="3">
        <v>-2184412.9222024614</v>
      </c>
      <c r="Q64" s="3">
        <v>-2484811.9202575227</v>
      </c>
      <c r="R64" s="3">
        <v>-2449029.5663437033</v>
      </c>
      <c r="S64" s="3">
        <v>-2493953.6839359524</v>
      </c>
    </row>
    <row r="65" spans="1:19" x14ac:dyDescent="0.2"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spans="1:19" ht="15" x14ac:dyDescent="0.25">
      <c r="A66" s="1" t="s">
        <v>51</v>
      </c>
      <c r="G66" s="3">
        <v>-1933000</v>
      </c>
      <c r="H66" s="3">
        <v>-1039000</v>
      </c>
      <c r="I66" s="3">
        <v>-2370751</v>
      </c>
      <c r="J66" s="3">
        <v>-2115552</v>
      </c>
      <c r="K66" s="3">
        <v>-2204147.7599999998</v>
      </c>
      <c r="L66" s="3">
        <v>-2097019.46624</v>
      </c>
      <c r="M66" s="3">
        <v>-2127438.82596352</v>
      </c>
      <c r="N66" s="3">
        <v>-2148927.5361347175</v>
      </c>
      <c r="O66" s="3">
        <v>-2499155.509465816</v>
      </c>
      <c r="P66" s="3">
        <v>-2129012.9222024614</v>
      </c>
      <c r="Q66" s="3">
        <v>-2294061.9202575227</v>
      </c>
      <c r="R66" s="3">
        <v>-2298929.5663437033</v>
      </c>
      <c r="S66" s="3">
        <v>-2343852.6839359524</v>
      </c>
    </row>
    <row r="67" spans="1:19" x14ac:dyDescent="0.2"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spans="1:19" ht="15" x14ac:dyDescent="0.25">
      <c r="A68" s="1" t="s">
        <v>52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spans="1:19" x14ac:dyDescent="0.2"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1:19" x14ac:dyDescent="0.2">
      <c r="A70" s="2" t="s">
        <v>45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1:19" x14ac:dyDescent="0.2">
      <c r="A71" s="2" t="s">
        <v>53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</row>
    <row r="72" spans="1:19" x14ac:dyDescent="0.2"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</row>
    <row r="73" spans="1:19" x14ac:dyDescent="0.2">
      <c r="A73" s="2" t="s">
        <v>46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19" x14ac:dyDescent="0.2">
      <c r="A74" s="2" t="s">
        <v>54</v>
      </c>
      <c r="G74" s="3">
        <v>-65000</v>
      </c>
      <c r="H74" s="3">
        <v>-34500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</row>
    <row r="75" spans="1:19" x14ac:dyDescent="0.2"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1:19" ht="15" x14ac:dyDescent="0.25">
      <c r="A76" s="1" t="s">
        <v>55</v>
      </c>
      <c r="G76" s="3">
        <v>-65000</v>
      </c>
      <c r="H76" s="3">
        <v>-34500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</row>
    <row r="77" spans="1:19" x14ac:dyDescent="0.2"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 spans="1:19" ht="15" x14ac:dyDescent="0.25">
      <c r="A78" s="1" t="s">
        <v>56</v>
      </c>
      <c r="G78" s="3">
        <v>606000</v>
      </c>
      <c r="H78" s="3">
        <v>700500</v>
      </c>
      <c r="I78" s="3">
        <v>-28541</v>
      </c>
      <c r="J78" s="3">
        <v>-83434.988249996677</v>
      </c>
      <c r="K78" s="3">
        <v>-87644.170915247872</v>
      </c>
      <c r="L78" s="3">
        <v>115000.67013195343</v>
      </c>
      <c r="M78" s="3">
        <v>-53099.974522417877</v>
      </c>
      <c r="N78" s="3">
        <v>-160706.64085201873</v>
      </c>
      <c r="O78" s="3">
        <v>-456894.81748552108</v>
      </c>
      <c r="P78" s="3">
        <v>-10555.774578695185</v>
      </c>
      <c r="Q78" s="3">
        <v>-206739.222471877</v>
      </c>
      <c r="R78" s="3">
        <v>-292897.18759755883</v>
      </c>
      <c r="S78" s="3">
        <v>-430531.90671971906</v>
      </c>
    </row>
    <row r="79" spans="1:19" x14ac:dyDescent="0.2"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</row>
    <row r="80" spans="1:19" ht="15" x14ac:dyDescent="0.25">
      <c r="A80" s="1" t="s">
        <v>57</v>
      </c>
      <c r="G80" s="3">
        <v>10333000</v>
      </c>
      <c r="H80" s="3">
        <v>19826000</v>
      </c>
      <c r="I80" s="3">
        <v>20526500</v>
      </c>
      <c r="J80" s="3">
        <v>20497959</v>
      </c>
      <c r="K80" s="3">
        <v>20414524.011750005</v>
      </c>
      <c r="L80" s="3">
        <v>20326879.840834759</v>
      </c>
      <c r="M80" s="3">
        <v>20441880.510966711</v>
      </c>
      <c r="N80" s="3">
        <v>20388780.536444291</v>
      </c>
      <c r="O80" s="3">
        <v>20228073.895592272</v>
      </c>
      <c r="P80" s="3">
        <v>19771179.07810675</v>
      </c>
      <c r="Q80" s="3">
        <v>19760623.303528056</v>
      </c>
      <c r="R80" s="3">
        <v>19553884.081056178</v>
      </c>
      <c r="S80" s="3">
        <v>19260986.89345862</v>
      </c>
    </row>
    <row r="81" spans="1:19" x14ac:dyDescent="0.2"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</row>
    <row r="82" spans="1:19" ht="15" x14ac:dyDescent="0.25">
      <c r="A82" s="1" t="s">
        <v>58</v>
      </c>
      <c r="G82" s="3">
        <v>19826000</v>
      </c>
      <c r="H82" s="3">
        <v>20526500</v>
      </c>
      <c r="I82" s="3">
        <v>20497959</v>
      </c>
      <c r="J82" s="3">
        <v>20414524.011750005</v>
      </c>
      <c r="K82" s="3">
        <v>20326879.840834759</v>
      </c>
      <c r="L82" s="3">
        <v>20441880.510966711</v>
      </c>
      <c r="M82" s="3">
        <v>20388780.536444291</v>
      </c>
      <c r="N82" s="3">
        <v>20228073.895592272</v>
      </c>
      <c r="O82" s="3">
        <v>19771179.07810675</v>
      </c>
      <c r="P82" s="3">
        <v>19760623.303528056</v>
      </c>
      <c r="Q82" s="3">
        <v>19553884.081056178</v>
      </c>
      <c r="R82" s="3">
        <v>19260986.89345862</v>
      </c>
      <c r="S82" s="3">
        <v>18830454.986738902</v>
      </c>
    </row>
    <row r="83" spans="1:19" x14ac:dyDescent="0.2"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</row>
    <row r="85" spans="1:19" ht="15" x14ac:dyDescent="0.25">
      <c r="A85" s="1" t="s">
        <v>130</v>
      </c>
    </row>
    <row r="86" spans="1:19" ht="15" x14ac:dyDescent="0.25">
      <c r="A86" s="1" t="s">
        <v>0</v>
      </c>
    </row>
    <row r="87" spans="1:19" ht="15" x14ac:dyDescent="0.25">
      <c r="A87" s="1" t="s">
        <v>59</v>
      </c>
    </row>
    <row r="88" spans="1:19" x14ac:dyDescent="0.2">
      <c r="G88" s="2" t="s">
        <v>2</v>
      </c>
      <c r="H88" s="2" t="s">
        <v>2</v>
      </c>
      <c r="I88" s="2" t="s">
        <v>3</v>
      </c>
      <c r="J88" s="2" t="s">
        <v>4</v>
      </c>
      <c r="K88" s="2" t="s">
        <v>4</v>
      </c>
      <c r="L88" s="2" t="s">
        <v>4</v>
      </c>
      <c r="M88" s="2" t="s">
        <v>4</v>
      </c>
      <c r="N88" s="2" t="s">
        <v>4</v>
      </c>
      <c r="O88" s="2" t="s">
        <v>4</v>
      </c>
      <c r="P88" s="2" t="s">
        <v>4</v>
      </c>
      <c r="Q88" s="2" t="s">
        <v>4</v>
      </c>
      <c r="R88" s="2" t="s">
        <v>4</v>
      </c>
      <c r="S88" s="2" t="s">
        <v>4</v>
      </c>
    </row>
    <row r="89" spans="1:19" x14ac:dyDescent="0.2">
      <c r="G89" s="2" t="s">
        <v>5</v>
      </c>
      <c r="H89" s="2" t="s">
        <v>6</v>
      </c>
      <c r="I89" s="2" t="s">
        <v>7</v>
      </c>
      <c r="J89" s="2" t="s">
        <v>8</v>
      </c>
      <c r="K89" s="2" t="s">
        <v>9</v>
      </c>
      <c r="L89" s="2" t="s">
        <v>10</v>
      </c>
      <c r="M89" s="2" t="s">
        <v>11</v>
      </c>
      <c r="N89" s="2" t="s">
        <v>12</v>
      </c>
      <c r="O89" s="2" t="s">
        <v>13</v>
      </c>
      <c r="P89" s="2" t="s">
        <v>14</v>
      </c>
      <c r="Q89" s="2" t="s">
        <v>15</v>
      </c>
      <c r="R89" s="2" t="s">
        <v>16</v>
      </c>
      <c r="S89" s="2" t="s">
        <v>17</v>
      </c>
    </row>
    <row r="91" spans="1:19" x14ac:dyDescent="0.2">
      <c r="G91" s="2" t="s">
        <v>18</v>
      </c>
      <c r="H91" s="2" t="s">
        <v>18</v>
      </c>
      <c r="I91" s="2" t="s">
        <v>18</v>
      </c>
      <c r="J91" s="2" t="s">
        <v>18</v>
      </c>
      <c r="K91" s="2" t="s">
        <v>18</v>
      </c>
      <c r="L91" s="2" t="s">
        <v>18</v>
      </c>
      <c r="M91" s="2" t="s">
        <v>18</v>
      </c>
      <c r="N91" s="2" t="s">
        <v>18</v>
      </c>
      <c r="O91" s="2" t="s">
        <v>18</v>
      </c>
      <c r="P91" s="2" t="s">
        <v>18</v>
      </c>
      <c r="Q91" s="2" t="s">
        <v>18</v>
      </c>
      <c r="R91" s="2" t="s">
        <v>18</v>
      </c>
    </row>
    <row r="93" spans="1:19" ht="15" x14ac:dyDescent="0.25">
      <c r="A93" s="1" t="s">
        <v>61</v>
      </c>
    </row>
    <row r="94" spans="1:19" ht="15" x14ac:dyDescent="0.25">
      <c r="A94" s="1" t="s">
        <v>62</v>
      </c>
    </row>
    <row r="95" spans="1:19" x14ac:dyDescent="0.2">
      <c r="A95" s="2" t="s">
        <v>63</v>
      </c>
      <c r="G95" s="3">
        <v>19826000</v>
      </c>
      <c r="H95" s="3">
        <v>20527000</v>
      </c>
      <c r="I95" s="3">
        <v>20497959</v>
      </c>
      <c r="J95" s="3">
        <v>20414524.011750005</v>
      </c>
      <c r="K95" s="3">
        <v>20326879.840834759</v>
      </c>
      <c r="L95" s="3">
        <v>20441880.510966711</v>
      </c>
      <c r="M95" s="3">
        <v>20388780.536444291</v>
      </c>
      <c r="N95" s="3">
        <v>20228073.895592272</v>
      </c>
      <c r="O95" s="3">
        <v>19771179.07810675</v>
      </c>
      <c r="P95" s="3">
        <v>19760623.303528056</v>
      </c>
      <c r="Q95" s="3">
        <v>19553884.081056178</v>
      </c>
      <c r="R95" s="3">
        <v>19260986.89345862</v>
      </c>
      <c r="S95" s="3">
        <v>18830454.986738902</v>
      </c>
    </row>
    <row r="96" spans="1:19" x14ac:dyDescent="0.2">
      <c r="A96" s="2" t="s">
        <v>64</v>
      </c>
      <c r="G96" s="3">
        <v>0</v>
      </c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</row>
    <row r="97" spans="1:19" x14ac:dyDescent="0.2">
      <c r="A97" s="2" t="s">
        <v>65</v>
      </c>
      <c r="G97" s="3">
        <v>836000</v>
      </c>
      <c r="H97" s="3">
        <v>970000</v>
      </c>
      <c r="I97" s="3">
        <v>993280</v>
      </c>
      <c r="J97" s="3">
        <v>1016125.4399999999</v>
      </c>
      <c r="K97" s="3">
        <v>1040512.4505599999</v>
      </c>
      <c r="L97" s="3">
        <v>1065484.7493734399</v>
      </c>
      <c r="M97" s="3">
        <v>1089990.8986090289</v>
      </c>
      <c r="N97" s="3">
        <v>1113970.6983784277</v>
      </c>
      <c r="O97" s="3">
        <v>1139592.0244411314</v>
      </c>
      <c r="P97" s="3">
        <v>1168081.8250521596</v>
      </c>
      <c r="Q97" s="3">
        <v>1197283.8706784635</v>
      </c>
      <c r="R97" s="3">
        <v>1226018.6835747466</v>
      </c>
      <c r="S97" s="3">
        <v>1255443.1319805405</v>
      </c>
    </row>
    <row r="98" spans="1:19" x14ac:dyDescent="0.2">
      <c r="A98" s="2" t="s">
        <v>66</v>
      </c>
      <c r="G98" s="3">
        <v>8000</v>
      </c>
      <c r="H98" s="3">
        <v>5000</v>
      </c>
      <c r="I98" s="3">
        <v>5120</v>
      </c>
      <c r="J98" s="3">
        <v>5237.7599999999993</v>
      </c>
      <c r="K98" s="3">
        <v>5363.4662399999997</v>
      </c>
      <c r="L98" s="3">
        <v>5492.1894297600002</v>
      </c>
      <c r="M98" s="3">
        <v>5618.5097866444794</v>
      </c>
      <c r="N98" s="3">
        <v>5742.1170019506581</v>
      </c>
      <c r="O98" s="3">
        <v>5874.1856929955229</v>
      </c>
      <c r="P98" s="3">
        <v>6021.0403353204101</v>
      </c>
      <c r="Q98" s="3">
        <v>6171.56634370342</v>
      </c>
      <c r="R98" s="3">
        <v>6319.6839359523019</v>
      </c>
      <c r="S98" s="3">
        <v>6471.3563504151571</v>
      </c>
    </row>
    <row r="99" spans="1:19" x14ac:dyDescent="0.2">
      <c r="A99" s="2" t="s">
        <v>67</v>
      </c>
      <c r="G99" s="3">
        <v>49000</v>
      </c>
      <c r="H99" s="3">
        <v>109000</v>
      </c>
      <c r="I99" s="3">
        <v>111616</v>
      </c>
      <c r="J99" s="3">
        <v>114183.16799999999</v>
      </c>
      <c r="K99" s="3">
        <v>116923.56403199999</v>
      </c>
      <c r="L99" s="3">
        <v>119729.729568768</v>
      </c>
      <c r="M99" s="3">
        <v>122483.51334884965</v>
      </c>
      <c r="N99" s="3">
        <v>125178.15064252434</v>
      </c>
      <c r="O99" s="3">
        <v>128057.2481073024</v>
      </c>
      <c r="P99" s="3">
        <v>131258.67930998493</v>
      </c>
      <c r="Q99" s="3">
        <v>134540.14629273454</v>
      </c>
      <c r="R99" s="3">
        <v>137769.10980376016</v>
      </c>
      <c r="S99" s="3">
        <v>141075.5684390504</v>
      </c>
    </row>
    <row r="100" spans="1:19" ht="15" x14ac:dyDescent="0.25">
      <c r="A100" s="1" t="s">
        <v>68</v>
      </c>
      <c r="G100" s="3">
        <v>20719000</v>
      </c>
      <c r="H100" s="3">
        <v>21611000</v>
      </c>
      <c r="I100" s="3">
        <v>21607975</v>
      </c>
      <c r="J100" s="3">
        <v>21550070.37975001</v>
      </c>
      <c r="K100" s="3">
        <v>21489679.321666759</v>
      </c>
      <c r="L100" s="3">
        <v>21632587.179338679</v>
      </c>
      <c r="M100" s="3">
        <v>21606873.458188813</v>
      </c>
      <c r="N100" s="3">
        <v>21472964.861615177</v>
      </c>
      <c r="O100" s="3">
        <v>21044702.536348179</v>
      </c>
      <c r="P100" s="3">
        <v>21065984.848225523</v>
      </c>
      <c r="Q100" s="3">
        <v>20891879.664371077</v>
      </c>
      <c r="R100" s="3">
        <v>20631094.370773077</v>
      </c>
      <c r="S100" s="3">
        <v>20233445.04350891</v>
      </c>
    </row>
    <row r="101" spans="1:19" x14ac:dyDescent="0.2"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</row>
    <row r="102" spans="1:19" ht="15" x14ac:dyDescent="0.25">
      <c r="A102" s="1" t="s">
        <v>69</v>
      </c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</row>
    <row r="103" spans="1:19" x14ac:dyDescent="0.2">
      <c r="A103" s="2" t="s">
        <v>65</v>
      </c>
      <c r="G103" s="3">
        <v>32000</v>
      </c>
      <c r="H103" s="3">
        <v>32000</v>
      </c>
      <c r="I103" s="3">
        <v>32768</v>
      </c>
      <c r="J103" s="3">
        <v>33521.663999999997</v>
      </c>
      <c r="K103" s="3">
        <v>34326.183936000001</v>
      </c>
      <c r="L103" s="3">
        <v>35150.012350464</v>
      </c>
      <c r="M103" s="3">
        <v>35958.462634524665</v>
      </c>
      <c r="N103" s="3">
        <v>36749.548812484209</v>
      </c>
      <c r="O103" s="3">
        <v>37594.788435171344</v>
      </c>
      <c r="P103" s="3">
        <v>38534.65814605062</v>
      </c>
      <c r="Q103" s="3">
        <v>39498.024599701879</v>
      </c>
      <c r="R103" s="3">
        <v>40445.977190094723</v>
      </c>
      <c r="S103" s="3">
        <v>41416.680642656996</v>
      </c>
    </row>
    <row r="104" spans="1:19" x14ac:dyDescent="0.2">
      <c r="A104" s="2" t="s">
        <v>70</v>
      </c>
      <c r="G104" s="3">
        <v>197227000</v>
      </c>
      <c r="H104" s="3">
        <v>209182000</v>
      </c>
      <c r="I104" s="3">
        <v>209357989</v>
      </c>
      <c r="J104" s="3">
        <v>209287849</v>
      </c>
      <c r="K104" s="3">
        <v>209207668.75999999</v>
      </c>
      <c r="L104" s="3">
        <v>208955251.22623998</v>
      </c>
      <c r="M104" s="3">
        <v>208689706.05220351</v>
      </c>
      <c r="N104" s="3">
        <v>208435850.82233822</v>
      </c>
      <c r="O104" s="3">
        <v>208369821.23718604</v>
      </c>
      <c r="P104" s="3">
        <v>207962464.21240506</v>
      </c>
      <c r="Q104" s="3">
        <v>207700433.51200452</v>
      </c>
      <c r="R104" s="3">
        <v>207338015.94679439</v>
      </c>
      <c r="S104" s="3">
        <v>206994503.16001922</v>
      </c>
    </row>
    <row r="105" spans="1:19" x14ac:dyDescent="0.2">
      <c r="A105" s="2" t="s">
        <v>67</v>
      </c>
      <c r="G105" s="3">
        <v>522000</v>
      </c>
      <c r="H105" s="3">
        <v>594000</v>
      </c>
      <c r="I105" s="3">
        <v>608256</v>
      </c>
      <c r="J105" s="3">
        <v>622245.88799999992</v>
      </c>
      <c r="K105" s="3">
        <v>637179.78931199992</v>
      </c>
      <c r="L105" s="3">
        <v>652472.10425548791</v>
      </c>
      <c r="M105" s="3">
        <v>667478.96265336405</v>
      </c>
      <c r="N105" s="3">
        <v>682163.49983173807</v>
      </c>
      <c r="O105" s="3">
        <v>697853.26032786793</v>
      </c>
      <c r="P105" s="3">
        <v>715299.59183606459</v>
      </c>
      <c r="Q105" s="3">
        <v>733182.08163196617</v>
      </c>
      <c r="R105" s="3">
        <v>750778.45159113337</v>
      </c>
      <c r="S105" s="3">
        <v>768797.13442932058</v>
      </c>
    </row>
    <row r="106" spans="1:19" ht="15" x14ac:dyDescent="0.25">
      <c r="A106" s="1" t="s">
        <v>71</v>
      </c>
      <c r="G106" s="3">
        <v>197781000</v>
      </c>
      <c r="H106" s="3">
        <v>209808000</v>
      </c>
      <c r="I106" s="3">
        <v>209999013</v>
      </c>
      <c r="J106" s="3">
        <v>209943616.55200002</v>
      </c>
      <c r="K106" s="3">
        <v>209879174.733248</v>
      </c>
      <c r="L106" s="3">
        <v>209642873.34284595</v>
      </c>
      <c r="M106" s="3">
        <v>209393143.47749141</v>
      </c>
      <c r="N106" s="3">
        <v>209154763.87098244</v>
      </c>
      <c r="O106" s="3">
        <v>209105269.28594908</v>
      </c>
      <c r="P106" s="3">
        <v>208716298.46238717</v>
      </c>
      <c r="Q106" s="3">
        <v>208473113.61823618</v>
      </c>
      <c r="R106" s="3">
        <v>208129240.37557563</v>
      </c>
      <c r="S106" s="3">
        <v>207804716.97509119</v>
      </c>
    </row>
    <row r="107" spans="1:19" x14ac:dyDescent="0.2"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</row>
    <row r="108" spans="1:19" ht="15" x14ac:dyDescent="0.25">
      <c r="A108" s="1" t="s">
        <v>72</v>
      </c>
      <c r="G108" s="3">
        <v>218500000</v>
      </c>
      <c r="H108" s="3">
        <v>231419000</v>
      </c>
      <c r="I108" s="3">
        <v>231606988</v>
      </c>
      <c r="J108" s="3">
        <v>231493686.93175003</v>
      </c>
      <c r="K108" s="3">
        <v>231368854.05491474</v>
      </c>
      <c r="L108" s="3">
        <v>231275460.52218461</v>
      </c>
      <c r="M108" s="3">
        <v>231000016.93568021</v>
      </c>
      <c r="N108" s="3">
        <v>230627728.73259762</v>
      </c>
      <c r="O108" s="3">
        <v>230149971.82229728</v>
      </c>
      <c r="P108" s="3">
        <v>229782283.31061271</v>
      </c>
      <c r="Q108" s="3">
        <v>229364993.28260726</v>
      </c>
      <c r="R108" s="3">
        <v>228760334.74634871</v>
      </c>
      <c r="S108" s="3">
        <v>228038162.01860011</v>
      </c>
    </row>
    <row r="109" spans="1:19" x14ac:dyDescent="0.2"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</row>
    <row r="110" spans="1:19" ht="15" x14ac:dyDescent="0.25">
      <c r="A110" s="1" t="s">
        <v>73</v>
      </c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</row>
    <row r="111" spans="1:19" x14ac:dyDescent="0.2"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</row>
    <row r="112" spans="1:19" ht="15" x14ac:dyDescent="0.25">
      <c r="A112" s="1" t="s">
        <v>74</v>
      </c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</row>
    <row r="113" spans="1:19" x14ac:dyDescent="0.2">
      <c r="A113" s="2" t="s">
        <v>75</v>
      </c>
      <c r="G113" s="3">
        <v>3743000</v>
      </c>
      <c r="H113" s="3">
        <v>3315000</v>
      </c>
      <c r="I113" s="3">
        <v>3394560</v>
      </c>
      <c r="J113" s="3">
        <v>3472634.88</v>
      </c>
      <c r="K113" s="3">
        <v>3555978.1171200001</v>
      </c>
      <c r="L113" s="3">
        <v>3641321.5919308802</v>
      </c>
      <c r="M113" s="3">
        <v>3725071.9885452902</v>
      </c>
      <c r="N113" s="3">
        <v>3807023.5722932867</v>
      </c>
      <c r="O113" s="3">
        <v>3894585.1144560319</v>
      </c>
      <c r="P113" s="3">
        <v>3991949.7423174325</v>
      </c>
      <c r="Q113" s="3">
        <v>4091748.4858753681</v>
      </c>
      <c r="R113" s="3">
        <v>4189950.4495363771</v>
      </c>
      <c r="S113" s="3">
        <v>4290509.2603252502</v>
      </c>
    </row>
    <row r="114" spans="1:19" x14ac:dyDescent="0.2">
      <c r="A114" s="2" t="s">
        <v>76</v>
      </c>
      <c r="G114" s="3">
        <v>273000</v>
      </c>
      <c r="H114" s="3">
        <v>293000</v>
      </c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</row>
    <row r="115" spans="1:19" x14ac:dyDescent="0.2">
      <c r="A115" s="2" t="s">
        <v>77</v>
      </c>
      <c r="G115" s="3">
        <v>34000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</row>
    <row r="116" spans="1:19" x14ac:dyDescent="0.2">
      <c r="A116" s="2" t="s">
        <v>78</v>
      </c>
      <c r="G116" s="3">
        <v>1924000</v>
      </c>
      <c r="H116" s="3">
        <v>1915000</v>
      </c>
      <c r="I116" s="3">
        <v>1960960</v>
      </c>
      <c r="J116" s="3">
        <v>2006062.0799999998</v>
      </c>
      <c r="K116" s="3">
        <v>2054207.5699199999</v>
      </c>
      <c r="L116" s="3">
        <v>2103508.55159808</v>
      </c>
      <c r="M116" s="3">
        <v>2151889.2482848358</v>
      </c>
      <c r="N116" s="3">
        <v>2199230.8117471021</v>
      </c>
      <c r="O116" s="3">
        <v>2249813.1204172852</v>
      </c>
      <c r="P116" s="3">
        <v>2306058.4484277172</v>
      </c>
      <c r="Q116" s="3">
        <v>2363709.90963841</v>
      </c>
      <c r="R116" s="3">
        <v>2420438.9474697318</v>
      </c>
      <c r="S116" s="3">
        <v>2478529.4822090054</v>
      </c>
    </row>
    <row r="117" spans="1:19" ht="15" x14ac:dyDescent="0.25">
      <c r="A117" s="1" t="s">
        <v>79</v>
      </c>
      <c r="G117" s="3">
        <v>5974000</v>
      </c>
      <c r="H117" s="3">
        <v>5523000</v>
      </c>
      <c r="I117" s="3">
        <v>5355520</v>
      </c>
      <c r="J117" s="3">
        <v>5478696.96</v>
      </c>
      <c r="K117" s="3">
        <v>5610185.6870400002</v>
      </c>
      <c r="L117" s="3">
        <v>5744830.1435289606</v>
      </c>
      <c r="M117" s="3">
        <v>5876961.2368301265</v>
      </c>
      <c r="N117" s="3">
        <v>6006254.3840403892</v>
      </c>
      <c r="O117" s="3">
        <v>6144398.2348733172</v>
      </c>
      <c r="P117" s="3">
        <v>6298008.1907451497</v>
      </c>
      <c r="Q117" s="3">
        <v>6455458.3955137786</v>
      </c>
      <c r="R117" s="3">
        <v>6610389.3970061094</v>
      </c>
      <c r="S117" s="3">
        <v>6769038.7425342556</v>
      </c>
    </row>
    <row r="118" spans="1:19" x14ac:dyDescent="0.2"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</row>
    <row r="119" spans="1:19" ht="15" x14ac:dyDescent="0.25">
      <c r="A119" s="1" t="s">
        <v>80</v>
      </c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</row>
    <row r="120" spans="1:19" x14ac:dyDescent="0.2">
      <c r="A120" s="2" t="s">
        <v>75</v>
      </c>
      <c r="G120" s="3">
        <v>0</v>
      </c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</row>
    <row r="121" spans="1:19" x14ac:dyDescent="0.2">
      <c r="A121" s="2" t="s">
        <v>77</v>
      </c>
      <c r="G121" s="3">
        <v>0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3">
        <v>0</v>
      </c>
      <c r="O121" s="3">
        <v>0</v>
      </c>
      <c r="P121" s="3">
        <v>0</v>
      </c>
      <c r="Q121" s="3">
        <v>0</v>
      </c>
      <c r="R121" s="3">
        <v>0</v>
      </c>
      <c r="S121" s="3">
        <v>0</v>
      </c>
    </row>
    <row r="122" spans="1:19" x14ac:dyDescent="0.2">
      <c r="A122" s="2" t="s">
        <v>78</v>
      </c>
      <c r="G122" s="3">
        <v>10000</v>
      </c>
      <c r="H122" s="3">
        <v>18000</v>
      </c>
      <c r="I122" s="3">
        <v>18432</v>
      </c>
      <c r="J122" s="3">
        <v>18855.935999999998</v>
      </c>
      <c r="K122" s="3">
        <v>19308.478464</v>
      </c>
      <c r="L122" s="3">
        <v>19771.881947136</v>
      </c>
      <c r="M122" s="3">
        <v>20226.635231920125</v>
      </c>
      <c r="N122" s="3">
        <v>20671.621207022366</v>
      </c>
      <c r="O122" s="3">
        <v>21147.068494783878</v>
      </c>
      <c r="P122" s="3">
        <v>21675.745207153472</v>
      </c>
      <c r="Q122" s="3">
        <v>22217.638837332306</v>
      </c>
      <c r="R122" s="3">
        <v>22750.862169428281</v>
      </c>
      <c r="S122" s="3">
        <v>23296.88286149456</v>
      </c>
    </row>
    <row r="123" spans="1:19" ht="15" x14ac:dyDescent="0.25">
      <c r="A123" s="1" t="s">
        <v>81</v>
      </c>
      <c r="G123" s="3">
        <v>10000</v>
      </c>
      <c r="H123" s="3">
        <v>18000</v>
      </c>
      <c r="I123" s="3">
        <v>18432</v>
      </c>
      <c r="J123" s="3">
        <v>18855.935999999998</v>
      </c>
      <c r="K123" s="3">
        <v>19308.478464</v>
      </c>
      <c r="L123" s="3">
        <v>19771.881947136</v>
      </c>
      <c r="M123" s="3">
        <v>20226.635231920125</v>
      </c>
      <c r="N123" s="3">
        <v>20671.621207022366</v>
      </c>
      <c r="O123" s="3">
        <v>21147.068494783878</v>
      </c>
      <c r="P123" s="3">
        <v>21675.745207153472</v>
      </c>
      <c r="Q123" s="3">
        <v>22217.638837332306</v>
      </c>
      <c r="R123" s="3">
        <v>22750.862169428281</v>
      </c>
      <c r="S123" s="3">
        <v>23296.88286149456</v>
      </c>
    </row>
    <row r="124" spans="1:19" x14ac:dyDescent="0.2"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</row>
    <row r="125" spans="1:19" ht="15" x14ac:dyDescent="0.25">
      <c r="A125" s="1" t="s">
        <v>82</v>
      </c>
      <c r="G125" s="3">
        <v>5984000</v>
      </c>
      <c r="H125" s="3">
        <v>5541000</v>
      </c>
      <c r="I125" s="3">
        <v>5373952</v>
      </c>
      <c r="J125" s="3">
        <v>5497552.8959999997</v>
      </c>
      <c r="K125" s="3">
        <v>5629494.1655040001</v>
      </c>
      <c r="L125" s="3">
        <v>5764602.0254760962</v>
      </c>
      <c r="M125" s="3">
        <v>5897187.872062047</v>
      </c>
      <c r="N125" s="3">
        <v>6026926.0052474113</v>
      </c>
      <c r="O125" s="3">
        <v>6165545.3033681009</v>
      </c>
      <c r="P125" s="3">
        <v>6319683.935952303</v>
      </c>
      <c r="Q125" s="3">
        <v>6477676.0343511105</v>
      </c>
      <c r="R125" s="3">
        <v>6633140.2591755381</v>
      </c>
      <c r="S125" s="3">
        <v>6792335.6253957506</v>
      </c>
    </row>
    <row r="126" spans="1:19" x14ac:dyDescent="0.2"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</row>
    <row r="127" spans="1:19" ht="15" x14ac:dyDescent="0.25">
      <c r="A127" s="1" t="s">
        <v>83</v>
      </c>
      <c r="G127" s="3">
        <v>212516000</v>
      </c>
      <c r="H127" s="3">
        <v>225878000</v>
      </c>
      <c r="I127" s="3">
        <v>226233036</v>
      </c>
      <c r="J127" s="3">
        <v>225996134.03575003</v>
      </c>
      <c r="K127" s="3">
        <v>225739359.88941073</v>
      </c>
      <c r="L127" s="3">
        <v>225510858.49670851</v>
      </c>
      <c r="M127" s="3">
        <v>225102829.06361815</v>
      </c>
      <c r="N127" s="3">
        <v>224600802.72735021</v>
      </c>
      <c r="O127" s="3">
        <v>223984426.51892918</v>
      </c>
      <c r="P127" s="3">
        <v>223462599.3746604</v>
      </c>
      <c r="Q127" s="3">
        <v>222887317.24825615</v>
      </c>
      <c r="R127" s="3">
        <v>222127194.48717317</v>
      </c>
      <c r="S127" s="3">
        <v>221245826.39320436</v>
      </c>
    </row>
    <row r="128" spans="1:19" x14ac:dyDescent="0.2"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</row>
    <row r="129" spans="1:19" ht="15" x14ac:dyDescent="0.25">
      <c r="A129" s="1" t="s">
        <v>84</v>
      </c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</row>
    <row r="130" spans="1:19" x14ac:dyDescent="0.2">
      <c r="A130" s="2" t="s">
        <v>85</v>
      </c>
      <c r="G130" s="3">
        <v>109656000</v>
      </c>
      <c r="H130" s="3">
        <v>109647000</v>
      </c>
      <c r="I130" s="3">
        <v>110002036</v>
      </c>
      <c r="J130" s="3">
        <v>109765134.03575</v>
      </c>
      <c r="K130" s="3">
        <v>109508359.88941075</v>
      </c>
      <c r="L130" s="3">
        <v>109279858.49670853</v>
      </c>
      <c r="M130" s="3">
        <v>108871829.06361817</v>
      </c>
      <c r="N130" s="3">
        <v>108369802.72735022</v>
      </c>
      <c r="O130" s="3">
        <v>107753426.51892917</v>
      </c>
      <c r="P130" s="3">
        <v>107231599.3746604</v>
      </c>
      <c r="Q130" s="3">
        <v>106656317.24825619</v>
      </c>
      <c r="R130" s="3">
        <v>105896194.4871732</v>
      </c>
      <c r="S130" s="3">
        <v>105014826.39320439</v>
      </c>
    </row>
    <row r="131" spans="1:19" x14ac:dyDescent="0.2">
      <c r="A131" s="2" t="s">
        <v>86</v>
      </c>
      <c r="G131" s="3">
        <v>102860000</v>
      </c>
      <c r="H131" s="3">
        <v>116231000</v>
      </c>
      <c r="I131" s="3">
        <v>116231000</v>
      </c>
      <c r="J131" s="3">
        <v>116231000</v>
      </c>
      <c r="K131" s="3">
        <v>116231000</v>
      </c>
      <c r="L131" s="3">
        <v>116231000</v>
      </c>
      <c r="M131" s="3">
        <v>116231000</v>
      </c>
      <c r="N131" s="3">
        <v>116231000</v>
      </c>
      <c r="O131" s="3">
        <v>116231000</v>
      </c>
      <c r="P131" s="3">
        <v>116231000</v>
      </c>
      <c r="Q131" s="3">
        <v>116231000</v>
      </c>
      <c r="R131" s="3">
        <v>116231000</v>
      </c>
      <c r="S131" s="3">
        <v>116231000</v>
      </c>
    </row>
    <row r="132" spans="1:19" x14ac:dyDescent="0.2">
      <c r="A132" s="2" t="s">
        <v>87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</row>
    <row r="133" spans="1:19" x14ac:dyDescent="0.2">
      <c r="A133" s="2" t="s">
        <v>88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</row>
    <row r="134" spans="1:19" ht="15" x14ac:dyDescent="0.25">
      <c r="A134" s="1" t="s">
        <v>89</v>
      </c>
      <c r="G134" s="3">
        <v>212516000</v>
      </c>
      <c r="H134" s="3">
        <v>225878000</v>
      </c>
      <c r="I134" s="3">
        <v>226233036</v>
      </c>
      <c r="J134" s="3">
        <v>225996134.03575</v>
      </c>
      <c r="K134" s="3">
        <v>225739359.88941073</v>
      </c>
      <c r="L134" s="3">
        <v>225510858.49670851</v>
      </c>
      <c r="M134" s="3">
        <v>225102829.06361818</v>
      </c>
      <c r="N134" s="3">
        <v>224600802.72735023</v>
      </c>
      <c r="O134" s="3">
        <v>223984426.51892918</v>
      </c>
      <c r="P134" s="3">
        <v>223462599.3746604</v>
      </c>
      <c r="Q134" s="3">
        <v>222887317.24825621</v>
      </c>
      <c r="R134" s="3">
        <v>222127194.4871732</v>
      </c>
      <c r="S134" s="3">
        <v>221245826.39320439</v>
      </c>
    </row>
    <row r="137" spans="1:19" ht="15" x14ac:dyDescent="0.25">
      <c r="A137" s="1" t="s">
        <v>130</v>
      </c>
    </row>
    <row r="138" spans="1:19" ht="15" x14ac:dyDescent="0.25">
      <c r="A138" s="1" t="s">
        <v>42</v>
      </c>
    </row>
    <row r="139" spans="1:19" ht="15" x14ac:dyDescent="0.25">
      <c r="A139" s="1" t="s">
        <v>90</v>
      </c>
    </row>
    <row r="140" spans="1:19" x14ac:dyDescent="0.2">
      <c r="G140" s="2" t="s">
        <v>2</v>
      </c>
      <c r="H140" s="2" t="s">
        <v>4</v>
      </c>
      <c r="I140" s="2" t="s">
        <v>4</v>
      </c>
      <c r="J140" s="2" t="s">
        <v>4</v>
      </c>
      <c r="K140" s="2" t="s">
        <v>4</v>
      </c>
      <c r="L140" s="2" t="s">
        <v>4</v>
      </c>
      <c r="M140" s="2" t="s">
        <v>4</v>
      </c>
      <c r="N140" s="2" t="s">
        <v>4</v>
      </c>
      <c r="O140" s="2" t="s">
        <v>4</v>
      </c>
      <c r="P140" s="2" t="s">
        <v>4</v>
      </c>
      <c r="Q140" s="2" t="s">
        <v>4</v>
      </c>
      <c r="R140" s="2" t="s">
        <v>4</v>
      </c>
      <c r="S140" s="2" t="s">
        <v>4</v>
      </c>
    </row>
    <row r="141" spans="1:19" x14ac:dyDescent="0.2">
      <c r="G141" s="2" t="s">
        <v>5</v>
      </c>
      <c r="H141" s="2" t="s">
        <v>6</v>
      </c>
      <c r="I141" s="2" t="s">
        <v>7</v>
      </c>
      <c r="J141" s="2" t="s">
        <v>8</v>
      </c>
      <c r="K141" s="2" t="s">
        <v>9</v>
      </c>
      <c r="L141" s="2" t="s">
        <v>10</v>
      </c>
      <c r="M141" s="2" t="s">
        <v>11</v>
      </c>
      <c r="N141" s="2" t="s">
        <v>12</v>
      </c>
      <c r="O141" s="2" t="s">
        <v>13</v>
      </c>
      <c r="P141" s="2" t="s">
        <v>14</v>
      </c>
      <c r="Q141" s="2" t="s">
        <v>15</v>
      </c>
      <c r="R141" s="2" t="s">
        <v>16</v>
      </c>
      <c r="S141" s="2" t="s">
        <v>17</v>
      </c>
    </row>
    <row r="143" spans="1:19" x14ac:dyDescent="0.2">
      <c r="G143" s="2" t="s">
        <v>18</v>
      </c>
      <c r="H143" s="2" t="s">
        <v>18</v>
      </c>
      <c r="I143" s="2" t="s">
        <v>18</v>
      </c>
      <c r="J143" s="2" t="s">
        <v>18</v>
      </c>
      <c r="K143" s="2" t="s">
        <v>18</v>
      </c>
      <c r="L143" s="2" t="s">
        <v>18</v>
      </c>
      <c r="M143" s="2" t="s">
        <v>18</v>
      </c>
      <c r="N143" s="2" t="s">
        <v>18</v>
      </c>
      <c r="O143" s="2" t="s">
        <v>18</v>
      </c>
      <c r="P143" s="2" t="s">
        <v>18</v>
      </c>
      <c r="Q143" s="2" t="s">
        <v>18</v>
      </c>
      <c r="R143" s="2" t="s">
        <v>18</v>
      </c>
    </row>
    <row r="145" spans="1:19" ht="15" x14ac:dyDescent="0.25">
      <c r="A145" s="1" t="s">
        <v>90</v>
      </c>
    </row>
    <row r="146" spans="1:19" x14ac:dyDescent="0.2">
      <c r="A146" s="2" t="s">
        <v>91</v>
      </c>
      <c r="G146" s="3">
        <v>95000</v>
      </c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</row>
    <row r="147" spans="1:19" x14ac:dyDescent="0.2">
      <c r="A147" s="2" t="s">
        <v>92</v>
      </c>
      <c r="G147" s="3">
        <v>198000</v>
      </c>
      <c r="H147" s="3">
        <v>291900</v>
      </c>
      <c r="I147" s="3">
        <v>453900</v>
      </c>
      <c r="J147" s="3">
        <v>233315</v>
      </c>
      <c r="K147" s="3">
        <v>308737.76</v>
      </c>
      <c r="L147" s="3">
        <v>246388.46624000001</v>
      </c>
      <c r="M147" s="3">
        <v>229346.82596352001</v>
      </c>
      <c r="N147" s="3">
        <v>326507.5361347174</v>
      </c>
      <c r="O147" s="3">
        <v>445936.50946581597</v>
      </c>
      <c r="P147" s="3">
        <v>145279.92220246134</v>
      </c>
      <c r="Q147" s="3">
        <v>415976.92025752284</v>
      </c>
      <c r="R147" s="3">
        <v>365646.56634370342</v>
      </c>
      <c r="S147" s="3">
        <v>365794.68393595231</v>
      </c>
    </row>
    <row r="148" spans="1:19" x14ac:dyDescent="0.2">
      <c r="A148" s="2" t="s">
        <v>93</v>
      </c>
      <c r="G148" s="3">
        <v>53000</v>
      </c>
      <c r="H148" s="3">
        <v>169709</v>
      </c>
      <c r="I148" s="3">
        <v>581000</v>
      </c>
      <c r="J148" s="3">
        <v>92000</v>
      </c>
      <c r="K148" s="3">
        <v>55000</v>
      </c>
      <c r="L148" s="3">
        <v>100000</v>
      </c>
      <c r="M148" s="3">
        <v>94000</v>
      </c>
      <c r="N148" s="3">
        <v>55000</v>
      </c>
      <c r="O148" s="3">
        <v>90000</v>
      </c>
      <c r="P148" s="3">
        <v>55000</v>
      </c>
      <c r="Q148" s="3">
        <v>55000</v>
      </c>
      <c r="R148" s="3">
        <v>55000</v>
      </c>
      <c r="S148" s="3">
        <v>55000</v>
      </c>
    </row>
    <row r="149" spans="1:19" x14ac:dyDescent="0.2">
      <c r="A149" s="2" t="s">
        <v>94</v>
      </c>
      <c r="G149" s="3">
        <v>23000</v>
      </c>
      <c r="H149" s="3">
        <v>25000</v>
      </c>
      <c r="I149" s="3">
        <v>0</v>
      </c>
      <c r="J149" s="3">
        <v>175000</v>
      </c>
      <c r="K149" s="3">
        <v>43000</v>
      </c>
      <c r="L149" s="3">
        <v>100000</v>
      </c>
      <c r="M149" s="3">
        <v>25000</v>
      </c>
      <c r="N149" s="3">
        <v>190000</v>
      </c>
      <c r="O149" s="3">
        <v>55000</v>
      </c>
      <c r="P149" s="3">
        <v>0</v>
      </c>
      <c r="Q149" s="3">
        <v>90000</v>
      </c>
      <c r="R149" s="3">
        <v>0</v>
      </c>
      <c r="S149" s="3">
        <v>160000</v>
      </c>
    </row>
    <row r="150" spans="1:19" x14ac:dyDescent="0.2">
      <c r="A150" s="2" t="s">
        <v>95</v>
      </c>
      <c r="G150" s="3"/>
      <c r="H150" s="3"/>
      <c r="I150" s="3"/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3">
        <v>0</v>
      </c>
      <c r="P150" s="3">
        <v>0</v>
      </c>
      <c r="Q150" s="3">
        <v>0</v>
      </c>
      <c r="R150" s="3">
        <v>0</v>
      </c>
      <c r="S150" s="3">
        <v>0</v>
      </c>
    </row>
    <row r="151" spans="1:19" x14ac:dyDescent="0.2">
      <c r="A151" s="2" t="s">
        <v>96</v>
      </c>
      <c r="G151" s="3"/>
      <c r="H151" s="3"/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3">
        <v>0</v>
      </c>
      <c r="P151" s="3">
        <v>0</v>
      </c>
      <c r="Q151" s="3">
        <v>0</v>
      </c>
      <c r="R151" s="3">
        <v>0</v>
      </c>
      <c r="S151" s="3">
        <v>0</v>
      </c>
    </row>
    <row r="152" spans="1:19" x14ac:dyDescent="0.2">
      <c r="A152" s="2" t="s">
        <v>97</v>
      </c>
      <c r="G152" s="3"/>
      <c r="H152" s="3"/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3">
        <v>0</v>
      </c>
      <c r="P152" s="3">
        <v>0</v>
      </c>
      <c r="Q152" s="3">
        <v>0</v>
      </c>
      <c r="R152" s="3">
        <v>0</v>
      </c>
      <c r="S152" s="3">
        <v>0</v>
      </c>
    </row>
    <row r="153" spans="1:19" x14ac:dyDescent="0.2">
      <c r="A153" s="2" t="s">
        <v>98</v>
      </c>
      <c r="G153" s="3"/>
      <c r="H153" s="3"/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>
        <v>0</v>
      </c>
      <c r="S153" s="3">
        <v>0</v>
      </c>
    </row>
    <row r="154" spans="1:19" x14ac:dyDescent="0.2">
      <c r="A154" s="2" t="s">
        <v>99</v>
      </c>
      <c r="G154" s="3"/>
      <c r="H154" s="3">
        <v>50000</v>
      </c>
      <c r="I154" s="3">
        <v>0</v>
      </c>
      <c r="J154" s="3">
        <v>0</v>
      </c>
      <c r="K154" s="3">
        <v>0</v>
      </c>
      <c r="L154" s="3">
        <v>25000</v>
      </c>
      <c r="M154" s="3">
        <v>25000</v>
      </c>
      <c r="N154" s="3">
        <v>0</v>
      </c>
      <c r="O154" s="3">
        <v>115000</v>
      </c>
      <c r="P154" s="3">
        <v>70000</v>
      </c>
      <c r="Q154" s="3">
        <v>40000</v>
      </c>
      <c r="R154" s="3">
        <v>65000</v>
      </c>
      <c r="S154" s="3">
        <v>0</v>
      </c>
    </row>
    <row r="155" spans="1:19" x14ac:dyDescent="0.2">
      <c r="A155" s="2" t="s">
        <v>100</v>
      </c>
      <c r="G155" s="3">
        <v>55000</v>
      </c>
      <c r="H155" s="3">
        <v>410000</v>
      </c>
      <c r="I155" s="3">
        <v>373418</v>
      </c>
      <c r="J155" s="3">
        <v>0</v>
      </c>
      <c r="K155" s="3">
        <v>172846</v>
      </c>
      <c r="L155" s="3">
        <v>201994</v>
      </c>
      <c r="M155" s="3">
        <v>366065</v>
      </c>
      <c r="N155" s="3">
        <v>185049</v>
      </c>
      <c r="O155" s="3">
        <v>189305</v>
      </c>
      <c r="P155" s="3">
        <v>194037</v>
      </c>
      <c r="Q155" s="3">
        <v>243888</v>
      </c>
      <c r="R155" s="3">
        <v>203662</v>
      </c>
      <c r="S155" s="3">
        <v>208550</v>
      </c>
    </row>
    <row r="156" spans="1:19" x14ac:dyDescent="0.2">
      <c r="A156" s="2" t="s">
        <v>101</v>
      </c>
      <c r="G156" s="3">
        <v>30000</v>
      </c>
      <c r="H156" s="3">
        <v>796027</v>
      </c>
      <c r="I156" s="3">
        <v>50000</v>
      </c>
      <c r="J156" s="3">
        <v>301295</v>
      </c>
      <c r="K156" s="3">
        <v>155000</v>
      </c>
      <c r="L156" s="3">
        <v>152500</v>
      </c>
      <c r="M156" s="3">
        <v>232500</v>
      </c>
      <c r="N156" s="3">
        <v>90000</v>
      </c>
      <c r="O156" s="3">
        <v>307500</v>
      </c>
      <c r="P156" s="3">
        <v>102500</v>
      </c>
      <c r="Q156" s="3">
        <v>167500</v>
      </c>
      <c r="R156" s="3">
        <v>102500</v>
      </c>
      <c r="S156" s="3">
        <v>182500</v>
      </c>
    </row>
    <row r="157" spans="1:19" x14ac:dyDescent="0.2">
      <c r="A157" s="2" t="s">
        <v>102</v>
      </c>
      <c r="G157" s="3">
        <v>219000</v>
      </c>
      <c r="H157" s="3">
        <v>606105</v>
      </c>
      <c r="I157" s="3">
        <v>214490</v>
      </c>
      <c r="J157" s="3">
        <v>171112</v>
      </c>
      <c r="K157" s="3">
        <v>408565</v>
      </c>
      <c r="L157" s="3">
        <v>313877</v>
      </c>
      <c r="M157" s="3">
        <v>216109</v>
      </c>
      <c r="N157" s="3">
        <v>365893</v>
      </c>
      <c r="O157" s="3">
        <v>244363</v>
      </c>
      <c r="P157" s="3">
        <v>409095</v>
      </c>
      <c r="Q157" s="3">
        <v>343946</v>
      </c>
      <c r="R157" s="3">
        <v>528720</v>
      </c>
      <c r="S157" s="3">
        <v>343608</v>
      </c>
    </row>
    <row r="158" spans="1:19" x14ac:dyDescent="0.2">
      <c r="A158" s="2" t="s">
        <v>103</v>
      </c>
      <c r="G158" s="3">
        <v>1209000</v>
      </c>
      <c r="H158" s="3">
        <v>590142</v>
      </c>
      <c r="I158" s="3">
        <v>559285</v>
      </c>
      <c r="J158" s="3">
        <v>788465</v>
      </c>
      <c r="K158" s="3">
        <v>915775</v>
      </c>
      <c r="L158" s="3">
        <v>746049</v>
      </c>
      <c r="M158" s="3">
        <v>744843</v>
      </c>
      <c r="N158" s="3">
        <v>726931</v>
      </c>
      <c r="O158" s="3">
        <v>838786</v>
      </c>
      <c r="P158" s="3">
        <v>918786</v>
      </c>
      <c r="Q158" s="3">
        <v>838786</v>
      </c>
      <c r="R158" s="3">
        <v>838786</v>
      </c>
      <c r="S158" s="3">
        <v>888786</v>
      </c>
    </row>
    <row r="159" spans="1:19" x14ac:dyDescent="0.2">
      <c r="A159" s="2" t="s">
        <v>104</v>
      </c>
      <c r="G159" s="3">
        <v>173000</v>
      </c>
      <c r="H159" s="3">
        <v>740669</v>
      </c>
      <c r="I159" s="3">
        <v>161655</v>
      </c>
      <c r="J159" s="3">
        <v>103050</v>
      </c>
      <c r="K159" s="3">
        <v>112620</v>
      </c>
      <c r="L159" s="3">
        <v>118850</v>
      </c>
      <c r="M159" s="3">
        <v>125200</v>
      </c>
      <c r="N159" s="3">
        <v>127720</v>
      </c>
      <c r="O159" s="3">
        <v>120650</v>
      </c>
      <c r="P159" s="3">
        <v>130000</v>
      </c>
      <c r="Q159" s="3">
        <v>130000</v>
      </c>
      <c r="R159" s="3">
        <v>130000</v>
      </c>
      <c r="S159" s="3">
        <v>130000</v>
      </c>
    </row>
    <row r="160" spans="1:19" x14ac:dyDescent="0.2">
      <c r="A160" s="2" t="s">
        <v>105</v>
      </c>
      <c r="G160" s="3">
        <v>362000</v>
      </c>
      <c r="H160" s="3">
        <v>100297</v>
      </c>
      <c r="I160" s="3">
        <v>98416</v>
      </c>
      <c r="J160" s="3">
        <v>89325</v>
      </c>
      <c r="K160" s="3">
        <v>98000</v>
      </c>
      <c r="L160" s="3">
        <v>81550</v>
      </c>
      <c r="M160" s="3">
        <v>96000</v>
      </c>
      <c r="N160" s="3">
        <v>92627</v>
      </c>
      <c r="O160" s="3">
        <v>111087</v>
      </c>
      <c r="P160" s="3">
        <v>111087</v>
      </c>
      <c r="Q160" s="3">
        <v>111087</v>
      </c>
      <c r="R160" s="3">
        <v>111087</v>
      </c>
      <c r="S160" s="3">
        <v>111087</v>
      </c>
    </row>
    <row r="161" spans="1:19" x14ac:dyDescent="0.2">
      <c r="A161" s="2" t="s">
        <v>106</v>
      </c>
      <c r="G161" s="3">
        <v>174000</v>
      </c>
      <c r="H161" s="3">
        <v>121502</v>
      </c>
      <c r="I161" s="3">
        <v>46387</v>
      </c>
      <c r="J161" s="3">
        <v>253090</v>
      </c>
      <c r="K161" s="3">
        <v>75504</v>
      </c>
      <c r="L161" s="3">
        <v>112361</v>
      </c>
      <c r="M161" s="3">
        <v>58925</v>
      </c>
      <c r="N161" s="3">
        <v>121800</v>
      </c>
      <c r="O161" s="3">
        <v>48628</v>
      </c>
      <c r="P161" s="3">
        <v>48628</v>
      </c>
      <c r="Q161" s="3">
        <v>48628</v>
      </c>
      <c r="R161" s="3">
        <v>48628</v>
      </c>
      <c r="S161" s="3">
        <v>48628</v>
      </c>
    </row>
    <row r="162" spans="1:19" ht="15" x14ac:dyDescent="0.25">
      <c r="A162" s="1" t="s">
        <v>107</v>
      </c>
      <c r="G162" s="3">
        <v>2591000</v>
      </c>
      <c r="H162" s="3">
        <v>3901351</v>
      </c>
      <c r="I162" s="3">
        <v>2538551</v>
      </c>
      <c r="J162" s="3">
        <v>2206652</v>
      </c>
      <c r="K162" s="3">
        <v>2345047.7599999998</v>
      </c>
      <c r="L162" s="3">
        <v>2198569.46624</v>
      </c>
      <c r="M162" s="3">
        <v>2212988.82596352</v>
      </c>
      <c r="N162" s="3">
        <v>2281527.5361347175</v>
      </c>
      <c r="O162" s="3">
        <v>2566255.509465816</v>
      </c>
      <c r="P162" s="3">
        <v>2184412.9222024614</v>
      </c>
      <c r="Q162" s="3">
        <v>2484811.9202575227</v>
      </c>
      <c r="R162" s="3">
        <v>2449029.5663437033</v>
      </c>
      <c r="S162" s="3">
        <v>2493953.6839359524</v>
      </c>
    </row>
    <row r="166" spans="1:19" ht="15" x14ac:dyDescent="0.25">
      <c r="A166" s="1" t="s">
        <v>130</v>
      </c>
    </row>
    <row r="167" spans="1:19" ht="15" x14ac:dyDescent="0.25">
      <c r="A167" s="1" t="s">
        <v>108</v>
      </c>
    </row>
    <row r="169" spans="1:19" x14ac:dyDescent="0.2">
      <c r="A169" s="7"/>
      <c r="B169" s="7"/>
      <c r="C169" s="7"/>
      <c r="D169" s="7"/>
      <c r="E169" s="7"/>
      <c r="F169" s="36" t="s">
        <v>2</v>
      </c>
      <c r="G169" s="36" t="s">
        <v>2</v>
      </c>
      <c r="H169" s="36" t="s">
        <v>2</v>
      </c>
      <c r="I169" s="36" t="s">
        <v>4</v>
      </c>
      <c r="J169" s="36" t="s">
        <v>4</v>
      </c>
      <c r="K169" s="36" t="s">
        <v>4</v>
      </c>
      <c r="L169" s="36" t="s">
        <v>4</v>
      </c>
      <c r="M169" s="36" t="s">
        <v>4</v>
      </c>
      <c r="N169" s="36" t="s">
        <v>4</v>
      </c>
      <c r="O169" s="36" t="s">
        <v>4</v>
      </c>
      <c r="P169" s="36" t="s">
        <v>4</v>
      </c>
      <c r="Q169" s="37" t="s">
        <v>4</v>
      </c>
      <c r="R169" s="37" t="s">
        <v>4</v>
      </c>
      <c r="S169" s="37" t="s">
        <v>4</v>
      </c>
    </row>
    <row r="170" spans="1:19" x14ac:dyDescent="0.2">
      <c r="A170" s="7"/>
      <c r="B170" s="7"/>
      <c r="C170" s="7"/>
      <c r="D170" s="7"/>
      <c r="E170" s="7"/>
      <c r="F170" s="36" t="s">
        <v>60</v>
      </c>
      <c r="G170" s="36" t="s">
        <v>5</v>
      </c>
      <c r="H170" s="36" t="s">
        <v>6</v>
      </c>
      <c r="I170" s="36" t="s">
        <v>7</v>
      </c>
      <c r="J170" s="36" t="s">
        <v>8</v>
      </c>
      <c r="K170" s="36" t="s">
        <v>9</v>
      </c>
      <c r="L170" s="36" t="s">
        <v>10</v>
      </c>
      <c r="M170" s="36" t="s">
        <v>11</v>
      </c>
      <c r="N170" s="36" t="s">
        <v>12</v>
      </c>
      <c r="O170" s="36" t="s">
        <v>13</v>
      </c>
      <c r="P170" s="36" t="s">
        <v>14</v>
      </c>
      <c r="Q170" s="36" t="s">
        <v>15</v>
      </c>
      <c r="R170" s="36" t="s">
        <v>16</v>
      </c>
      <c r="S170" s="37" t="s">
        <v>17</v>
      </c>
    </row>
    <row r="171" spans="1:19" ht="15" x14ac:dyDescent="0.25">
      <c r="A171" s="7"/>
      <c r="B171" s="7"/>
      <c r="C171" s="7"/>
      <c r="D171" s="7"/>
      <c r="E171" s="7"/>
      <c r="F171" s="33"/>
      <c r="G171" s="33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6"/>
    </row>
    <row r="172" spans="1:19" x14ac:dyDescent="0.2">
      <c r="A172" s="9" t="s">
        <v>112</v>
      </c>
      <c r="B172" s="7"/>
      <c r="C172" s="7"/>
      <c r="D172" s="7"/>
      <c r="E172" s="7"/>
      <c r="F172" s="24">
        <v>-5.6800000000000003E-2</v>
      </c>
      <c r="G172" s="24">
        <v>-4.24E-2</v>
      </c>
      <c r="H172" s="24">
        <v>-3.09E-2</v>
      </c>
      <c r="I172" s="24">
        <v>1.12E-2</v>
      </c>
      <c r="J172" s="24">
        <v>-2.75E-2</v>
      </c>
      <c r="K172" s="24">
        <v>-2.3900000000000001E-2</v>
      </c>
      <c r="L172" s="24">
        <v>-2.1899999999999999E-2</v>
      </c>
      <c r="M172" s="24">
        <v>-3.1E-2</v>
      </c>
      <c r="N172" s="24">
        <v>-3.8699999999999998E-2</v>
      </c>
      <c r="O172" s="24">
        <v>-4.41E-2</v>
      </c>
      <c r="P172" s="24">
        <v>-3.6999999999999998E-2</v>
      </c>
      <c r="Q172" s="24">
        <v>-4.1399999999999999E-2</v>
      </c>
      <c r="R172" s="24">
        <v>-4.7899999999999998E-2</v>
      </c>
      <c r="S172" s="25">
        <v>-5.2900000000000003E-2</v>
      </c>
    </row>
    <row r="173" spans="1:19" x14ac:dyDescent="0.2">
      <c r="A173" s="7"/>
      <c r="B173" s="7"/>
      <c r="C173" s="7"/>
      <c r="D173" s="7"/>
      <c r="E173" s="7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6"/>
    </row>
    <row r="174" spans="1:19" x14ac:dyDescent="0.2">
      <c r="A174" s="9" t="s">
        <v>113</v>
      </c>
      <c r="B174" s="7"/>
      <c r="C174" s="7"/>
      <c r="D174" s="7"/>
      <c r="E174" s="7"/>
      <c r="F174" s="24">
        <v>0.89959999999999996</v>
      </c>
      <c r="G174" s="24">
        <v>0.90680000000000005</v>
      </c>
      <c r="H174" s="24">
        <v>0.90539999999999998</v>
      </c>
      <c r="I174" s="24">
        <v>0.92069999999999996</v>
      </c>
      <c r="J174" s="24">
        <v>0.93400000000000005</v>
      </c>
      <c r="K174" s="24">
        <v>0.93440000000000001</v>
      </c>
      <c r="L174" s="24">
        <v>0.93420000000000003</v>
      </c>
      <c r="M174" s="24">
        <v>0.93410000000000004</v>
      </c>
      <c r="N174" s="24">
        <v>0.93400000000000005</v>
      </c>
      <c r="O174" s="24">
        <v>0.93440000000000001</v>
      </c>
      <c r="P174" s="24">
        <v>0.93459999999999999</v>
      </c>
      <c r="Q174" s="24">
        <v>0.93469999999999998</v>
      </c>
      <c r="R174" s="24">
        <v>0.93440000000000001</v>
      </c>
      <c r="S174" s="25">
        <v>0.9345</v>
      </c>
    </row>
    <row r="175" spans="1:19" x14ac:dyDescent="0.2">
      <c r="A175" s="7"/>
      <c r="B175" s="7"/>
      <c r="C175" s="7"/>
      <c r="D175" s="7"/>
      <c r="E175" s="7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6"/>
    </row>
    <row r="176" spans="1:19" x14ac:dyDescent="0.2">
      <c r="A176" s="7" t="s">
        <v>114</v>
      </c>
      <c r="B176" s="7"/>
      <c r="C176" s="7"/>
      <c r="D176" s="7"/>
      <c r="E176" s="7"/>
      <c r="F176" s="26">
        <v>7.57</v>
      </c>
      <c r="G176" s="26">
        <v>7.35</v>
      </c>
      <c r="H176" s="26">
        <v>8.6999999999999993</v>
      </c>
      <c r="I176" s="26">
        <v>6.13</v>
      </c>
      <c r="J176" s="26">
        <v>5.97</v>
      </c>
      <c r="K176" s="26">
        <v>5.81</v>
      </c>
      <c r="L176" s="26">
        <v>5.71</v>
      </c>
      <c r="M176" s="26">
        <v>5.57</v>
      </c>
      <c r="N176" s="26">
        <v>5.41</v>
      </c>
      <c r="O176" s="26">
        <v>5.17</v>
      </c>
      <c r="P176" s="26">
        <v>5.05</v>
      </c>
      <c r="Q176" s="26">
        <v>4.88</v>
      </c>
      <c r="R176" s="26">
        <v>4.7</v>
      </c>
      <c r="S176" s="6">
        <v>4.72</v>
      </c>
    </row>
    <row r="177" spans="1:22" x14ac:dyDescent="0.2">
      <c r="A177" s="7"/>
      <c r="B177" s="7"/>
      <c r="C177" s="7"/>
      <c r="D177" s="7"/>
      <c r="E177" s="7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6"/>
    </row>
    <row r="178" spans="1:22" x14ac:dyDescent="0.2">
      <c r="A178" s="7" t="s">
        <v>115</v>
      </c>
      <c r="B178" s="7"/>
      <c r="C178" s="7"/>
      <c r="D178" s="7"/>
      <c r="E178" s="7"/>
      <c r="F178" s="26">
        <v>20.56</v>
      </c>
      <c r="G178" s="26">
        <v>23.03</v>
      </c>
      <c r="H178" s="26">
        <v>51.23</v>
      </c>
      <c r="I178" s="21">
        <v>0</v>
      </c>
      <c r="J178" s="21">
        <v>0</v>
      </c>
      <c r="K178" s="21">
        <v>0</v>
      </c>
      <c r="L178" s="21">
        <v>0</v>
      </c>
      <c r="M178" s="21">
        <v>0</v>
      </c>
      <c r="N178" s="21">
        <v>0</v>
      </c>
      <c r="O178" s="21">
        <v>0</v>
      </c>
      <c r="P178" s="21">
        <v>0</v>
      </c>
      <c r="Q178" s="21">
        <v>0</v>
      </c>
      <c r="R178" s="21">
        <v>0</v>
      </c>
      <c r="S178" s="6">
        <v>0</v>
      </c>
    </row>
    <row r="179" spans="1:22" x14ac:dyDescent="0.2">
      <c r="A179" s="7"/>
      <c r="B179" s="7"/>
      <c r="C179" s="7"/>
      <c r="D179" s="7"/>
      <c r="E179" s="7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6"/>
    </row>
    <row r="180" spans="1:22" x14ac:dyDescent="0.2">
      <c r="A180" s="7" t="s">
        <v>116</v>
      </c>
      <c r="B180" s="7"/>
      <c r="C180" s="7"/>
      <c r="D180" s="7"/>
      <c r="E180" s="7"/>
      <c r="F180" s="24">
        <v>2.8400000000000002E-2</v>
      </c>
      <c r="G180" s="24">
        <v>2.9499999999999998E-2</v>
      </c>
      <c r="H180" s="24">
        <v>2.4899999999999999E-2</v>
      </c>
      <c r="I180" s="24">
        <v>2.4899999999999999E-2</v>
      </c>
      <c r="J180" s="24">
        <v>2.35E-2</v>
      </c>
      <c r="K180" s="24">
        <v>2.35E-2</v>
      </c>
      <c r="L180" s="24">
        <v>2.35E-2</v>
      </c>
      <c r="M180" s="24">
        <v>2.3400000000000001E-2</v>
      </c>
      <c r="N180" s="24">
        <v>2.3400000000000001E-2</v>
      </c>
      <c r="O180" s="24">
        <v>2.3300000000000001E-2</v>
      </c>
      <c r="P180" s="24">
        <v>2.3300000000000001E-2</v>
      </c>
      <c r="Q180" s="24">
        <v>2.3300000000000001E-2</v>
      </c>
      <c r="R180" s="24">
        <v>2.3300000000000001E-2</v>
      </c>
      <c r="S180" s="25">
        <v>2.3300000000000001E-2</v>
      </c>
    </row>
    <row r="181" spans="1:22" x14ac:dyDescent="0.2">
      <c r="A181" s="7"/>
      <c r="B181" s="7"/>
      <c r="C181" s="7"/>
      <c r="D181" s="7"/>
      <c r="E181" s="7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6"/>
    </row>
    <row r="182" spans="1:22" x14ac:dyDescent="0.2">
      <c r="A182" s="9" t="s">
        <v>117</v>
      </c>
      <c r="B182" s="7"/>
      <c r="C182" s="7"/>
      <c r="D182" s="7"/>
      <c r="E182" s="7"/>
      <c r="F182" s="26">
        <v>16.39</v>
      </c>
      <c r="G182" s="26">
        <v>16.5</v>
      </c>
      <c r="H182" s="26">
        <v>17.399999999999999</v>
      </c>
      <c r="I182" s="26">
        <v>17.100000000000001</v>
      </c>
      <c r="J182" s="26">
        <v>16.79</v>
      </c>
      <c r="K182" s="26">
        <v>16.239999999999998</v>
      </c>
      <c r="L182" s="26">
        <v>16.059999999999999</v>
      </c>
      <c r="M182" s="26">
        <v>15.49</v>
      </c>
      <c r="N182" s="26">
        <v>14.96</v>
      </c>
      <c r="O182" s="26">
        <v>14.11</v>
      </c>
      <c r="P182" s="26">
        <v>13.83</v>
      </c>
      <c r="Q182" s="26">
        <v>13.27</v>
      </c>
      <c r="R182" s="26">
        <v>12.73</v>
      </c>
      <c r="S182" s="6">
        <v>12.05</v>
      </c>
    </row>
    <row r="183" spans="1:22" x14ac:dyDescent="0.2">
      <c r="A183" s="7"/>
      <c r="B183" s="7"/>
      <c r="C183" s="7"/>
      <c r="D183" s="7"/>
      <c r="E183" s="7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6"/>
    </row>
    <row r="184" spans="1:22" x14ac:dyDescent="0.2">
      <c r="A184" s="7" t="s">
        <v>118</v>
      </c>
      <c r="B184" s="7"/>
      <c r="C184" s="7"/>
      <c r="D184" s="7"/>
      <c r="E184" s="7"/>
      <c r="F184" s="24">
        <v>1.0498000000000001</v>
      </c>
      <c r="G184" s="24">
        <v>0.76559999999999995</v>
      </c>
      <c r="H184" s="24">
        <v>0.36359999999999998</v>
      </c>
      <c r="I184" s="24">
        <v>0.72789999999999999</v>
      </c>
      <c r="J184" s="24">
        <v>0.81279999999999997</v>
      </c>
      <c r="K184" s="24">
        <v>0.88419999999999999</v>
      </c>
      <c r="L184" s="24">
        <v>0.79720000000000002</v>
      </c>
      <c r="M184" s="24">
        <v>0.75409999999999999</v>
      </c>
      <c r="N184" s="24">
        <v>0.76029999999999998</v>
      </c>
      <c r="O184" s="24">
        <v>0.72160000000000002</v>
      </c>
      <c r="P184" s="24">
        <v>0.81169999999999998</v>
      </c>
      <c r="Q184" s="24">
        <v>0.77939999999999998</v>
      </c>
      <c r="R184" s="24">
        <v>0.79379999999999995</v>
      </c>
      <c r="S184" s="25">
        <v>0.76539999999999997</v>
      </c>
    </row>
    <row r="185" spans="1:22" x14ac:dyDescent="0.2">
      <c r="A185" s="7"/>
      <c r="B185" s="7"/>
      <c r="C185" s="7"/>
      <c r="D185" s="7"/>
      <c r="E185" s="7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6"/>
    </row>
    <row r="186" spans="1:22" x14ac:dyDescent="0.2">
      <c r="A186" s="9" t="s">
        <v>119</v>
      </c>
      <c r="B186" s="7"/>
      <c r="C186" s="7"/>
      <c r="D186" s="7"/>
      <c r="E186" s="7"/>
      <c r="F186" s="24">
        <v>2.1499999999999998E-2</v>
      </c>
      <c r="G186" s="24">
        <v>1.9099999999999999E-2</v>
      </c>
      <c r="H186" s="24">
        <v>2.0400000000000001E-2</v>
      </c>
      <c r="I186" s="24">
        <v>2.0199999999999999E-2</v>
      </c>
      <c r="J186" s="24">
        <v>1.03E-2</v>
      </c>
      <c r="K186" s="24">
        <v>1.03E-2</v>
      </c>
      <c r="L186" s="24">
        <v>1.03E-2</v>
      </c>
      <c r="M186" s="24">
        <v>1.03E-2</v>
      </c>
      <c r="N186" s="24">
        <v>1.03E-2</v>
      </c>
      <c r="O186" s="24">
        <v>1.03E-2</v>
      </c>
      <c r="P186" s="27">
        <v>1.03E-2</v>
      </c>
      <c r="Q186" s="27">
        <v>1.03E-2</v>
      </c>
      <c r="R186" s="27">
        <v>1.03E-2</v>
      </c>
      <c r="S186" s="24">
        <v>1.03E-2</v>
      </c>
    </row>
    <row r="187" spans="1:22" x14ac:dyDescent="0.2">
      <c r="A187" s="7"/>
      <c r="B187" s="7"/>
      <c r="C187" s="7"/>
      <c r="D187" s="7"/>
      <c r="E187" s="7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</row>
    <row r="188" spans="1:22" x14ac:dyDescent="0.2">
      <c r="A188" s="9" t="s">
        <v>120</v>
      </c>
      <c r="B188" s="7"/>
      <c r="C188" s="7"/>
      <c r="D188" s="7"/>
      <c r="E188" s="7"/>
      <c r="F188" s="26">
        <v>0.83</v>
      </c>
      <c r="G188" s="26">
        <v>1.06</v>
      </c>
      <c r="H188" s="26">
        <v>0.79</v>
      </c>
      <c r="I188" s="26">
        <v>1</v>
      </c>
      <c r="J188" s="26">
        <v>1</v>
      </c>
      <c r="K188" s="26">
        <v>1</v>
      </c>
      <c r="L188" s="26">
        <v>1</v>
      </c>
      <c r="M188" s="26">
        <v>1</v>
      </c>
      <c r="N188" s="26">
        <v>1</v>
      </c>
      <c r="O188" s="26">
        <v>1</v>
      </c>
      <c r="P188" s="26">
        <v>1</v>
      </c>
      <c r="Q188" s="26">
        <v>1</v>
      </c>
      <c r="R188" s="26">
        <v>1</v>
      </c>
      <c r="S188" s="26">
        <v>1</v>
      </c>
    </row>
    <row r="189" spans="1:22" x14ac:dyDescent="0.2">
      <c r="A189" s="7"/>
      <c r="B189" s="7"/>
      <c r="C189" s="7"/>
      <c r="D189" s="7"/>
      <c r="E189" s="7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7"/>
      <c r="U189" s="7"/>
    </row>
    <row r="190" spans="1:22" x14ac:dyDescent="0.2">
      <c r="A190" s="7"/>
      <c r="B190" s="7"/>
      <c r="C190" s="7"/>
      <c r="D190" s="7"/>
      <c r="E190" s="7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7"/>
      <c r="U190" s="7"/>
      <c r="V190" s="7"/>
    </row>
    <row r="191" spans="1:22" x14ac:dyDescent="0.2">
      <c r="A191" s="7"/>
      <c r="B191" s="7"/>
      <c r="C191" s="7"/>
      <c r="D191" s="7"/>
      <c r="E191" s="7"/>
      <c r="F191" s="38" t="s">
        <v>4</v>
      </c>
      <c r="G191" s="38" t="s">
        <v>4</v>
      </c>
      <c r="H191" s="38" t="s">
        <v>4</v>
      </c>
      <c r="I191" s="38" t="s">
        <v>4</v>
      </c>
      <c r="J191" s="38" t="s">
        <v>4</v>
      </c>
      <c r="K191" s="38" t="s">
        <v>4</v>
      </c>
      <c r="L191" s="38" t="s">
        <v>4</v>
      </c>
      <c r="M191" s="38" t="s">
        <v>4</v>
      </c>
      <c r="N191" s="38" t="s">
        <v>4</v>
      </c>
      <c r="O191" s="38" t="s">
        <v>4</v>
      </c>
      <c r="P191" s="38" t="s">
        <v>4</v>
      </c>
      <c r="Q191" s="39" t="s">
        <v>4</v>
      </c>
      <c r="R191" s="39" t="s">
        <v>4</v>
      </c>
      <c r="S191" s="39" t="s">
        <v>4</v>
      </c>
    </row>
    <row r="192" spans="1:22" x14ac:dyDescent="0.2">
      <c r="A192" s="7"/>
      <c r="B192" s="7"/>
      <c r="C192" s="7"/>
      <c r="D192" s="7"/>
      <c r="E192" s="7"/>
      <c r="F192" s="38" t="s">
        <v>60</v>
      </c>
      <c r="G192" s="38" t="s">
        <v>5</v>
      </c>
      <c r="H192" s="38" t="s">
        <v>6</v>
      </c>
      <c r="I192" s="38" t="s">
        <v>7</v>
      </c>
      <c r="J192" s="38" t="s">
        <v>8</v>
      </c>
      <c r="K192" s="38" t="s">
        <v>9</v>
      </c>
      <c r="L192" s="38" t="s">
        <v>10</v>
      </c>
      <c r="M192" s="38" t="s">
        <v>11</v>
      </c>
      <c r="N192" s="38" t="s">
        <v>12</v>
      </c>
      <c r="O192" s="38" t="s">
        <v>13</v>
      </c>
      <c r="P192" s="38" t="s">
        <v>14</v>
      </c>
      <c r="Q192" s="38" t="s">
        <v>15</v>
      </c>
      <c r="R192" s="38" t="s">
        <v>16</v>
      </c>
      <c r="S192" s="39" t="s">
        <v>17</v>
      </c>
    </row>
    <row r="193" spans="1:23" ht="15" x14ac:dyDescent="0.25">
      <c r="A193" s="15" t="s">
        <v>121</v>
      </c>
      <c r="B193" s="7"/>
      <c r="C193" s="7"/>
      <c r="D193" s="7"/>
      <c r="E193" s="7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</row>
    <row r="194" spans="1:23" x14ac:dyDescent="0.2">
      <c r="A194" s="7"/>
      <c r="B194" s="7"/>
      <c r="C194" s="7"/>
      <c r="D194" s="7"/>
      <c r="E194" s="7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</row>
    <row r="195" spans="1:23" x14ac:dyDescent="0.2">
      <c r="A195" s="9" t="s">
        <v>122</v>
      </c>
      <c r="B195" s="7"/>
      <c r="C195" s="7"/>
      <c r="D195" s="7"/>
      <c r="E195" s="10"/>
      <c r="F195" s="24">
        <v>-5.6800000000000003E-2</v>
      </c>
      <c r="G195" s="24">
        <v>-4.24E-2</v>
      </c>
      <c r="H195" s="24">
        <v>-3.09E-2</v>
      </c>
      <c r="I195" s="24">
        <v>1.12E-2</v>
      </c>
      <c r="J195" s="24">
        <v>-2.75E-2</v>
      </c>
      <c r="K195" s="24">
        <v>-2.3900000000000001E-2</v>
      </c>
      <c r="L195" s="24">
        <v>-2.1899999999999999E-2</v>
      </c>
      <c r="M195" s="24">
        <v>-3.1E-2</v>
      </c>
      <c r="N195" s="24">
        <v>-3.8699999999999998E-2</v>
      </c>
      <c r="O195" s="24">
        <v>-4.41E-2</v>
      </c>
      <c r="P195" s="29">
        <v>-3.6999999999999998E-2</v>
      </c>
      <c r="Q195" s="29">
        <v>-4.1399999999999999E-2</v>
      </c>
      <c r="R195" s="29">
        <v>-4.7899999999999998E-2</v>
      </c>
      <c r="S195" s="29">
        <v>-5.2900000000000003E-2</v>
      </c>
    </row>
    <row r="196" spans="1:23" x14ac:dyDescent="0.2">
      <c r="A196" s="7" t="s">
        <v>123</v>
      </c>
      <c r="B196" s="7"/>
      <c r="C196" s="7"/>
      <c r="D196" s="7"/>
      <c r="E196" s="7"/>
      <c r="F196" s="24">
        <v>-4.24E-2</v>
      </c>
      <c r="G196" s="24">
        <v>-4.2599999999999999E-2</v>
      </c>
      <c r="H196" s="24">
        <v>-4.3400000000000001E-2</v>
      </c>
      <c r="I196" s="24">
        <v>-2.07E-2</v>
      </c>
      <c r="J196" s="24">
        <v>-1.5699999999999999E-2</v>
      </c>
      <c r="K196" s="24">
        <v>-1.34E-2</v>
      </c>
      <c r="L196" s="24">
        <v>-2.4500000000000001E-2</v>
      </c>
      <c r="M196" s="24">
        <v>-2.5600000000000001E-2</v>
      </c>
      <c r="N196" s="24">
        <v>-3.0499999999999999E-2</v>
      </c>
      <c r="O196" s="24">
        <v>-3.7900000000000003E-2</v>
      </c>
      <c r="P196" s="29">
        <v>-3.9899999999999998E-2</v>
      </c>
      <c r="Q196" s="29">
        <v>-4.0800000000000003E-2</v>
      </c>
      <c r="R196" s="29">
        <v>-4.2099999999999999E-2</v>
      </c>
      <c r="S196" s="29">
        <v>-4.7399999999999998E-2</v>
      </c>
    </row>
    <row r="197" spans="1:23" x14ac:dyDescent="0.2">
      <c r="A197" s="7"/>
      <c r="B197" s="7"/>
      <c r="C197" s="7"/>
      <c r="D197" s="7"/>
      <c r="E197" s="7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</row>
    <row r="198" spans="1:23" x14ac:dyDescent="0.2">
      <c r="A198" s="9" t="s">
        <v>113</v>
      </c>
      <c r="B198" s="7"/>
      <c r="C198" s="7"/>
      <c r="D198" s="7"/>
      <c r="E198" s="10"/>
      <c r="F198" s="24">
        <v>0.89959999999999996</v>
      </c>
      <c r="G198" s="24">
        <v>0.90680000000000005</v>
      </c>
      <c r="H198" s="24">
        <v>0.90539999999999998</v>
      </c>
      <c r="I198" s="24">
        <v>0.92069999999999996</v>
      </c>
      <c r="J198" s="24">
        <v>0.93400000000000005</v>
      </c>
      <c r="K198" s="24">
        <v>0.93440000000000001</v>
      </c>
      <c r="L198" s="24">
        <v>0.93420000000000003</v>
      </c>
      <c r="M198" s="24">
        <v>0.93410000000000004</v>
      </c>
      <c r="N198" s="24">
        <v>0.93400000000000005</v>
      </c>
      <c r="O198" s="24">
        <v>0.93440000000000001</v>
      </c>
      <c r="P198" s="29">
        <v>0.93459999999999999</v>
      </c>
      <c r="Q198" s="29">
        <v>0.93469999999999998</v>
      </c>
      <c r="R198" s="29">
        <v>0.93440000000000001</v>
      </c>
      <c r="S198" s="29">
        <v>0.9345</v>
      </c>
    </row>
    <row r="199" spans="1:23" x14ac:dyDescent="0.2">
      <c r="A199" s="7" t="s">
        <v>123</v>
      </c>
      <c r="B199" s="7"/>
      <c r="C199" s="7"/>
      <c r="D199" s="7"/>
      <c r="E199" s="7"/>
      <c r="F199" s="24">
        <v>0.8831</v>
      </c>
      <c r="G199" s="24">
        <v>0.88870000000000005</v>
      </c>
      <c r="H199" s="24">
        <v>0.90390000000000004</v>
      </c>
      <c r="I199" s="24">
        <v>0.91100000000000003</v>
      </c>
      <c r="J199" s="24">
        <v>0.92</v>
      </c>
      <c r="K199" s="24">
        <v>0.92969999999999997</v>
      </c>
      <c r="L199" s="24">
        <v>0.93420000000000003</v>
      </c>
      <c r="M199" s="24">
        <v>0.93420000000000003</v>
      </c>
      <c r="N199" s="24">
        <v>0.93410000000000004</v>
      </c>
      <c r="O199" s="24">
        <v>0.93420000000000003</v>
      </c>
      <c r="P199" s="29">
        <v>0.93430000000000002</v>
      </c>
      <c r="Q199" s="29">
        <v>0.9345</v>
      </c>
      <c r="R199" s="29">
        <v>0.93459999999999999</v>
      </c>
      <c r="S199" s="29">
        <v>0.9345</v>
      </c>
    </row>
    <row r="200" spans="1:23" x14ac:dyDescent="0.2">
      <c r="A200" s="7"/>
      <c r="B200" s="7"/>
      <c r="C200" s="7"/>
      <c r="D200" s="7"/>
      <c r="E200" s="7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</row>
    <row r="201" spans="1:23" x14ac:dyDescent="0.2">
      <c r="A201" s="9" t="s">
        <v>124</v>
      </c>
      <c r="B201" s="7"/>
      <c r="C201" s="7"/>
      <c r="D201" s="7"/>
      <c r="E201" s="10"/>
      <c r="F201" s="29">
        <v>1.0498000000000001</v>
      </c>
      <c r="G201" s="29">
        <v>0.76559999999999995</v>
      </c>
      <c r="H201" s="29">
        <v>0.36359999999999998</v>
      </c>
      <c r="I201" s="29">
        <v>0.72789999999999999</v>
      </c>
      <c r="J201" s="29">
        <v>0.81279999999999997</v>
      </c>
      <c r="K201" s="29">
        <v>0.88419999999999999</v>
      </c>
      <c r="L201" s="29">
        <v>0.79720000000000002</v>
      </c>
      <c r="M201" s="29">
        <v>0.75409999999999999</v>
      </c>
      <c r="N201" s="29">
        <v>0.76029999999999998</v>
      </c>
      <c r="O201" s="29">
        <v>0.72160000000000002</v>
      </c>
      <c r="P201" s="29">
        <v>0.81169999999999998</v>
      </c>
      <c r="Q201" s="29">
        <v>0.77939999999999998</v>
      </c>
      <c r="R201" s="29">
        <v>0.79379999999999995</v>
      </c>
      <c r="S201" s="29">
        <v>0.76539999999999997</v>
      </c>
    </row>
    <row r="202" spans="1:23" x14ac:dyDescent="0.2">
      <c r="A202" s="7" t="s">
        <v>125</v>
      </c>
      <c r="B202" s="7"/>
      <c r="C202" s="7"/>
      <c r="D202" s="7"/>
      <c r="E202" s="7"/>
      <c r="F202" s="24">
        <v>0.97599999999999998</v>
      </c>
      <c r="G202" s="24">
        <v>1.0013000000000001</v>
      </c>
      <c r="H202" s="24">
        <v>0.72629999999999995</v>
      </c>
      <c r="I202" s="24">
        <v>0.61899999999999999</v>
      </c>
      <c r="J202" s="24">
        <v>0.63480000000000003</v>
      </c>
      <c r="K202" s="24">
        <v>0.80830000000000002</v>
      </c>
      <c r="L202" s="24">
        <v>0.83140000000000003</v>
      </c>
      <c r="M202" s="24">
        <v>0.81179999999999997</v>
      </c>
      <c r="N202" s="24">
        <v>0.77049999999999996</v>
      </c>
      <c r="O202" s="24">
        <v>0.74539999999999995</v>
      </c>
      <c r="P202" s="29">
        <v>0.76459999999999995</v>
      </c>
      <c r="Q202" s="29">
        <v>0.77090000000000003</v>
      </c>
      <c r="R202" s="29">
        <v>0.79490000000000005</v>
      </c>
      <c r="S202" s="29">
        <v>0.77949999999999997</v>
      </c>
    </row>
    <row r="203" spans="1:23" x14ac:dyDescent="0.2">
      <c r="A203" s="7"/>
      <c r="B203" s="7"/>
      <c r="C203" s="7"/>
      <c r="D203" s="7"/>
      <c r="E203" s="7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1"/>
      <c r="Q203" s="21"/>
      <c r="R203" s="21"/>
      <c r="S203" s="21"/>
      <c r="W203" s="5"/>
    </row>
    <row r="204" spans="1:23" x14ac:dyDescent="0.2">
      <c r="A204" s="9" t="s">
        <v>119</v>
      </c>
      <c r="B204" s="7"/>
      <c r="C204" s="7"/>
      <c r="D204" s="7"/>
      <c r="E204" s="7"/>
      <c r="F204" s="24">
        <v>2.1499999999999998E-2</v>
      </c>
      <c r="G204" s="24">
        <v>1.9099999999999999E-2</v>
      </c>
      <c r="H204" s="24">
        <v>2.0400000000000001E-2</v>
      </c>
      <c r="I204" s="24">
        <v>2.0199999999999999E-2</v>
      </c>
      <c r="J204" s="24">
        <v>1.03E-2</v>
      </c>
      <c r="K204" s="24">
        <v>1.03E-2</v>
      </c>
      <c r="L204" s="24">
        <v>1.03E-2</v>
      </c>
      <c r="M204" s="24">
        <v>1.03E-2</v>
      </c>
      <c r="N204" s="24">
        <v>1.03E-2</v>
      </c>
      <c r="O204" s="24">
        <v>1.03E-2</v>
      </c>
      <c r="P204" s="27">
        <v>1.03E-2</v>
      </c>
      <c r="Q204" s="27">
        <v>1.03E-2</v>
      </c>
      <c r="R204" s="27">
        <v>1.03E-2</v>
      </c>
      <c r="S204" s="24">
        <v>1.03E-2</v>
      </c>
      <c r="W204" s="5"/>
    </row>
    <row r="205" spans="1:23" x14ac:dyDescent="0.2">
      <c r="A205" s="7"/>
      <c r="B205" s="7"/>
      <c r="C205" s="7"/>
      <c r="D205" s="7"/>
      <c r="E205" s="7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21"/>
      <c r="Q205" s="21"/>
      <c r="R205" s="21"/>
      <c r="S205" s="21"/>
      <c r="W205" s="5"/>
    </row>
    <row r="206" spans="1:23" x14ac:dyDescent="0.2">
      <c r="A206" s="9" t="s">
        <v>120</v>
      </c>
      <c r="B206" s="7"/>
      <c r="C206" s="7"/>
      <c r="D206" s="7"/>
      <c r="E206" s="17"/>
      <c r="F206" s="34">
        <v>0.83</v>
      </c>
      <c r="G206" s="34">
        <v>1.06</v>
      </c>
      <c r="H206" s="34">
        <v>0.79</v>
      </c>
      <c r="I206" s="34">
        <v>1</v>
      </c>
      <c r="J206" s="34">
        <v>1</v>
      </c>
      <c r="K206" s="34">
        <v>1</v>
      </c>
      <c r="L206" s="34">
        <v>1</v>
      </c>
      <c r="M206" s="34">
        <v>1</v>
      </c>
      <c r="N206" s="34">
        <v>1</v>
      </c>
      <c r="O206" s="34">
        <v>1</v>
      </c>
      <c r="P206" s="35">
        <v>1</v>
      </c>
      <c r="Q206" s="35">
        <v>1</v>
      </c>
      <c r="R206" s="35">
        <v>1</v>
      </c>
      <c r="S206" s="35">
        <v>1</v>
      </c>
    </row>
    <row r="207" spans="1:23" x14ac:dyDescent="0.2">
      <c r="A207" s="7" t="s">
        <v>125</v>
      </c>
      <c r="B207" s="7"/>
      <c r="C207" s="7"/>
      <c r="D207" s="7"/>
      <c r="E207" s="17"/>
      <c r="F207" s="35">
        <v>1.01</v>
      </c>
      <c r="G207" s="35">
        <v>0.98</v>
      </c>
      <c r="H207" s="35">
        <v>0.89</v>
      </c>
      <c r="I207" s="35">
        <v>0.95</v>
      </c>
      <c r="J207" s="35">
        <v>0.93</v>
      </c>
      <c r="K207" s="35">
        <v>1</v>
      </c>
      <c r="L207" s="35">
        <v>1</v>
      </c>
      <c r="M207" s="35">
        <v>1</v>
      </c>
      <c r="N207" s="35">
        <v>1</v>
      </c>
      <c r="O207" s="35">
        <v>1</v>
      </c>
      <c r="P207" s="35">
        <v>1</v>
      </c>
      <c r="Q207" s="35">
        <v>1</v>
      </c>
      <c r="R207" s="35">
        <v>1</v>
      </c>
      <c r="S207" s="35">
        <v>1</v>
      </c>
    </row>
    <row r="208" spans="1:23" x14ac:dyDescent="0.2">
      <c r="A208" s="7"/>
      <c r="B208" s="7"/>
      <c r="C208" s="7"/>
      <c r="D208" s="7"/>
      <c r="E208" s="7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</row>
    <row r="209" spans="1:22" x14ac:dyDescent="0.2">
      <c r="A209" s="9" t="s">
        <v>126</v>
      </c>
      <c r="B209" s="7"/>
      <c r="C209" s="7"/>
      <c r="D209" s="7"/>
      <c r="E209" s="10"/>
      <c r="F209" s="24">
        <v>5.1000000000000004E-3</v>
      </c>
      <c r="G209" s="24">
        <v>2.3E-3</v>
      </c>
      <c r="H209" s="24">
        <v>2.3999999999999998E-3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9">
        <v>0</v>
      </c>
      <c r="Q209" s="29">
        <v>0</v>
      </c>
      <c r="R209" s="29">
        <v>0</v>
      </c>
      <c r="S209" s="29">
        <v>0</v>
      </c>
    </row>
    <row r="210" spans="1:22" x14ac:dyDescent="0.2">
      <c r="A210" s="7" t="s">
        <v>125</v>
      </c>
      <c r="B210" s="7"/>
      <c r="C210" s="7"/>
      <c r="D210" s="7"/>
      <c r="E210" s="7"/>
      <c r="F210" s="29">
        <v>5.1999999999999998E-3</v>
      </c>
      <c r="G210" s="29">
        <v>4.1999999999999997E-3</v>
      </c>
      <c r="H210" s="29">
        <v>3.3E-3</v>
      </c>
      <c r="I210" s="29">
        <v>1.6000000000000001E-3</v>
      </c>
      <c r="J210" s="29">
        <v>8.0000000000000004E-4</v>
      </c>
      <c r="K210" s="29">
        <v>0</v>
      </c>
      <c r="L210" s="29">
        <v>0</v>
      </c>
      <c r="M210" s="29">
        <v>0</v>
      </c>
      <c r="N210" s="29">
        <v>0</v>
      </c>
      <c r="O210" s="29">
        <v>0</v>
      </c>
      <c r="P210" s="29">
        <v>0</v>
      </c>
      <c r="Q210" s="29">
        <v>0</v>
      </c>
      <c r="R210" s="29">
        <v>0</v>
      </c>
      <c r="S210" s="29">
        <v>0</v>
      </c>
    </row>
    <row r="211" spans="1:22" x14ac:dyDescent="0.2">
      <c r="A211" s="7"/>
      <c r="B211" s="7"/>
      <c r="C211" s="7"/>
      <c r="D211" s="7"/>
      <c r="E211" s="7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1"/>
      <c r="Q211" s="21"/>
      <c r="R211" s="21"/>
      <c r="S211" s="21"/>
    </row>
    <row r="212" spans="1:22" x14ac:dyDescent="0.2">
      <c r="A212" s="19" t="s">
        <v>127</v>
      </c>
      <c r="B212" s="7"/>
      <c r="C212" s="7"/>
      <c r="D212" s="7"/>
      <c r="E212" s="7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</row>
    <row r="213" spans="1:22" x14ac:dyDescent="0.2">
      <c r="A213" s="19"/>
      <c r="B213" s="7"/>
      <c r="C213" s="7" t="s">
        <v>109</v>
      </c>
      <c r="D213" s="7" t="s">
        <v>110</v>
      </c>
      <c r="E213" s="7" t="s">
        <v>111</v>
      </c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</row>
    <row r="214" spans="1:22" x14ac:dyDescent="0.2">
      <c r="A214" s="19"/>
      <c r="B214" s="7"/>
      <c r="C214" s="7">
        <v>0.85</v>
      </c>
      <c r="D214" s="7">
        <v>0.82</v>
      </c>
      <c r="E214" s="13">
        <v>0.84</v>
      </c>
      <c r="F214" s="26">
        <v>0.88</v>
      </c>
      <c r="G214" s="26">
        <v>0.91</v>
      </c>
      <c r="H214" s="26">
        <v>0.85</v>
      </c>
      <c r="I214" s="26">
        <v>0.9</v>
      </c>
      <c r="J214" s="26">
        <v>0.89</v>
      </c>
      <c r="K214" s="26">
        <v>0.89</v>
      </c>
      <c r="L214" s="26">
        <v>0.88</v>
      </c>
      <c r="M214" s="26">
        <v>0.89</v>
      </c>
      <c r="N214" s="26">
        <v>0.89</v>
      </c>
      <c r="O214" s="26">
        <v>0.9</v>
      </c>
      <c r="P214" s="21">
        <v>0.89</v>
      </c>
      <c r="Q214" s="21">
        <v>0.89</v>
      </c>
      <c r="R214" s="21">
        <v>0.89</v>
      </c>
      <c r="S214" s="21">
        <v>0.91</v>
      </c>
    </row>
    <row r="215" spans="1:22" x14ac:dyDescent="0.2">
      <c r="A215" s="7" t="s">
        <v>128</v>
      </c>
      <c r="B215" s="7"/>
      <c r="C215" s="7"/>
      <c r="D215" s="7"/>
      <c r="E215" s="7"/>
      <c r="F215" s="7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7"/>
      <c r="T215" s="7"/>
      <c r="U215" s="7"/>
      <c r="V215" s="7"/>
    </row>
    <row r="216" spans="1:22" x14ac:dyDescent="0.2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</row>
  </sheetData>
  <pageMargins left="0.41" right="0.31" top="0.75" bottom="0.75" header="0.3" footer="0.3"/>
  <pageSetup paperSize="9" scale="60" orientation="landscape" r:id="rId1"/>
  <rowBreaks count="4" manualBreakCount="4">
    <brk id="40" max="16383" man="1"/>
    <brk id="82" max="16383" man="1"/>
    <brk id="134" max="16383" man="1"/>
    <brk id="16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4"/>
  <sheetViews>
    <sheetView tabSelected="1" topLeftCell="A3" zoomScale="80" zoomScaleNormal="80" workbookViewId="0">
      <selection activeCell="F38" sqref="F38"/>
    </sheetView>
  </sheetViews>
  <sheetFormatPr defaultColWidth="10.28515625" defaultRowHeight="14.25" x14ac:dyDescent="0.2"/>
  <cols>
    <col min="1" max="1" width="25.5703125" style="2" customWidth="1"/>
    <col min="2" max="2" width="10.28515625" style="2"/>
    <col min="3" max="6" width="10.42578125" style="2" bestFit="1" customWidth="1"/>
    <col min="7" max="19" width="13.140625" style="2" bestFit="1" customWidth="1"/>
    <col min="20" max="22" width="12.140625" style="2" customWidth="1"/>
    <col min="23" max="16384" width="10.28515625" style="2"/>
  </cols>
  <sheetData>
    <row r="1" spans="1:19" ht="15" x14ac:dyDescent="0.25">
      <c r="A1" s="1" t="s">
        <v>131</v>
      </c>
    </row>
    <row r="2" spans="1:19" ht="15" x14ac:dyDescent="0.25">
      <c r="A2" s="1" t="s">
        <v>0</v>
      </c>
    </row>
    <row r="3" spans="1:19" ht="15" x14ac:dyDescent="0.25">
      <c r="A3" s="1" t="s">
        <v>1</v>
      </c>
    </row>
    <row r="5" spans="1:19" x14ac:dyDescent="0.2">
      <c r="G5" s="2" t="s">
        <v>2</v>
      </c>
      <c r="H5" s="2" t="s">
        <v>2</v>
      </c>
      <c r="I5" s="2" t="s">
        <v>3</v>
      </c>
      <c r="J5" s="2" t="s">
        <v>4</v>
      </c>
      <c r="K5" s="2" t="s">
        <v>4</v>
      </c>
      <c r="L5" s="2" t="s">
        <v>4</v>
      </c>
      <c r="M5" s="2" t="s">
        <v>4</v>
      </c>
      <c r="N5" s="2" t="s">
        <v>4</v>
      </c>
      <c r="O5" s="2" t="s">
        <v>4</v>
      </c>
      <c r="P5" s="2" t="s">
        <v>4</v>
      </c>
      <c r="Q5" s="2" t="s">
        <v>4</v>
      </c>
      <c r="R5" s="2" t="s">
        <v>4</v>
      </c>
      <c r="S5" s="2" t="s">
        <v>4</v>
      </c>
    </row>
    <row r="6" spans="1:19" x14ac:dyDescent="0.2">
      <c r="G6" s="2" t="s">
        <v>5</v>
      </c>
      <c r="H6" s="2" t="s">
        <v>6</v>
      </c>
      <c r="I6" s="2" t="s">
        <v>7</v>
      </c>
      <c r="J6" s="2" t="s">
        <v>8</v>
      </c>
      <c r="K6" s="2" t="s">
        <v>9</v>
      </c>
      <c r="L6" s="2" t="s">
        <v>10</v>
      </c>
      <c r="M6" s="2" t="s">
        <v>11</v>
      </c>
      <c r="N6" s="2" t="s">
        <v>12</v>
      </c>
      <c r="O6" s="2" t="s">
        <v>13</v>
      </c>
      <c r="P6" s="2" t="s">
        <v>14</v>
      </c>
      <c r="Q6" s="2" t="s">
        <v>15</v>
      </c>
      <c r="R6" s="2" t="s">
        <v>16</v>
      </c>
      <c r="S6" s="2" t="s">
        <v>17</v>
      </c>
    </row>
    <row r="7" spans="1:19" x14ac:dyDescent="0.2">
      <c r="G7" s="2" t="s">
        <v>18</v>
      </c>
      <c r="H7" s="2" t="s">
        <v>18</v>
      </c>
      <c r="I7" s="2" t="s">
        <v>18</v>
      </c>
      <c r="J7" s="2" t="s">
        <v>18</v>
      </c>
      <c r="K7" s="2" t="s">
        <v>18</v>
      </c>
      <c r="L7" s="2" t="s">
        <v>18</v>
      </c>
      <c r="M7" s="2" t="s">
        <v>18</v>
      </c>
      <c r="N7" s="2" t="s">
        <v>18</v>
      </c>
      <c r="O7" s="2" t="s">
        <v>18</v>
      </c>
      <c r="P7" s="2" t="s">
        <v>18</v>
      </c>
      <c r="Q7" s="2" t="s">
        <v>18</v>
      </c>
      <c r="R7" s="2" t="s">
        <v>18</v>
      </c>
    </row>
    <row r="9" spans="1:19" ht="15" x14ac:dyDescent="0.25">
      <c r="A9" s="1" t="s">
        <v>19</v>
      </c>
    </row>
    <row r="11" spans="1:19" x14ac:dyDescent="0.2">
      <c r="A11" s="2" t="s">
        <v>20</v>
      </c>
      <c r="G11" s="2">
        <v>11100000</v>
      </c>
      <c r="H11" s="2">
        <v>10966000</v>
      </c>
      <c r="I11" s="3">
        <v>11373200</v>
      </c>
      <c r="J11" s="3">
        <v>12299669.800000001</v>
      </c>
      <c r="K11" s="3">
        <v>12604325.175199999</v>
      </c>
      <c r="L11" s="3">
        <v>12916528.861904798</v>
      </c>
      <c r="M11" s="3">
        <v>13233493.784853607</v>
      </c>
      <c r="N11" s="3">
        <v>13555203.46527507</v>
      </c>
      <c r="O11" s="3">
        <v>13887864.570032099</v>
      </c>
      <c r="P11" s="3">
        <v>14235061.184282901</v>
      </c>
      <c r="Q11" s="3">
        <v>14590937.713889973</v>
      </c>
      <c r="R11" s="3">
        <v>14952369.108916018</v>
      </c>
      <c r="S11" s="3">
        <v>15322756.07967001</v>
      </c>
    </row>
    <row r="12" spans="1:19" x14ac:dyDescent="0.2">
      <c r="A12" s="2" t="s">
        <v>21</v>
      </c>
      <c r="G12" s="2">
        <v>1602000</v>
      </c>
      <c r="H12" s="2">
        <v>1408000</v>
      </c>
      <c r="I12" s="3">
        <v>1538700</v>
      </c>
      <c r="J12" s="3">
        <v>1574090.0999999999</v>
      </c>
      <c r="K12" s="3">
        <v>1611868.2624000001</v>
      </c>
      <c r="L12" s="3">
        <v>1650553.1006976</v>
      </c>
      <c r="M12" s="3">
        <v>1688515.8220136447</v>
      </c>
      <c r="N12" s="3">
        <v>1725663.1700979448</v>
      </c>
      <c r="O12" s="3">
        <v>1765353.4230101977</v>
      </c>
      <c r="P12" s="3">
        <v>1809487.2585854521</v>
      </c>
      <c r="Q12" s="3">
        <v>1854724.4400500886</v>
      </c>
      <c r="R12" s="3">
        <v>1899237.8266112905</v>
      </c>
      <c r="S12" s="3">
        <v>1944819.534449962</v>
      </c>
    </row>
    <row r="13" spans="1:19" x14ac:dyDescent="0.2">
      <c r="A13" s="2" t="s">
        <v>22</v>
      </c>
      <c r="G13" s="2">
        <v>505000</v>
      </c>
      <c r="H13" s="2">
        <v>490000</v>
      </c>
      <c r="I13" s="3">
        <v>509320</v>
      </c>
      <c r="J13" s="3">
        <v>529617.80000000005</v>
      </c>
      <c r="K13" s="3">
        <v>628955.75470000005</v>
      </c>
      <c r="L13" s="3">
        <v>649388.2585003</v>
      </c>
      <c r="M13" s="3">
        <v>610487.5152019558</v>
      </c>
      <c r="N13" s="3">
        <v>571595.04871833301</v>
      </c>
      <c r="O13" s="3">
        <v>651259.29899973585</v>
      </c>
      <c r="P13" s="3">
        <v>730953.25728118129</v>
      </c>
      <c r="Q13" s="3">
        <v>751396.56451966148</v>
      </c>
      <c r="R13" s="3">
        <v>712582.28708026232</v>
      </c>
      <c r="S13" s="3">
        <v>713296.87946245854</v>
      </c>
    </row>
    <row r="14" spans="1:19" x14ac:dyDescent="0.2">
      <c r="A14" s="2" t="s">
        <v>23</v>
      </c>
      <c r="G14" s="2">
        <v>873000</v>
      </c>
      <c r="H14" s="2">
        <v>891000</v>
      </c>
      <c r="I14" s="3">
        <v>2166600</v>
      </c>
      <c r="J14" s="3">
        <v>1302710</v>
      </c>
      <c r="K14" s="3">
        <v>1352804.1475</v>
      </c>
      <c r="L14" s="3">
        <v>1303306.1622275</v>
      </c>
      <c r="M14" s="3">
        <v>1354444.7500931076</v>
      </c>
      <c r="N14" s="3">
        <v>1362647.1280267572</v>
      </c>
      <c r="O14" s="3">
        <v>1416034.4908163003</v>
      </c>
      <c r="P14" s="3">
        <v>1428890.3530867076</v>
      </c>
      <c r="Q14" s="3">
        <v>1486807.6119138754</v>
      </c>
      <c r="R14" s="3">
        <v>1499760.1601206777</v>
      </c>
      <c r="S14" s="3">
        <v>1559146.778622465</v>
      </c>
    </row>
    <row r="15" spans="1:19" x14ac:dyDescent="0.2">
      <c r="A15" s="2" t="s">
        <v>24</v>
      </c>
      <c r="G15" s="2">
        <v>1053000</v>
      </c>
      <c r="H15" s="2">
        <v>869000</v>
      </c>
      <c r="I15" s="3">
        <v>1012533</v>
      </c>
      <c r="J15" s="3">
        <v>754744.79999999993</v>
      </c>
      <c r="K15" s="3">
        <v>772527.82520000008</v>
      </c>
      <c r="L15" s="3">
        <v>790738.37175479985</v>
      </c>
      <c r="M15" s="3">
        <v>808641.60574266035</v>
      </c>
      <c r="N15" s="3">
        <v>826195.89515415498</v>
      </c>
      <c r="O15" s="3">
        <v>844917.75303422415</v>
      </c>
      <c r="P15" s="3">
        <v>865665.69686007942</v>
      </c>
      <c r="Q15" s="3">
        <v>886932.33928158158</v>
      </c>
      <c r="R15" s="3">
        <v>907893.36561405892</v>
      </c>
      <c r="S15" s="3">
        <v>929358.32283325866</v>
      </c>
    </row>
    <row r="16" spans="1:19" x14ac:dyDescent="0.2">
      <c r="A16" s="2" t="s">
        <v>25</v>
      </c>
      <c r="G16" s="2">
        <v>394000</v>
      </c>
      <c r="H16" s="2">
        <v>569000</v>
      </c>
      <c r="I16" s="3">
        <v>330000</v>
      </c>
      <c r="J16" s="3">
        <v>337589.99999999994</v>
      </c>
      <c r="K16" s="3">
        <v>345692.15999999997</v>
      </c>
      <c r="L16" s="3">
        <v>353988.77184</v>
      </c>
      <c r="M16" s="3">
        <v>362130.51359231997</v>
      </c>
      <c r="N16" s="3">
        <v>370097.38489135104</v>
      </c>
      <c r="O16" s="3">
        <v>378609.62474385207</v>
      </c>
      <c r="P16" s="3">
        <v>388074.86536244833</v>
      </c>
      <c r="Q16" s="3">
        <v>397776.73699650948</v>
      </c>
      <c r="R16" s="3">
        <v>407323.37868442573</v>
      </c>
      <c r="S16" s="3">
        <v>417099.13977285195</v>
      </c>
    </row>
    <row r="17" spans="1:19" x14ac:dyDescent="0.2"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x14ac:dyDescent="0.2">
      <c r="A18" s="4" t="s">
        <v>26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x14ac:dyDescent="0.2">
      <c r="A19" s="2" t="s">
        <v>27</v>
      </c>
      <c r="G19" s="2">
        <v>0</v>
      </c>
      <c r="H19" s="2">
        <v>0</v>
      </c>
      <c r="I19" s="3">
        <v>32900</v>
      </c>
      <c r="J19" s="3">
        <v>81600</v>
      </c>
      <c r="K19" s="3">
        <v>26700</v>
      </c>
      <c r="L19" s="3">
        <v>0</v>
      </c>
      <c r="M19" s="3">
        <v>0</v>
      </c>
      <c r="N19" s="3">
        <v>38100</v>
      </c>
      <c r="O19" s="3">
        <v>39700</v>
      </c>
      <c r="P19" s="3">
        <v>19800</v>
      </c>
      <c r="Q19" s="3">
        <v>64900</v>
      </c>
      <c r="R19" s="3">
        <v>19400</v>
      </c>
      <c r="S19" s="3">
        <v>19400</v>
      </c>
    </row>
    <row r="20" spans="1:19" x14ac:dyDescent="0.2">
      <c r="A20" s="2" t="s">
        <v>28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x14ac:dyDescent="0.2">
      <c r="A21" s="2" t="s">
        <v>29</v>
      </c>
      <c r="G21" s="2">
        <v>57000</v>
      </c>
      <c r="H21" s="2">
        <v>72000</v>
      </c>
      <c r="I21" s="3">
        <v>6000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</row>
    <row r="22" spans="1:19" x14ac:dyDescent="0.2"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x14ac:dyDescent="0.2">
      <c r="A23" s="2" t="s">
        <v>30</v>
      </c>
      <c r="G23" s="2">
        <v>15584000</v>
      </c>
      <c r="H23" s="2">
        <v>15265000</v>
      </c>
      <c r="I23" s="3">
        <v>16969253</v>
      </c>
      <c r="J23" s="3">
        <v>16880022.5</v>
      </c>
      <c r="K23" s="3">
        <v>17342873.324999996</v>
      </c>
      <c r="L23" s="3">
        <v>17664503.526924998</v>
      </c>
      <c r="M23" s="3">
        <v>18057713.991497297</v>
      </c>
      <c r="N23" s="3">
        <v>18449502.092163611</v>
      </c>
      <c r="O23" s="3">
        <v>18983739.16063641</v>
      </c>
      <c r="P23" s="3">
        <v>19477932.615458764</v>
      </c>
      <c r="Q23" s="3">
        <v>20033475.406651687</v>
      </c>
      <c r="R23" s="3">
        <v>20398566.127026737</v>
      </c>
      <c r="S23" s="3">
        <v>20905876.734811004</v>
      </c>
    </row>
    <row r="24" spans="1:19" x14ac:dyDescent="0.2"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" x14ac:dyDescent="0.25">
      <c r="A25" s="1" t="s">
        <v>31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x14ac:dyDescent="0.2"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x14ac:dyDescent="0.2">
      <c r="A27" s="2" t="s">
        <v>32</v>
      </c>
      <c r="G27" s="2">
        <v>5180000</v>
      </c>
      <c r="H27" s="2">
        <v>5330000</v>
      </c>
      <c r="I27" s="3">
        <v>6081070</v>
      </c>
      <c r="J27" s="3">
        <v>6228626.0499999998</v>
      </c>
      <c r="K27" s="3">
        <v>6409066.7134499988</v>
      </c>
      <c r="L27" s="3">
        <v>6638171.4004980475</v>
      </c>
      <c r="M27" s="3">
        <v>6889356.3496623486</v>
      </c>
      <c r="N27" s="3">
        <v>7141596.2208868088</v>
      </c>
      <c r="O27" s="3">
        <v>7390388.5295676747</v>
      </c>
      <c r="P27" s="3">
        <v>7660600.4397287071</v>
      </c>
      <c r="Q27" s="3">
        <v>7919887.185149801</v>
      </c>
      <c r="R27" s="3">
        <v>8185873.6033694223</v>
      </c>
      <c r="S27" s="3">
        <v>8462460.6115186978</v>
      </c>
    </row>
    <row r="28" spans="1:19" x14ac:dyDescent="0.2">
      <c r="A28" s="2" t="s">
        <v>33</v>
      </c>
      <c r="G28" s="2">
        <v>5000</v>
      </c>
      <c r="H28" s="2">
        <v>1000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</row>
    <row r="29" spans="1:19" x14ac:dyDescent="0.2">
      <c r="A29" s="2" t="s">
        <v>34</v>
      </c>
      <c r="G29" s="2">
        <v>6162000</v>
      </c>
      <c r="H29" s="2">
        <v>5080000</v>
      </c>
      <c r="I29" s="3">
        <v>5545263</v>
      </c>
      <c r="J29" s="3">
        <v>5512840.2319999998</v>
      </c>
      <c r="K29" s="3">
        <v>5586406.8405679986</v>
      </c>
      <c r="L29" s="3">
        <v>5682620.160474631</v>
      </c>
      <c r="M29" s="3">
        <v>5865683.9366615647</v>
      </c>
      <c r="N29" s="3">
        <v>5975229.2495116675</v>
      </c>
      <c r="O29" s="3">
        <v>6134692.7117893016</v>
      </c>
      <c r="P29" s="3">
        <v>6212218.5212809313</v>
      </c>
      <c r="Q29" s="3">
        <v>6402941.7939557908</v>
      </c>
      <c r="R29" s="3">
        <v>6532534.1458950108</v>
      </c>
      <c r="S29" s="3">
        <v>6761285.9556444604</v>
      </c>
    </row>
    <row r="30" spans="1:19" x14ac:dyDescent="0.2">
      <c r="A30" s="2" t="s">
        <v>35</v>
      </c>
      <c r="G30" s="2">
        <v>2249000</v>
      </c>
      <c r="H30" s="2">
        <v>2244000</v>
      </c>
      <c r="I30" s="3">
        <v>2227622</v>
      </c>
      <c r="J30" s="3">
        <v>2267324</v>
      </c>
      <c r="K30" s="3">
        <v>2311025</v>
      </c>
      <c r="L30" s="3">
        <v>2345645</v>
      </c>
      <c r="M30" s="3">
        <v>2386118</v>
      </c>
      <c r="N30" s="3">
        <v>2440882.7659999998</v>
      </c>
      <c r="O30" s="3">
        <v>2495949.0946180001</v>
      </c>
      <c r="P30" s="3">
        <v>2556191.9469834501</v>
      </c>
      <c r="Q30" s="3">
        <v>2620984.6206580363</v>
      </c>
      <c r="R30" s="3">
        <v>2680774.1315538287</v>
      </c>
      <c r="S30" s="3">
        <v>2706793.4707111209</v>
      </c>
    </row>
    <row r="31" spans="1:19" x14ac:dyDescent="0.2">
      <c r="A31" s="2" t="s">
        <v>36</v>
      </c>
      <c r="G31" s="2">
        <v>2179000</v>
      </c>
      <c r="H31" s="2">
        <v>2421000</v>
      </c>
      <c r="I31" s="3">
        <v>2565646</v>
      </c>
      <c r="J31" s="3">
        <v>2638511.5972499996</v>
      </c>
      <c r="K31" s="3">
        <v>2797253.5862812488</v>
      </c>
      <c r="L31" s="3">
        <v>2744823.03516958</v>
      </c>
      <c r="M31" s="3">
        <v>2814054.9647136275</v>
      </c>
      <c r="N31" s="3">
        <v>2883381.1491789315</v>
      </c>
      <c r="O31" s="3">
        <v>3056332.571827292</v>
      </c>
      <c r="P31" s="3">
        <v>3034927.5789478803</v>
      </c>
      <c r="Q31" s="3">
        <v>3115727.1286860332</v>
      </c>
      <c r="R31" s="3">
        <v>3196800.2976844553</v>
      </c>
      <c r="S31" s="3">
        <v>3280176.7010354623</v>
      </c>
    </row>
    <row r="32" spans="1:19" x14ac:dyDescent="0.2"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x14ac:dyDescent="0.2">
      <c r="A33" s="4" t="s">
        <v>36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x14ac:dyDescent="0.2">
      <c r="A34" s="2" t="s">
        <v>37</v>
      </c>
      <c r="G34" s="2">
        <v>295000</v>
      </c>
      <c r="H34" s="2">
        <v>198000</v>
      </c>
      <c r="I34" s="3">
        <v>194616</v>
      </c>
      <c r="J34" s="3">
        <v>209922.58499999999</v>
      </c>
      <c r="K34" s="3">
        <v>229702.83103999999</v>
      </c>
      <c r="L34" s="3">
        <v>208898.01098495998</v>
      </c>
      <c r="M34" s="3">
        <v>230861.67823761405</v>
      </c>
      <c r="N34" s="3">
        <v>223778.83515884157</v>
      </c>
      <c r="O34" s="3">
        <v>228925.7483674949</v>
      </c>
      <c r="P34" s="3">
        <v>234648.89207668224</v>
      </c>
      <c r="Q34" s="3">
        <v>240515.11437859928</v>
      </c>
      <c r="R34" s="3">
        <v>246287.47712368568</v>
      </c>
      <c r="S34" s="3">
        <v>252198.3765746541</v>
      </c>
    </row>
    <row r="35" spans="1:19" x14ac:dyDescent="0.2"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x14ac:dyDescent="0.2">
      <c r="A36" s="2" t="s">
        <v>38</v>
      </c>
      <c r="G36" s="2">
        <v>16070000</v>
      </c>
      <c r="H36" s="2">
        <v>15274000</v>
      </c>
      <c r="I36" s="3">
        <v>16614217</v>
      </c>
      <c r="J36" s="3">
        <v>16857224.464249998</v>
      </c>
      <c r="K36" s="3">
        <v>17333454.971339244</v>
      </c>
      <c r="L36" s="3">
        <v>17620157.607127219</v>
      </c>
      <c r="M36" s="3">
        <v>18186074.929275151</v>
      </c>
      <c r="N36" s="3">
        <v>18664868.22073625</v>
      </c>
      <c r="O36" s="3">
        <v>19306288.656169765</v>
      </c>
      <c r="P36" s="3">
        <v>19698587.379017651</v>
      </c>
      <c r="Q36" s="3">
        <v>20300055.842828259</v>
      </c>
      <c r="R36" s="3">
        <v>20842269.655626401</v>
      </c>
      <c r="S36" s="3">
        <v>21462915.115484394</v>
      </c>
    </row>
    <row r="37" spans="1:19" x14ac:dyDescent="0.2"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 x14ac:dyDescent="0.2">
      <c r="A38" s="2" t="s">
        <v>39</v>
      </c>
      <c r="G38" s="2">
        <v>-486000</v>
      </c>
      <c r="H38" s="2">
        <v>-9000</v>
      </c>
      <c r="I38" s="3">
        <v>355036</v>
      </c>
      <c r="J38" s="3">
        <v>22798.035750001669</v>
      </c>
      <c r="K38" s="3">
        <v>9418.3536607511342</v>
      </c>
      <c r="L38" s="3">
        <v>44345.91979777813</v>
      </c>
      <c r="M38" s="3">
        <v>-128360.9377778545</v>
      </c>
      <c r="N38" s="3">
        <v>-215366.12857263908</v>
      </c>
      <c r="O38" s="3">
        <v>-322549.49553335458</v>
      </c>
      <c r="P38" s="3">
        <v>-220654.76355888695</v>
      </c>
      <c r="Q38" s="3">
        <v>-266580.436176572</v>
      </c>
      <c r="R38" s="3">
        <v>-443703.52859966457</v>
      </c>
      <c r="S38" s="3">
        <v>-557038.38067338988</v>
      </c>
    </row>
    <row r="39" spans="1:19" x14ac:dyDescent="0.2"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x14ac:dyDescent="0.2">
      <c r="A40" s="2" t="s">
        <v>40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 x14ac:dyDescent="0.2">
      <c r="A41" s="2" t="s">
        <v>41</v>
      </c>
      <c r="G41" s="2">
        <v>-880000</v>
      </c>
      <c r="H41" s="2">
        <v>-578000</v>
      </c>
      <c r="I41" s="3">
        <v>25036</v>
      </c>
      <c r="J41" s="3">
        <v>-314791.96424999827</v>
      </c>
      <c r="K41" s="3">
        <v>-336273.80633924884</v>
      </c>
      <c r="L41" s="3">
        <v>-309642.85204222187</v>
      </c>
      <c r="M41" s="3">
        <v>-490491.45137017447</v>
      </c>
      <c r="N41" s="3">
        <v>-585463.51346399006</v>
      </c>
      <c r="O41" s="3">
        <v>-701159.12027720665</v>
      </c>
      <c r="P41" s="3">
        <v>-608729.62892133533</v>
      </c>
      <c r="Q41" s="3">
        <v>-664357.17317308148</v>
      </c>
      <c r="R41" s="3">
        <v>-851026.9072840903</v>
      </c>
      <c r="S41" s="3">
        <v>-974137.52044624183</v>
      </c>
    </row>
    <row r="44" spans="1:19" ht="15" x14ac:dyDescent="0.25">
      <c r="A44" s="1" t="s">
        <v>131</v>
      </c>
    </row>
    <row r="45" spans="1:19" ht="15" x14ac:dyDescent="0.25">
      <c r="A45" s="1" t="s">
        <v>42</v>
      </c>
    </row>
    <row r="46" spans="1:19" ht="15" x14ac:dyDescent="0.25">
      <c r="A46" s="1" t="s">
        <v>43</v>
      </c>
    </row>
    <row r="48" spans="1:19" x14ac:dyDescent="0.2">
      <c r="G48" s="2" t="s">
        <v>2</v>
      </c>
      <c r="H48" s="2" t="s">
        <v>2</v>
      </c>
      <c r="I48" s="2" t="s">
        <v>3</v>
      </c>
      <c r="J48" s="2" t="s">
        <v>4</v>
      </c>
      <c r="K48" s="2" t="s">
        <v>4</v>
      </c>
      <c r="L48" s="2" t="s">
        <v>4</v>
      </c>
      <c r="M48" s="2" t="s">
        <v>4</v>
      </c>
      <c r="N48" s="2" t="s">
        <v>4</v>
      </c>
      <c r="O48" s="2" t="s">
        <v>4</v>
      </c>
      <c r="P48" s="2" t="s">
        <v>4</v>
      </c>
      <c r="Q48" s="2" t="s">
        <v>4</v>
      </c>
      <c r="R48" s="2" t="s">
        <v>4</v>
      </c>
      <c r="S48" s="2" t="s">
        <v>4</v>
      </c>
    </row>
    <row r="49" spans="1:19" x14ac:dyDescent="0.2">
      <c r="G49" s="2" t="s">
        <v>5</v>
      </c>
      <c r="H49" s="2" t="s">
        <v>6</v>
      </c>
      <c r="I49" s="2" t="s">
        <v>7</v>
      </c>
      <c r="J49" s="2" t="s">
        <v>8</v>
      </c>
      <c r="K49" s="2" t="s">
        <v>9</v>
      </c>
      <c r="L49" s="2" t="s">
        <v>10</v>
      </c>
      <c r="M49" s="2" t="s">
        <v>11</v>
      </c>
      <c r="N49" s="2" t="s">
        <v>12</v>
      </c>
      <c r="O49" s="2" t="s">
        <v>13</v>
      </c>
      <c r="P49" s="2" t="s">
        <v>14</v>
      </c>
      <c r="Q49" s="2" t="s">
        <v>15</v>
      </c>
      <c r="R49" s="2" t="s">
        <v>16</v>
      </c>
      <c r="S49" s="2" t="s">
        <v>17</v>
      </c>
    </row>
    <row r="51" spans="1:19" x14ac:dyDescent="0.2">
      <c r="G51" s="2" t="s">
        <v>18</v>
      </c>
      <c r="H51" s="2" t="s">
        <v>18</v>
      </c>
      <c r="I51" s="2" t="s">
        <v>18</v>
      </c>
      <c r="J51" s="2" t="s">
        <v>18</v>
      </c>
      <c r="K51" s="2" t="s">
        <v>18</v>
      </c>
      <c r="L51" s="2" t="s">
        <v>18</v>
      </c>
      <c r="M51" s="2" t="s">
        <v>18</v>
      </c>
      <c r="N51" s="2" t="s">
        <v>18</v>
      </c>
      <c r="O51" s="2" t="s">
        <v>18</v>
      </c>
      <c r="P51" s="2" t="s">
        <v>18</v>
      </c>
      <c r="Q51" s="2" t="s">
        <v>18</v>
      </c>
      <c r="R51" s="2" t="s">
        <v>18</v>
      </c>
    </row>
    <row r="53" spans="1:19" ht="15" x14ac:dyDescent="0.25">
      <c r="A53" s="1" t="s">
        <v>44</v>
      </c>
    </row>
    <row r="55" spans="1:19" x14ac:dyDescent="0.2">
      <c r="A55" s="2" t="s">
        <v>45</v>
      </c>
      <c r="G55" s="3">
        <v>16954000</v>
      </c>
      <c r="H55" s="3">
        <v>15898000</v>
      </c>
      <c r="I55" s="3">
        <v>16969253</v>
      </c>
      <c r="J55" s="3">
        <v>16880022.5</v>
      </c>
      <c r="K55" s="3">
        <v>17342873.324999996</v>
      </c>
      <c r="L55" s="3">
        <v>17664503.526924998</v>
      </c>
      <c r="M55" s="3">
        <v>18057713.991497297</v>
      </c>
      <c r="N55" s="3">
        <v>18449502.092163611</v>
      </c>
      <c r="O55" s="3">
        <v>18983739.16063641</v>
      </c>
      <c r="P55" s="3">
        <v>19477932.615458764</v>
      </c>
      <c r="Q55" s="3">
        <v>20033475.406651687</v>
      </c>
      <c r="R55" s="3">
        <v>20398566.127026737</v>
      </c>
      <c r="S55" s="3">
        <v>20905876.734811004</v>
      </c>
    </row>
    <row r="56" spans="1:19" x14ac:dyDescent="0.2">
      <c r="A56" s="2" t="s">
        <v>46</v>
      </c>
      <c r="G56" s="3">
        <v>-14350000</v>
      </c>
      <c r="H56" s="3">
        <v>-14124000</v>
      </c>
      <c r="I56" s="3">
        <v>-14627043</v>
      </c>
      <c r="J56" s="3">
        <v>-14588205.488249999</v>
      </c>
      <c r="K56" s="3">
        <v>-14960177.235915244</v>
      </c>
      <c r="L56" s="3">
        <v>-15179636.078053044</v>
      </c>
      <c r="M56" s="3">
        <v>-15703706.644743694</v>
      </c>
      <c r="N56" s="3">
        <v>-16174620.9891856</v>
      </c>
      <c r="O56" s="3">
        <v>-16647651.755768418</v>
      </c>
      <c r="P56" s="3">
        <v>-17058303.087125111</v>
      </c>
      <c r="Q56" s="3">
        <v>-17637451.018638406</v>
      </c>
      <c r="R56" s="3">
        <v>-18076114.515797265</v>
      </c>
      <c r="S56" s="3">
        <v>-18668226.24429936</v>
      </c>
    </row>
    <row r="57" spans="1:19" x14ac:dyDescent="0.2"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</row>
    <row r="58" spans="1:19" ht="15" x14ac:dyDescent="0.25">
      <c r="A58" s="1" t="s">
        <v>47</v>
      </c>
      <c r="G58" s="3">
        <v>2604000</v>
      </c>
      <c r="H58" s="3">
        <v>1774000</v>
      </c>
      <c r="I58" s="3">
        <v>2342210</v>
      </c>
      <c r="J58" s="3">
        <v>2291817.0117500015</v>
      </c>
      <c r="K58" s="3">
        <v>2382696.0890847519</v>
      </c>
      <c r="L58" s="3">
        <v>2484867.4488719534</v>
      </c>
      <c r="M58" s="3">
        <v>2354007.3467536028</v>
      </c>
      <c r="N58" s="3">
        <v>2274881.1029780116</v>
      </c>
      <c r="O58" s="3">
        <v>2336087.4048679918</v>
      </c>
      <c r="P58" s="3">
        <v>2419629.5283336528</v>
      </c>
      <c r="Q58" s="3">
        <v>2396024.3880132809</v>
      </c>
      <c r="R58" s="3">
        <v>2322451.6112294719</v>
      </c>
      <c r="S58" s="3">
        <v>2237650.4905116446</v>
      </c>
    </row>
    <row r="60" spans="1:19" ht="15" x14ac:dyDescent="0.25">
      <c r="A60" s="1" t="s">
        <v>48</v>
      </c>
    </row>
    <row r="62" spans="1:19" x14ac:dyDescent="0.2">
      <c r="A62" s="2" t="s">
        <v>45</v>
      </c>
    </row>
    <row r="63" spans="1:19" x14ac:dyDescent="0.2">
      <c r="A63" s="2" t="s">
        <v>49</v>
      </c>
      <c r="G63" s="3">
        <v>86000</v>
      </c>
      <c r="H63" s="3">
        <v>108000</v>
      </c>
      <c r="I63" s="3">
        <v>167800</v>
      </c>
      <c r="J63" s="3">
        <v>91100</v>
      </c>
      <c r="K63" s="3">
        <v>140900</v>
      </c>
      <c r="L63" s="3">
        <v>101550</v>
      </c>
      <c r="M63" s="3">
        <v>85550</v>
      </c>
      <c r="N63" s="3">
        <v>132600</v>
      </c>
      <c r="O63" s="3">
        <v>67100</v>
      </c>
      <c r="P63" s="3">
        <v>55400</v>
      </c>
      <c r="Q63" s="3">
        <v>190750</v>
      </c>
      <c r="R63" s="3">
        <v>150100</v>
      </c>
      <c r="S63" s="3">
        <v>150101</v>
      </c>
    </row>
    <row r="64" spans="1:19" x14ac:dyDescent="0.2"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spans="1:19" x14ac:dyDescent="0.2">
      <c r="A65" s="2" t="s">
        <v>46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spans="1:19" x14ac:dyDescent="0.2">
      <c r="A66" s="2" t="s">
        <v>50</v>
      </c>
      <c r="G66" s="3">
        <v>-2019000</v>
      </c>
      <c r="H66" s="3">
        <v>-1147000</v>
      </c>
      <c r="I66" s="3">
        <v>-2538551</v>
      </c>
      <c r="J66" s="3">
        <v>-2206652</v>
      </c>
      <c r="K66" s="3">
        <v>-2345047.7599999998</v>
      </c>
      <c r="L66" s="3">
        <v>-2198569.46624</v>
      </c>
      <c r="M66" s="3">
        <v>-2212988.82596352</v>
      </c>
      <c r="N66" s="3">
        <v>-2281527.5361347175</v>
      </c>
      <c r="O66" s="3">
        <v>-2566255.509465816</v>
      </c>
      <c r="P66" s="3">
        <v>-2184412.9222024614</v>
      </c>
      <c r="Q66" s="3">
        <v>-2484811.9202575227</v>
      </c>
      <c r="R66" s="3">
        <v>-2449029.5663437033</v>
      </c>
      <c r="S66" s="3">
        <v>-2493953.6839359524</v>
      </c>
    </row>
    <row r="67" spans="1:19" x14ac:dyDescent="0.2"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spans="1:19" x14ac:dyDescent="0.2">
      <c r="A68" s="2" t="s">
        <v>51</v>
      </c>
      <c r="G68" s="3">
        <v>-1933000</v>
      </c>
      <c r="H68" s="3">
        <v>-1039000</v>
      </c>
      <c r="I68" s="3">
        <v>-2370751</v>
      </c>
      <c r="J68" s="3">
        <v>-2115552</v>
      </c>
      <c r="K68" s="3">
        <v>-2204147.7599999998</v>
      </c>
      <c r="L68" s="3">
        <v>-2097019.46624</v>
      </c>
      <c r="M68" s="3">
        <v>-2127438.82596352</v>
      </c>
      <c r="N68" s="3">
        <v>-2148927.5361347175</v>
      </c>
      <c r="O68" s="3">
        <v>-2499155.509465816</v>
      </c>
      <c r="P68" s="3">
        <v>-2129012.9222024614</v>
      </c>
      <c r="Q68" s="3">
        <v>-2294061.9202575227</v>
      </c>
      <c r="R68" s="3">
        <v>-2298929.5663437033</v>
      </c>
      <c r="S68" s="3">
        <v>-2343852.6839359524</v>
      </c>
    </row>
    <row r="69" spans="1:19" x14ac:dyDescent="0.2"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1:19" ht="15" x14ac:dyDescent="0.25">
      <c r="A70" s="1" t="s">
        <v>52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1:19" x14ac:dyDescent="0.2"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</row>
    <row r="72" spans="1:19" x14ac:dyDescent="0.2">
      <c r="A72" s="2" t="s">
        <v>45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</row>
    <row r="73" spans="1:19" x14ac:dyDescent="0.2">
      <c r="A73" s="2" t="s">
        <v>53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</row>
    <row r="74" spans="1:19" x14ac:dyDescent="0.2"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1:19" x14ac:dyDescent="0.2">
      <c r="A75" s="2" t="s">
        <v>46</v>
      </c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1:19" x14ac:dyDescent="0.2">
      <c r="A76" s="2" t="s">
        <v>54</v>
      </c>
      <c r="G76" s="3">
        <v>-65000</v>
      </c>
      <c r="H76" s="3">
        <v>-34500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</row>
    <row r="77" spans="1:19" x14ac:dyDescent="0.2"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 spans="1:19" ht="15" x14ac:dyDescent="0.25">
      <c r="A78" s="1" t="s">
        <v>55</v>
      </c>
      <c r="G78" s="3">
        <v>-65000</v>
      </c>
      <c r="H78" s="3">
        <v>-34500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</row>
    <row r="79" spans="1:19" x14ac:dyDescent="0.2"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</row>
    <row r="80" spans="1:19" ht="15" x14ac:dyDescent="0.25">
      <c r="A80" s="1" t="s">
        <v>56</v>
      </c>
      <c r="G80" s="3">
        <v>606000</v>
      </c>
      <c r="H80" s="3">
        <v>700500</v>
      </c>
      <c r="I80" s="3">
        <v>-28541</v>
      </c>
      <c r="J80" s="3">
        <v>176265.01175000146</v>
      </c>
      <c r="K80" s="3">
        <v>178548.32908475213</v>
      </c>
      <c r="L80" s="3">
        <v>387847.98263195343</v>
      </c>
      <c r="M80" s="3">
        <v>226568.52079008287</v>
      </c>
      <c r="N80" s="3">
        <v>125953.56684329407</v>
      </c>
      <c r="O80" s="3">
        <v>-163068.10459782416</v>
      </c>
      <c r="P80" s="3">
        <v>290616.60613119137</v>
      </c>
      <c r="Q80" s="3">
        <v>101962.4677557582</v>
      </c>
      <c r="R80" s="3">
        <v>23522.044885768555</v>
      </c>
      <c r="S80" s="3">
        <v>-106202.19342430774</v>
      </c>
    </row>
    <row r="81" spans="1:19" x14ac:dyDescent="0.2"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</row>
    <row r="82" spans="1:19" ht="15" x14ac:dyDescent="0.25">
      <c r="A82" s="1" t="s">
        <v>57</v>
      </c>
      <c r="G82" s="3">
        <v>10333000</v>
      </c>
      <c r="H82" s="3">
        <v>19826000</v>
      </c>
      <c r="I82" s="3">
        <v>20526500</v>
      </c>
      <c r="J82" s="3">
        <v>20497959</v>
      </c>
      <c r="K82" s="3">
        <v>20674224.011750001</v>
      </c>
      <c r="L82" s="3">
        <v>20852772.340834752</v>
      </c>
      <c r="M82" s="3">
        <v>21240620.323466703</v>
      </c>
      <c r="N82" s="3">
        <v>21467188.844256785</v>
      </c>
      <c r="O82" s="3">
        <v>21593142.411100078</v>
      </c>
      <c r="P82" s="3">
        <v>21430074.306502253</v>
      </c>
      <c r="Q82" s="3">
        <v>21720690.912633445</v>
      </c>
      <c r="R82" s="3">
        <v>21822653.380389202</v>
      </c>
      <c r="S82" s="3">
        <v>21846175.425274972</v>
      </c>
    </row>
    <row r="83" spans="1:19" x14ac:dyDescent="0.2"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</row>
    <row r="84" spans="1:19" ht="15" x14ac:dyDescent="0.25">
      <c r="A84" s="1" t="s">
        <v>58</v>
      </c>
      <c r="G84" s="3">
        <v>19826000</v>
      </c>
      <c r="H84" s="3">
        <v>20526500</v>
      </c>
      <c r="I84" s="3">
        <v>20497959</v>
      </c>
      <c r="J84" s="3">
        <v>20674224.011750001</v>
      </c>
      <c r="K84" s="3">
        <v>20852772.340834752</v>
      </c>
      <c r="L84" s="3">
        <v>21240620.323466703</v>
      </c>
      <c r="M84" s="3">
        <v>21467188.844256785</v>
      </c>
      <c r="N84" s="3">
        <v>21593142.411100078</v>
      </c>
      <c r="O84" s="3">
        <v>21430074.306502253</v>
      </c>
      <c r="P84" s="3">
        <v>21720690.912633445</v>
      </c>
      <c r="Q84" s="3">
        <v>21822653.380389202</v>
      </c>
      <c r="R84" s="3">
        <v>21846175.425274972</v>
      </c>
      <c r="S84" s="3">
        <v>21739973.231850665</v>
      </c>
    </row>
    <row r="87" spans="1:19" ht="15" x14ac:dyDescent="0.25">
      <c r="A87" s="1" t="s">
        <v>131</v>
      </c>
    </row>
    <row r="88" spans="1:19" ht="15" x14ac:dyDescent="0.25">
      <c r="A88" s="1" t="s">
        <v>0</v>
      </c>
    </row>
    <row r="89" spans="1:19" ht="15" x14ac:dyDescent="0.25">
      <c r="A89" s="1" t="s">
        <v>59</v>
      </c>
    </row>
    <row r="91" spans="1:19" x14ac:dyDescent="0.2">
      <c r="G91" s="2" t="s">
        <v>2</v>
      </c>
      <c r="H91" s="2" t="s">
        <v>2</v>
      </c>
      <c r="I91" s="2" t="s">
        <v>3</v>
      </c>
      <c r="J91" s="2" t="s">
        <v>4</v>
      </c>
      <c r="K91" s="2" t="s">
        <v>4</v>
      </c>
      <c r="L91" s="2" t="s">
        <v>4</v>
      </c>
      <c r="M91" s="2" t="s">
        <v>4</v>
      </c>
      <c r="N91" s="2" t="s">
        <v>4</v>
      </c>
      <c r="O91" s="2" t="s">
        <v>4</v>
      </c>
      <c r="P91" s="2" t="s">
        <v>4</v>
      </c>
      <c r="Q91" s="2" t="s">
        <v>4</v>
      </c>
      <c r="R91" s="2" t="s">
        <v>4</v>
      </c>
      <c r="S91" s="2" t="s">
        <v>4</v>
      </c>
    </row>
    <row r="92" spans="1:19" x14ac:dyDescent="0.2">
      <c r="G92" s="2" t="s">
        <v>5</v>
      </c>
      <c r="H92" s="2" t="s">
        <v>6</v>
      </c>
      <c r="I92" s="2" t="s">
        <v>7</v>
      </c>
      <c r="J92" s="2" t="s">
        <v>8</v>
      </c>
      <c r="K92" s="2" t="s">
        <v>9</v>
      </c>
      <c r="L92" s="2" t="s">
        <v>10</v>
      </c>
      <c r="M92" s="2" t="s">
        <v>11</v>
      </c>
      <c r="N92" s="2" t="s">
        <v>12</v>
      </c>
      <c r="O92" s="2" t="s">
        <v>13</v>
      </c>
      <c r="P92" s="2" t="s">
        <v>14</v>
      </c>
      <c r="Q92" s="2" t="s">
        <v>15</v>
      </c>
      <c r="R92" s="2" t="s">
        <v>16</v>
      </c>
      <c r="S92" s="2" t="s">
        <v>17</v>
      </c>
    </row>
    <row r="94" spans="1:19" x14ac:dyDescent="0.2">
      <c r="G94" s="2" t="s">
        <v>18</v>
      </c>
      <c r="H94" s="2" t="s">
        <v>18</v>
      </c>
      <c r="I94" s="2" t="s">
        <v>18</v>
      </c>
      <c r="J94" s="2" t="s">
        <v>18</v>
      </c>
      <c r="K94" s="2" t="s">
        <v>18</v>
      </c>
      <c r="L94" s="2" t="s">
        <v>18</v>
      </c>
      <c r="M94" s="2" t="s">
        <v>18</v>
      </c>
      <c r="N94" s="2" t="s">
        <v>18</v>
      </c>
      <c r="O94" s="2" t="s">
        <v>18</v>
      </c>
      <c r="P94" s="2" t="s">
        <v>18</v>
      </c>
      <c r="Q94" s="2" t="s">
        <v>18</v>
      </c>
      <c r="R94" s="2" t="s">
        <v>18</v>
      </c>
    </row>
    <row r="96" spans="1:19" ht="15" x14ac:dyDescent="0.25">
      <c r="A96" s="1" t="s">
        <v>61</v>
      </c>
    </row>
    <row r="97" spans="1:19" ht="15" x14ac:dyDescent="0.25">
      <c r="A97" s="1" t="s">
        <v>62</v>
      </c>
    </row>
    <row r="98" spans="1:19" x14ac:dyDescent="0.2">
      <c r="A98" s="2" t="s">
        <v>63</v>
      </c>
      <c r="G98" s="3">
        <v>19826000</v>
      </c>
      <c r="H98" s="3">
        <v>20527000</v>
      </c>
      <c r="I98" s="3">
        <v>20497959</v>
      </c>
      <c r="J98" s="3">
        <v>20674224.011750001</v>
      </c>
      <c r="K98" s="3">
        <v>20852772.340834752</v>
      </c>
      <c r="L98" s="3">
        <v>21240620.323466703</v>
      </c>
      <c r="M98" s="3">
        <v>21467188.844256785</v>
      </c>
      <c r="N98" s="3">
        <v>21593142.411100078</v>
      </c>
      <c r="O98" s="3">
        <v>21430074.306502253</v>
      </c>
      <c r="P98" s="3">
        <v>21720690.912633445</v>
      </c>
      <c r="Q98" s="3">
        <v>21822653.380389202</v>
      </c>
      <c r="R98" s="3">
        <v>21846175.425274972</v>
      </c>
      <c r="S98" s="3">
        <v>21739973.231850665</v>
      </c>
    </row>
    <row r="99" spans="1:19" x14ac:dyDescent="0.2">
      <c r="A99" s="2" t="s">
        <v>64</v>
      </c>
      <c r="G99" s="3">
        <v>0</v>
      </c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</row>
    <row r="100" spans="1:19" x14ac:dyDescent="0.2">
      <c r="A100" s="2" t="s">
        <v>65</v>
      </c>
      <c r="G100" s="3">
        <v>836000</v>
      </c>
      <c r="H100" s="3">
        <v>970000</v>
      </c>
      <c r="I100" s="3">
        <v>993280</v>
      </c>
      <c r="J100" s="3">
        <v>1016125.4399999999</v>
      </c>
      <c r="K100" s="3">
        <v>1040512.4505599999</v>
      </c>
      <c r="L100" s="3">
        <v>1065484.7493734399</v>
      </c>
      <c r="M100" s="3">
        <v>1089990.8986090289</v>
      </c>
      <c r="N100" s="3">
        <v>1113970.6983784277</v>
      </c>
      <c r="O100" s="3">
        <v>1139592.0244411314</v>
      </c>
      <c r="P100" s="3">
        <v>1168081.8250521596</v>
      </c>
      <c r="Q100" s="3">
        <v>1197283.8706784635</v>
      </c>
      <c r="R100" s="3">
        <v>1226018.6835747466</v>
      </c>
      <c r="S100" s="3">
        <v>1255443.1319805405</v>
      </c>
    </row>
    <row r="101" spans="1:19" x14ac:dyDescent="0.2">
      <c r="A101" s="2" t="s">
        <v>66</v>
      </c>
      <c r="G101" s="3">
        <v>8000</v>
      </c>
      <c r="H101" s="3">
        <v>5000</v>
      </c>
      <c r="I101" s="3">
        <v>5120</v>
      </c>
      <c r="J101" s="3">
        <v>5237.7599999999993</v>
      </c>
      <c r="K101" s="3">
        <v>5363.4662399999997</v>
      </c>
      <c r="L101" s="3">
        <v>5492.1894297600002</v>
      </c>
      <c r="M101" s="3">
        <v>5618.5097866444794</v>
      </c>
      <c r="N101" s="3">
        <v>5742.1170019506581</v>
      </c>
      <c r="O101" s="3">
        <v>5874.1856929955229</v>
      </c>
      <c r="P101" s="3">
        <v>6021.0403353204101</v>
      </c>
      <c r="Q101" s="3">
        <v>6171.56634370342</v>
      </c>
      <c r="R101" s="3">
        <v>6319.6839359523019</v>
      </c>
      <c r="S101" s="3">
        <v>6471.3563504151571</v>
      </c>
    </row>
    <row r="102" spans="1:19" x14ac:dyDescent="0.2">
      <c r="A102" s="2" t="s">
        <v>67</v>
      </c>
      <c r="G102" s="3">
        <v>49000</v>
      </c>
      <c r="H102" s="3">
        <v>109000</v>
      </c>
      <c r="I102" s="3">
        <v>111616</v>
      </c>
      <c r="J102" s="3">
        <v>114183.16799999999</v>
      </c>
      <c r="K102" s="3">
        <v>116923.56403199999</v>
      </c>
      <c r="L102" s="3">
        <v>119729.729568768</v>
      </c>
      <c r="M102" s="3">
        <v>122483.51334884965</v>
      </c>
      <c r="N102" s="3">
        <v>125178.15064252434</v>
      </c>
      <c r="O102" s="3">
        <v>128057.2481073024</v>
      </c>
      <c r="P102" s="3">
        <v>131258.67930998493</v>
      </c>
      <c r="Q102" s="3">
        <v>134540.14629273454</v>
      </c>
      <c r="R102" s="3">
        <v>137769.10980376016</v>
      </c>
      <c r="S102" s="3">
        <v>141075.5684390504</v>
      </c>
    </row>
    <row r="103" spans="1:19" ht="15" x14ac:dyDescent="0.25">
      <c r="A103" s="1" t="s">
        <v>68</v>
      </c>
      <c r="G103" s="3">
        <v>20719000</v>
      </c>
      <c r="H103" s="3">
        <v>21611000</v>
      </c>
      <c r="I103" s="3">
        <v>21607975</v>
      </c>
      <c r="J103" s="3">
        <v>21809770.379750006</v>
      </c>
      <c r="K103" s="3">
        <v>22015571.821666751</v>
      </c>
      <c r="L103" s="3">
        <v>22431326.991838671</v>
      </c>
      <c r="M103" s="3">
        <v>22685281.766001306</v>
      </c>
      <c r="N103" s="3">
        <v>22838033.377122983</v>
      </c>
      <c r="O103" s="3">
        <v>22703597.764743682</v>
      </c>
      <c r="P103" s="3">
        <v>23026052.457330912</v>
      </c>
      <c r="Q103" s="3">
        <v>23160648.963704102</v>
      </c>
      <c r="R103" s="3">
        <v>23216282.902589429</v>
      </c>
      <c r="S103" s="3">
        <v>23142963.288620673</v>
      </c>
    </row>
    <row r="104" spans="1:19" x14ac:dyDescent="0.2"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</row>
    <row r="105" spans="1:19" ht="15" x14ac:dyDescent="0.25">
      <c r="A105" s="1" t="s">
        <v>69</v>
      </c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</row>
    <row r="106" spans="1:19" x14ac:dyDescent="0.2">
      <c r="A106" s="2" t="s">
        <v>65</v>
      </c>
      <c r="G106" s="3">
        <v>32000</v>
      </c>
      <c r="H106" s="3">
        <v>32000</v>
      </c>
      <c r="I106" s="3">
        <v>32768</v>
      </c>
      <c r="J106" s="3">
        <v>33521.663999999997</v>
      </c>
      <c r="K106" s="3">
        <v>34326.183936000001</v>
      </c>
      <c r="L106" s="3">
        <v>35150.012350464</v>
      </c>
      <c r="M106" s="3">
        <v>35958.462634524665</v>
      </c>
      <c r="N106" s="3">
        <v>36749.548812484209</v>
      </c>
      <c r="O106" s="3">
        <v>37594.788435171344</v>
      </c>
      <c r="P106" s="3">
        <v>38534.65814605062</v>
      </c>
      <c r="Q106" s="3">
        <v>39498.024599701879</v>
      </c>
      <c r="R106" s="3">
        <v>40445.977190094723</v>
      </c>
      <c r="S106" s="3">
        <v>41416.680642656996</v>
      </c>
    </row>
    <row r="107" spans="1:19" x14ac:dyDescent="0.2">
      <c r="A107" s="2" t="s">
        <v>70</v>
      </c>
      <c r="G107" s="3">
        <v>197227000</v>
      </c>
      <c r="H107" s="3">
        <v>209182000</v>
      </c>
      <c r="I107" s="3">
        <v>209357989</v>
      </c>
      <c r="J107" s="3">
        <v>209287849</v>
      </c>
      <c r="K107" s="3">
        <v>209207668.75999999</v>
      </c>
      <c r="L107" s="3">
        <v>208955251.22623998</v>
      </c>
      <c r="M107" s="3">
        <v>208689706.05220351</v>
      </c>
      <c r="N107" s="3">
        <v>208435850.82233822</v>
      </c>
      <c r="O107" s="3">
        <v>208369821.23718604</v>
      </c>
      <c r="P107" s="3">
        <v>207962464.21240506</v>
      </c>
      <c r="Q107" s="3">
        <v>207700433.51200452</v>
      </c>
      <c r="R107" s="3">
        <v>207338015.94679439</v>
      </c>
      <c r="S107" s="3">
        <v>206994503.16001922</v>
      </c>
    </row>
    <row r="108" spans="1:19" x14ac:dyDescent="0.2">
      <c r="A108" s="2" t="s">
        <v>67</v>
      </c>
      <c r="G108" s="3">
        <v>522000</v>
      </c>
      <c r="H108" s="3">
        <v>594000</v>
      </c>
      <c r="I108" s="3">
        <v>608256</v>
      </c>
      <c r="J108" s="3">
        <v>622245.88799999992</v>
      </c>
      <c r="K108" s="3">
        <v>637179.78931199992</v>
      </c>
      <c r="L108" s="3">
        <v>652472.10425548791</v>
      </c>
      <c r="M108" s="3">
        <v>667478.96265336405</v>
      </c>
      <c r="N108" s="3">
        <v>682163.49983173807</v>
      </c>
      <c r="O108" s="3">
        <v>697853.26032786793</v>
      </c>
      <c r="P108" s="3">
        <v>715299.59183606459</v>
      </c>
      <c r="Q108" s="3">
        <v>733182.08163196617</v>
      </c>
      <c r="R108" s="3">
        <v>750778.45159113337</v>
      </c>
      <c r="S108" s="3">
        <v>768797.13442932058</v>
      </c>
    </row>
    <row r="109" spans="1:19" ht="15" x14ac:dyDescent="0.25">
      <c r="A109" s="1" t="s">
        <v>71</v>
      </c>
      <c r="G109" s="3">
        <v>197781000</v>
      </c>
      <c r="H109" s="3">
        <v>209808000</v>
      </c>
      <c r="I109" s="3">
        <v>209999013</v>
      </c>
      <c r="J109" s="3">
        <v>209943616.55200002</v>
      </c>
      <c r="K109" s="3">
        <v>209879174.733248</v>
      </c>
      <c r="L109" s="3">
        <v>209642873.34284595</v>
      </c>
      <c r="M109" s="3">
        <v>209393143.47749141</v>
      </c>
      <c r="N109" s="3">
        <v>209154763.87098244</v>
      </c>
      <c r="O109" s="3">
        <v>209105269.28594908</v>
      </c>
      <c r="P109" s="3">
        <v>208716298.46238717</v>
      </c>
      <c r="Q109" s="3">
        <v>208473113.61823618</v>
      </c>
      <c r="R109" s="3">
        <v>208129240.37557563</v>
      </c>
      <c r="S109" s="3">
        <v>207804716.97509119</v>
      </c>
    </row>
    <row r="110" spans="1:19" x14ac:dyDescent="0.2"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</row>
    <row r="111" spans="1:19" ht="15" x14ac:dyDescent="0.25">
      <c r="A111" s="1" t="s">
        <v>72</v>
      </c>
      <c r="G111" s="3">
        <v>218500000</v>
      </c>
      <c r="H111" s="3">
        <v>231419000</v>
      </c>
      <c r="I111" s="3">
        <v>231606988</v>
      </c>
      <c r="J111" s="3">
        <v>231753386.93175003</v>
      </c>
      <c r="K111" s="3">
        <v>231894746.55491474</v>
      </c>
      <c r="L111" s="3">
        <v>232074200.33468461</v>
      </c>
      <c r="M111" s="3">
        <v>232078425.24349272</v>
      </c>
      <c r="N111" s="3">
        <v>231992797.24810541</v>
      </c>
      <c r="O111" s="3">
        <v>231808867.05069277</v>
      </c>
      <c r="P111" s="3">
        <v>231742350.91971809</v>
      </c>
      <c r="Q111" s="3">
        <v>231633762.58194029</v>
      </c>
      <c r="R111" s="3">
        <v>231345523.27816507</v>
      </c>
      <c r="S111" s="3">
        <v>230947680.26371187</v>
      </c>
    </row>
    <row r="112" spans="1:19" x14ac:dyDescent="0.2"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</row>
    <row r="113" spans="1:19" ht="15" x14ac:dyDescent="0.25">
      <c r="A113" s="1" t="s">
        <v>73</v>
      </c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</row>
    <row r="114" spans="1:19" x14ac:dyDescent="0.2"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</row>
    <row r="115" spans="1:19" ht="15" x14ac:dyDescent="0.25">
      <c r="A115" s="1" t="s">
        <v>74</v>
      </c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</row>
    <row r="116" spans="1:19" x14ac:dyDescent="0.2">
      <c r="A116" s="2" t="s">
        <v>75</v>
      </c>
      <c r="G116" s="3">
        <v>3743000</v>
      </c>
      <c r="H116" s="3">
        <v>3315000</v>
      </c>
      <c r="I116" s="3">
        <v>3394560</v>
      </c>
      <c r="J116" s="3">
        <v>3472634.88</v>
      </c>
      <c r="K116" s="3">
        <v>3555978.1171200001</v>
      </c>
      <c r="L116" s="3">
        <v>3641321.5919308802</v>
      </c>
      <c r="M116" s="3">
        <v>3725071.9885452902</v>
      </c>
      <c r="N116" s="3">
        <v>3807023.5722932867</v>
      </c>
      <c r="O116" s="3">
        <v>3894585.1144560319</v>
      </c>
      <c r="P116" s="3">
        <v>3991949.7423174325</v>
      </c>
      <c r="Q116" s="3">
        <v>4091748.4858753681</v>
      </c>
      <c r="R116" s="3">
        <v>4189950.4495363771</v>
      </c>
      <c r="S116" s="3">
        <v>4290509.2603252502</v>
      </c>
    </row>
    <row r="117" spans="1:19" x14ac:dyDescent="0.2">
      <c r="A117" s="2" t="s">
        <v>76</v>
      </c>
      <c r="G117" s="3">
        <v>273000</v>
      </c>
      <c r="H117" s="3">
        <v>293000</v>
      </c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</row>
    <row r="118" spans="1:19" x14ac:dyDescent="0.2">
      <c r="A118" s="2" t="s">
        <v>77</v>
      </c>
      <c r="G118" s="3">
        <v>34000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3">
        <v>0</v>
      </c>
      <c r="P118" s="3">
        <v>0</v>
      </c>
      <c r="Q118" s="3">
        <v>0</v>
      </c>
      <c r="R118" s="3">
        <v>0</v>
      </c>
      <c r="S118" s="3">
        <v>0</v>
      </c>
    </row>
    <row r="119" spans="1:19" x14ac:dyDescent="0.2">
      <c r="A119" s="2" t="s">
        <v>78</v>
      </c>
      <c r="G119" s="3">
        <v>1924000</v>
      </c>
      <c r="H119" s="3">
        <v>1915000</v>
      </c>
      <c r="I119" s="3">
        <v>1960960</v>
      </c>
      <c r="J119" s="3">
        <v>2006062.0799999998</v>
      </c>
      <c r="K119" s="3">
        <v>2054207.5699199999</v>
      </c>
      <c r="L119" s="3">
        <v>2103508.55159808</v>
      </c>
      <c r="M119" s="3">
        <v>2151889.2482848358</v>
      </c>
      <c r="N119" s="3">
        <v>2199230.8117471021</v>
      </c>
      <c r="O119" s="3">
        <v>2249813.1204172852</v>
      </c>
      <c r="P119" s="3">
        <v>2306058.4484277172</v>
      </c>
      <c r="Q119" s="3">
        <v>2363709.90963841</v>
      </c>
      <c r="R119" s="3">
        <v>2420438.9474697318</v>
      </c>
      <c r="S119" s="3">
        <v>2478529.4822090054</v>
      </c>
    </row>
    <row r="120" spans="1:19" ht="15" x14ac:dyDescent="0.25">
      <c r="A120" s="1" t="s">
        <v>79</v>
      </c>
      <c r="G120" s="3">
        <v>5974000</v>
      </c>
      <c r="H120" s="3">
        <v>5523000</v>
      </c>
      <c r="I120" s="3">
        <v>5355520</v>
      </c>
      <c r="J120" s="3">
        <v>5478696.96</v>
      </c>
      <c r="K120" s="3">
        <v>5610185.6870400002</v>
      </c>
      <c r="L120" s="3">
        <v>5744830.1435289606</v>
      </c>
      <c r="M120" s="3">
        <v>5876961.2368301265</v>
      </c>
      <c r="N120" s="3">
        <v>6006254.3840403892</v>
      </c>
      <c r="O120" s="3">
        <v>6144398.2348733172</v>
      </c>
      <c r="P120" s="3">
        <v>6298008.1907451497</v>
      </c>
      <c r="Q120" s="3">
        <v>6455458.3955137786</v>
      </c>
      <c r="R120" s="3">
        <v>6610389.3970061094</v>
      </c>
      <c r="S120" s="3">
        <v>6769038.7425342556</v>
      </c>
    </row>
    <row r="121" spans="1:19" x14ac:dyDescent="0.2"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</row>
    <row r="122" spans="1:19" ht="15" x14ac:dyDescent="0.25">
      <c r="A122" s="1" t="s">
        <v>80</v>
      </c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</row>
    <row r="123" spans="1:19" x14ac:dyDescent="0.2">
      <c r="A123" s="2" t="s">
        <v>75</v>
      </c>
      <c r="G123" s="3">
        <v>0</v>
      </c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</row>
    <row r="124" spans="1:19" x14ac:dyDescent="0.2">
      <c r="A124" s="2" t="s">
        <v>77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</row>
    <row r="125" spans="1:19" x14ac:dyDescent="0.2">
      <c r="A125" s="2" t="s">
        <v>78</v>
      </c>
      <c r="G125" s="3">
        <v>10000</v>
      </c>
      <c r="H125" s="3">
        <v>18000</v>
      </c>
      <c r="I125" s="3">
        <v>18432</v>
      </c>
      <c r="J125" s="3">
        <v>18855.935999999998</v>
      </c>
      <c r="K125" s="3">
        <v>19308.478464</v>
      </c>
      <c r="L125" s="3">
        <v>19771.881947136</v>
      </c>
      <c r="M125" s="3">
        <v>20226.635231920125</v>
      </c>
      <c r="N125" s="3">
        <v>20671.621207022366</v>
      </c>
      <c r="O125" s="3">
        <v>21147.068494783878</v>
      </c>
      <c r="P125" s="3">
        <v>21675.745207153472</v>
      </c>
      <c r="Q125" s="3">
        <v>22217.638837332306</v>
      </c>
      <c r="R125" s="3">
        <v>22750.862169428281</v>
      </c>
      <c r="S125" s="3">
        <v>23296.88286149456</v>
      </c>
    </row>
    <row r="126" spans="1:19" ht="15" x14ac:dyDescent="0.25">
      <c r="A126" s="1" t="s">
        <v>81</v>
      </c>
      <c r="G126" s="3">
        <v>10000</v>
      </c>
      <c r="H126" s="3">
        <v>18000</v>
      </c>
      <c r="I126" s="3">
        <v>18432</v>
      </c>
      <c r="J126" s="3">
        <v>18855.935999999998</v>
      </c>
      <c r="K126" s="3">
        <v>19308.478464</v>
      </c>
      <c r="L126" s="3">
        <v>19771.881947136</v>
      </c>
      <c r="M126" s="3">
        <v>20226.635231920125</v>
      </c>
      <c r="N126" s="3">
        <v>20671.621207022366</v>
      </c>
      <c r="O126" s="3">
        <v>21147.068494783878</v>
      </c>
      <c r="P126" s="3">
        <v>21675.745207153472</v>
      </c>
      <c r="Q126" s="3">
        <v>22217.638837332306</v>
      </c>
      <c r="R126" s="3">
        <v>22750.862169428281</v>
      </c>
      <c r="S126" s="3">
        <v>23296.88286149456</v>
      </c>
    </row>
    <row r="127" spans="1:19" x14ac:dyDescent="0.2"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</row>
    <row r="128" spans="1:19" ht="15" x14ac:dyDescent="0.25">
      <c r="A128" s="1" t="s">
        <v>82</v>
      </c>
      <c r="G128" s="3">
        <v>5984000</v>
      </c>
      <c r="H128" s="3">
        <v>5541000</v>
      </c>
      <c r="I128" s="3">
        <v>5373952</v>
      </c>
      <c r="J128" s="3">
        <v>5497552.8959999997</v>
      </c>
      <c r="K128" s="3">
        <v>5629494.1655040001</v>
      </c>
      <c r="L128" s="3">
        <v>5764602.0254760962</v>
      </c>
      <c r="M128" s="3">
        <v>5897187.872062047</v>
      </c>
      <c r="N128" s="3">
        <v>6026926.0052474113</v>
      </c>
      <c r="O128" s="3">
        <v>6165545.3033681009</v>
      </c>
      <c r="P128" s="3">
        <v>6319683.935952303</v>
      </c>
      <c r="Q128" s="3">
        <v>6477676.0343511105</v>
      </c>
      <c r="R128" s="3">
        <v>6633140.2591755381</v>
      </c>
      <c r="S128" s="3">
        <v>6792335.6253957506</v>
      </c>
    </row>
    <row r="129" spans="1:19" x14ac:dyDescent="0.2"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</row>
    <row r="130" spans="1:19" ht="15" x14ac:dyDescent="0.25">
      <c r="A130" s="1" t="s">
        <v>83</v>
      </c>
      <c r="G130" s="3">
        <v>212516000</v>
      </c>
      <c r="H130" s="3">
        <v>225878000</v>
      </c>
      <c r="I130" s="3">
        <v>226233036</v>
      </c>
      <c r="J130" s="3">
        <v>226255834.03575003</v>
      </c>
      <c r="K130" s="3">
        <v>226265252.38941073</v>
      </c>
      <c r="L130" s="3">
        <v>226309598.30920851</v>
      </c>
      <c r="M130" s="3">
        <v>226181237.37143067</v>
      </c>
      <c r="N130" s="3">
        <v>225965871.24285799</v>
      </c>
      <c r="O130" s="3">
        <v>225643321.74732468</v>
      </c>
      <c r="P130" s="3">
        <v>225422666.98376578</v>
      </c>
      <c r="Q130" s="3">
        <v>225156086.54758918</v>
      </c>
      <c r="R130" s="3">
        <v>224712383.01898953</v>
      </c>
      <c r="S130" s="3">
        <v>224155344.63831612</v>
      </c>
    </row>
    <row r="131" spans="1:19" x14ac:dyDescent="0.2"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</row>
    <row r="132" spans="1:19" ht="15" x14ac:dyDescent="0.25">
      <c r="A132" s="1" t="s">
        <v>84</v>
      </c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</row>
    <row r="133" spans="1:19" x14ac:dyDescent="0.2">
      <c r="A133" s="2" t="s">
        <v>85</v>
      </c>
      <c r="G133" s="3">
        <v>109656000</v>
      </c>
      <c r="H133" s="3">
        <v>109647000</v>
      </c>
      <c r="I133" s="3">
        <v>110002036</v>
      </c>
      <c r="J133" s="3">
        <v>110024834.03575</v>
      </c>
      <c r="K133" s="3">
        <v>110034252.38941075</v>
      </c>
      <c r="L133" s="3">
        <v>110078598.30920853</v>
      </c>
      <c r="M133" s="3">
        <v>109950237.37143067</v>
      </c>
      <c r="N133" s="3">
        <v>109734871.24285802</v>
      </c>
      <c r="O133" s="3">
        <v>109412321.74732468</v>
      </c>
      <c r="P133" s="3">
        <v>109191666.98376578</v>
      </c>
      <c r="Q133" s="3">
        <v>108925086.54758921</v>
      </c>
      <c r="R133" s="3">
        <v>108481383.01898955</v>
      </c>
      <c r="S133" s="3">
        <v>107924344.63831615</v>
      </c>
    </row>
    <row r="134" spans="1:19" x14ac:dyDescent="0.2">
      <c r="A134" s="2" t="s">
        <v>86</v>
      </c>
      <c r="G134" s="3">
        <v>102860000</v>
      </c>
      <c r="H134" s="3">
        <v>116231000</v>
      </c>
      <c r="I134" s="3">
        <v>116231000</v>
      </c>
      <c r="J134" s="3">
        <v>116231000</v>
      </c>
      <c r="K134" s="3">
        <v>116231000</v>
      </c>
      <c r="L134" s="3">
        <v>116231000</v>
      </c>
      <c r="M134" s="3">
        <v>116231000</v>
      </c>
      <c r="N134" s="3">
        <v>116231000</v>
      </c>
      <c r="O134" s="3">
        <v>116231000</v>
      </c>
      <c r="P134" s="3">
        <v>116231000</v>
      </c>
      <c r="Q134" s="3">
        <v>116231000</v>
      </c>
      <c r="R134" s="3">
        <v>116231000</v>
      </c>
      <c r="S134" s="3">
        <v>116231000</v>
      </c>
    </row>
    <row r="135" spans="1:19" x14ac:dyDescent="0.2">
      <c r="A135" s="2" t="s">
        <v>87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</row>
    <row r="136" spans="1:19" x14ac:dyDescent="0.2">
      <c r="A136" s="2" t="s">
        <v>88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0</v>
      </c>
    </row>
    <row r="137" spans="1:19" ht="15" x14ac:dyDescent="0.25">
      <c r="A137" s="1" t="s">
        <v>89</v>
      </c>
      <c r="G137" s="3">
        <v>212516000</v>
      </c>
      <c r="H137" s="3">
        <v>225878000</v>
      </c>
      <c r="I137" s="3">
        <v>226233036</v>
      </c>
      <c r="J137" s="3">
        <v>226255834.03575</v>
      </c>
      <c r="K137" s="3">
        <v>226265252.38941073</v>
      </c>
      <c r="L137" s="3">
        <v>226309598.30920851</v>
      </c>
      <c r="M137" s="3">
        <v>226181237.37143067</v>
      </c>
      <c r="N137" s="3">
        <v>225965871.24285802</v>
      </c>
      <c r="O137" s="3">
        <v>225643321.74732468</v>
      </c>
      <c r="P137" s="3">
        <v>225422666.98376578</v>
      </c>
      <c r="Q137" s="3">
        <v>225156086.54758921</v>
      </c>
      <c r="R137" s="3">
        <v>224712383.01898956</v>
      </c>
      <c r="S137" s="3">
        <v>224155344.63831615</v>
      </c>
    </row>
    <row r="138" spans="1:19" ht="15" x14ac:dyDescent="0.25">
      <c r="A138" s="1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</row>
    <row r="140" spans="1:19" ht="15" x14ac:dyDescent="0.25">
      <c r="A140" s="1" t="s">
        <v>131</v>
      </c>
    </row>
    <row r="141" spans="1:19" ht="15" x14ac:dyDescent="0.25">
      <c r="A141" s="1" t="s">
        <v>42</v>
      </c>
    </row>
    <row r="142" spans="1:19" ht="15" x14ac:dyDescent="0.25">
      <c r="A142" s="1" t="s">
        <v>90</v>
      </c>
    </row>
    <row r="144" spans="1:19" x14ac:dyDescent="0.2">
      <c r="G144" s="2" t="s">
        <v>2</v>
      </c>
      <c r="H144" s="2" t="s">
        <v>4</v>
      </c>
      <c r="I144" s="2" t="s">
        <v>4</v>
      </c>
      <c r="J144" s="2" t="s">
        <v>4</v>
      </c>
      <c r="K144" s="2" t="s">
        <v>4</v>
      </c>
      <c r="L144" s="2" t="s">
        <v>4</v>
      </c>
      <c r="M144" s="2" t="s">
        <v>4</v>
      </c>
      <c r="N144" s="2" t="s">
        <v>4</v>
      </c>
      <c r="O144" s="2" t="s">
        <v>4</v>
      </c>
      <c r="P144" s="2" t="s">
        <v>4</v>
      </c>
      <c r="Q144" s="2" t="s">
        <v>4</v>
      </c>
      <c r="R144" s="2" t="s">
        <v>4</v>
      </c>
      <c r="S144" s="2" t="s">
        <v>4</v>
      </c>
    </row>
    <row r="145" spans="1:19" x14ac:dyDescent="0.2">
      <c r="G145" s="2" t="s">
        <v>5</v>
      </c>
      <c r="H145" s="2" t="s">
        <v>6</v>
      </c>
      <c r="I145" s="2" t="s">
        <v>7</v>
      </c>
      <c r="J145" s="2" t="s">
        <v>8</v>
      </c>
      <c r="K145" s="2" t="s">
        <v>9</v>
      </c>
      <c r="L145" s="2" t="s">
        <v>10</v>
      </c>
      <c r="M145" s="2" t="s">
        <v>11</v>
      </c>
      <c r="N145" s="2" t="s">
        <v>12</v>
      </c>
      <c r="O145" s="2" t="s">
        <v>13</v>
      </c>
      <c r="P145" s="2" t="s">
        <v>14</v>
      </c>
      <c r="Q145" s="2" t="s">
        <v>15</v>
      </c>
      <c r="R145" s="2" t="s">
        <v>16</v>
      </c>
      <c r="S145" s="2" t="s">
        <v>17</v>
      </c>
    </row>
    <row r="147" spans="1:19" x14ac:dyDescent="0.2">
      <c r="G147" s="2" t="s">
        <v>18</v>
      </c>
      <c r="H147" s="2" t="s">
        <v>18</v>
      </c>
      <c r="I147" s="2" t="s">
        <v>18</v>
      </c>
      <c r="J147" s="2" t="s">
        <v>18</v>
      </c>
      <c r="K147" s="2" t="s">
        <v>18</v>
      </c>
      <c r="L147" s="2" t="s">
        <v>18</v>
      </c>
      <c r="M147" s="2" t="s">
        <v>18</v>
      </c>
      <c r="N147" s="2" t="s">
        <v>18</v>
      </c>
      <c r="O147" s="2" t="s">
        <v>18</v>
      </c>
      <c r="P147" s="2" t="s">
        <v>18</v>
      </c>
      <c r="Q147" s="2" t="s">
        <v>18</v>
      </c>
      <c r="R147" s="2" t="s">
        <v>18</v>
      </c>
    </row>
    <row r="149" spans="1:19" ht="15" x14ac:dyDescent="0.25">
      <c r="A149" s="1" t="s">
        <v>90</v>
      </c>
    </row>
    <row r="150" spans="1:19" x14ac:dyDescent="0.2">
      <c r="A150" s="2" t="s">
        <v>91</v>
      </c>
      <c r="G150" s="3">
        <v>95000</v>
      </c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</row>
    <row r="151" spans="1:19" x14ac:dyDescent="0.2">
      <c r="A151" s="2" t="s">
        <v>92</v>
      </c>
      <c r="G151" s="3">
        <v>198000</v>
      </c>
      <c r="H151" s="3">
        <v>291900</v>
      </c>
      <c r="I151" s="3">
        <v>453900</v>
      </c>
      <c r="J151" s="3">
        <v>233315</v>
      </c>
      <c r="K151" s="3">
        <v>308737.76</v>
      </c>
      <c r="L151" s="3">
        <v>246388.46624000001</v>
      </c>
      <c r="M151" s="3">
        <v>229346.82596352001</v>
      </c>
      <c r="N151" s="3">
        <v>326507.5361347174</v>
      </c>
      <c r="O151" s="3">
        <v>445936.50946581597</v>
      </c>
      <c r="P151" s="3">
        <v>145279.92220246134</v>
      </c>
      <c r="Q151" s="3">
        <v>415976.92025752284</v>
      </c>
      <c r="R151" s="3">
        <v>365646.56634370342</v>
      </c>
      <c r="S151" s="3">
        <v>365794.68393595231</v>
      </c>
    </row>
    <row r="152" spans="1:19" x14ac:dyDescent="0.2">
      <c r="A152" s="2" t="s">
        <v>93</v>
      </c>
      <c r="G152" s="3">
        <v>53000</v>
      </c>
      <c r="H152" s="3">
        <v>169709</v>
      </c>
      <c r="I152" s="3">
        <v>581000</v>
      </c>
      <c r="J152" s="3">
        <v>92000</v>
      </c>
      <c r="K152" s="3">
        <v>55000</v>
      </c>
      <c r="L152" s="3">
        <v>100000</v>
      </c>
      <c r="M152" s="3">
        <v>94000</v>
      </c>
      <c r="N152" s="3">
        <v>55000</v>
      </c>
      <c r="O152" s="3">
        <v>90000</v>
      </c>
      <c r="P152" s="3">
        <v>55000</v>
      </c>
      <c r="Q152" s="3">
        <v>55000</v>
      </c>
      <c r="R152" s="3">
        <v>55000</v>
      </c>
      <c r="S152" s="3">
        <v>55000</v>
      </c>
    </row>
    <row r="153" spans="1:19" x14ac:dyDescent="0.2">
      <c r="A153" s="2" t="s">
        <v>94</v>
      </c>
      <c r="G153" s="3">
        <v>23000</v>
      </c>
      <c r="H153" s="3">
        <v>25000</v>
      </c>
      <c r="I153" s="3">
        <v>0</v>
      </c>
      <c r="J153" s="3">
        <v>175000</v>
      </c>
      <c r="K153" s="3">
        <v>43000</v>
      </c>
      <c r="L153" s="3">
        <v>100000</v>
      </c>
      <c r="M153" s="3">
        <v>25000</v>
      </c>
      <c r="N153" s="3">
        <v>190000</v>
      </c>
      <c r="O153" s="3">
        <v>55000</v>
      </c>
      <c r="P153" s="3">
        <v>0</v>
      </c>
      <c r="Q153" s="3">
        <v>90000</v>
      </c>
      <c r="R153" s="3">
        <v>0</v>
      </c>
      <c r="S153" s="3">
        <v>160000</v>
      </c>
    </row>
    <row r="154" spans="1:19" x14ac:dyDescent="0.2">
      <c r="A154" s="2" t="s">
        <v>95</v>
      </c>
      <c r="G154" s="3"/>
      <c r="H154" s="3"/>
      <c r="I154" s="3"/>
      <c r="J154" s="3">
        <v>0</v>
      </c>
      <c r="K154" s="3">
        <v>0</v>
      </c>
      <c r="L154" s="3">
        <v>0</v>
      </c>
      <c r="M154" s="3">
        <v>0</v>
      </c>
      <c r="N154" s="3">
        <v>0</v>
      </c>
      <c r="O154" s="3">
        <v>0</v>
      </c>
      <c r="P154" s="3">
        <v>0</v>
      </c>
      <c r="Q154" s="3">
        <v>0</v>
      </c>
      <c r="R154" s="3">
        <v>0</v>
      </c>
      <c r="S154" s="3">
        <v>0</v>
      </c>
    </row>
    <row r="155" spans="1:19" x14ac:dyDescent="0.2">
      <c r="A155" s="2" t="s">
        <v>96</v>
      </c>
      <c r="G155" s="3"/>
      <c r="H155" s="3"/>
      <c r="I155" s="3">
        <v>0</v>
      </c>
      <c r="J155" s="3">
        <v>0</v>
      </c>
      <c r="K155" s="3">
        <v>0</v>
      </c>
      <c r="L155" s="3">
        <v>0</v>
      </c>
      <c r="M155" s="3">
        <v>0</v>
      </c>
      <c r="N155" s="3">
        <v>0</v>
      </c>
      <c r="O155" s="3">
        <v>0</v>
      </c>
      <c r="P155" s="3">
        <v>0</v>
      </c>
      <c r="Q155" s="3">
        <v>0</v>
      </c>
      <c r="R155" s="3">
        <v>0</v>
      </c>
      <c r="S155" s="3">
        <v>0</v>
      </c>
    </row>
    <row r="156" spans="1:19" x14ac:dyDescent="0.2">
      <c r="A156" s="2" t="s">
        <v>97</v>
      </c>
      <c r="G156" s="3"/>
      <c r="H156" s="3"/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 s="3">
        <v>0</v>
      </c>
      <c r="P156" s="3">
        <v>0</v>
      </c>
      <c r="Q156" s="3">
        <v>0</v>
      </c>
      <c r="R156" s="3">
        <v>0</v>
      </c>
      <c r="S156" s="3">
        <v>0</v>
      </c>
    </row>
    <row r="157" spans="1:19" x14ac:dyDescent="0.2">
      <c r="A157" s="2" t="s">
        <v>98</v>
      </c>
      <c r="G157" s="3"/>
      <c r="H157" s="3"/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  <c r="S157" s="3">
        <v>0</v>
      </c>
    </row>
    <row r="158" spans="1:19" x14ac:dyDescent="0.2">
      <c r="A158" s="2" t="s">
        <v>99</v>
      </c>
      <c r="G158" s="3"/>
      <c r="H158" s="3">
        <v>50000</v>
      </c>
      <c r="I158" s="3">
        <v>0</v>
      </c>
      <c r="J158" s="3">
        <v>0</v>
      </c>
      <c r="K158" s="3">
        <v>0</v>
      </c>
      <c r="L158" s="3">
        <v>25000</v>
      </c>
      <c r="M158" s="3">
        <v>25000</v>
      </c>
      <c r="N158" s="3">
        <v>0</v>
      </c>
      <c r="O158" s="3">
        <v>115000</v>
      </c>
      <c r="P158" s="3">
        <v>70000</v>
      </c>
      <c r="Q158" s="3">
        <v>40000</v>
      </c>
      <c r="R158" s="3">
        <v>65000</v>
      </c>
      <c r="S158" s="3">
        <v>0</v>
      </c>
    </row>
    <row r="159" spans="1:19" x14ac:dyDescent="0.2">
      <c r="A159" s="2" t="s">
        <v>100</v>
      </c>
      <c r="G159" s="3">
        <v>55000</v>
      </c>
      <c r="H159" s="3">
        <v>410000</v>
      </c>
      <c r="I159" s="3">
        <v>373418</v>
      </c>
      <c r="J159" s="3">
        <v>0</v>
      </c>
      <c r="K159" s="3">
        <v>172846</v>
      </c>
      <c r="L159" s="3">
        <v>201994</v>
      </c>
      <c r="M159" s="3">
        <v>366065</v>
      </c>
      <c r="N159" s="3">
        <v>185049</v>
      </c>
      <c r="O159" s="3">
        <v>189305</v>
      </c>
      <c r="P159" s="3">
        <v>194037</v>
      </c>
      <c r="Q159" s="3">
        <v>243888</v>
      </c>
      <c r="R159" s="3">
        <v>203662</v>
      </c>
      <c r="S159" s="3">
        <v>208550</v>
      </c>
    </row>
    <row r="160" spans="1:19" x14ac:dyDescent="0.2">
      <c r="A160" s="2" t="s">
        <v>101</v>
      </c>
      <c r="G160" s="3">
        <v>30000</v>
      </c>
      <c r="H160" s="3">
        <v>796027</v>
      </c>
      <c r="I160" s="3">
        <v>50000</v>
      </c>
      <c r="J160" s="3">
        <v>301295</v>
      </c>
      <c r="K160" s="3">
        <v>155000</v>
      </c>
      <c r="L160" s="3">
        <v>152500</v>
      </c>
      <c r="M160" s="3">
        <v>232500</v>
      </c>
      <c r="N160" s="3">
        <v>90000</v>
      </c>
      <c r="O160" s="3">
        <v>307500</v>
      </c>
      <c r="P160" s="3">
        <v>102500</v>
      </c>
      <c r="Q160" s="3">
        <v>167500</v>
      </c>
      <c r="R160" s="3">
        <v>102500</v>
      </c>
      <c r="S160" s="3">
        <v>182500</v>
      </c>
    </row>
    <row r="161" spans="1:19" x14ac:dyDescent="0.2">
      <c r="A161" s="2" t="s">
        <v>102</v>
      </c>
      <c r="G161" s="3">
        <v>219000</v>
      </c>
      <c r="H161" s="3">
        <v>606105</v>
      </c>
      <c r="I161" s="3">
        <v>214490</v>
      </c>
      <c r="J161" s="3">
        <v>171112</v>
      </c>
      <c r="K161" s="3">
        <v>408565</v>
      </c>
      <c r="L161" s="3">
        <v>313877</v>
      </c>
      <c r="M161" s="3">
        <v>216109</v>
      </c>
      <c r="N161" s="3">
        <v>365893</v>
      </c>
      <c r="O161" s="3">
        <v>244363</v>
      </c>
      <c r="P161" s="3">
        <v>409095</v>
      </c>
      <c r="Q161" s="3">
        <v>343946</v>
      </c>
      <c r="R161" s="3">
        <v>528720</v>
      </c>
      <c r="S161" s="3">
        <v>343608</v>
      </c>
    </row>
    <row r="162" spans="1:19" x14ac:dyDescent="0.2">
      <c r="A162" s="2" t="s">
        <v>103</v>
      </c>
      <c r="G162" s="3">
        <v>1209000</v>
      </c>
      <c r="H162" s="3">
        <v>590142</v>
      </c>
      <c r="I162" s="3">
        <v>559285</v>
      </c>
      <c r="J162" s="3">
        <v>788465</v>
      </c>
      <c r="K162" s="3">
        <v>915775</v>
      </c>
      <c r="L162" s="3">
        <v>746049</v>
      </c>
      <c r="M162" s="3">
        <v>744843</v>
      </c>
      <c r="N162" s="3">
        <v>726931</v>
      </c>
      <c r="O162" s="3">
        <v>838786</v>
      </c>
      <c r="P162" s="3">
        <v>918786</v>
      </c>
      <c r="Q162" s="3">
        <v>838786</v>
      </c>
      <c r="R162" s="3">
        <v>838786</v>
      </c>
      <c r="S162" s="3">
        <v>888786</v>
      </c>
    </row>
    <row r="163" spans="1:19" x14ac:dyDescent="0.2">
      <c r="A163" s="2" t="s">
        <v>104</v>
      </c>
      <c r="G163" s="3">
        <v>173000</v>
      </c>
      <c r="H163" s="3">
        <v>740669</v>
      </c>
      <c r="I163" s="3">
        <v>161655</v>
      </c>
      <c r="J163" s="3">
        <v>103050</v>
      </c>
      <c r="K163" s="3">
        <v>112620</v>
      </c>
      <c r="L163" s="3">
        <v>118850</v>
      </c>
      <c r="M163" s="3">
        <v>125200</v>
      </c>
      <c r="N163" s="3">
        <v>127720</v>
      </c>
      <c r="O163" s="3">
        <v>120650</v>
      </c>
      <c r="P163" s="3">
        <v>130000</v>
      </c>
      <c r="Q163" s="3">
        <v>130000</v>
      </c>
      <c r="R163" s="3">
        <v>130000</v>
      </c>
      <c r="S163" s="3">
        <v>130000</v>
      </c>
    </row>
    <row r="164" spans="1:19" x14ac:dyDescent="0.2">
      <c r="A164" s="2" t="s">
        <v>105</v>
      </c>
      <c r="G164" s="3">
        <v>362000</v>
      </c>
      <c r="H164" s="3">
        <v>100297</v>
      </c>
      <c r="I164" s="3">
        <v>98416</v>
      </c>
      <c r="J164" s="3">
        <v>89325</v>
      </c>
      <c r="K164" s="3">
        <v>98000</v>
      </c>
      <c r="L164" s="3">
        <v>81550</v>
      </c>
      <c r="M164" s="3">
        <v>96000</v>
      </c>
      <c r="N164" s="3">
        <v>92627</v>
      </c>
      <c r="O164" s="3">
        <v>111087</v>
      </c>
      <c r="P164" s="3">
        <v>111087</v>
      </c>
      <c r="Q164" s="3">
        <v>111087</v>
      </c>
      <c r="R164" s="3">
        <v>111087</v>
      </c>
      <c r="S164" s="3">
        <v>111087</v>
      </c>
    </row>
    <row r="165" spans="1:19" x14ac:dyDescent="0.2">
      <c r="A165" s="2" t="s">
        <v>106</v>
      </c>
      <c r="G165" s="3">
        <v>174000</v>
      </c>
      <c r="H165" s="3">
        <v>121502</v>
      </c>
      <c r="I165" s="3">
        <v>46387</v>
      </c>
      <c r="J165" s="3">
        <v>253090</v>
      </c>
      <c r="K165" s="3">
        <v>75504</v>
      </c>
      <c r="L165" s="3">
        <v>112361</v>
      </c>
      <c r="M165" s="3">
        <v>58925</v>
      </c>
      <c r="N165" s="3">
        <v>121800</v>
      </c>
      <c r="O165" s="3">
        <v>48628</v>
      </c>
      <c r="P165" s="3">
        <v>48628</v>
      </c>
      <c r="Q165" s="3">
        <v>48628</v>
      </c>
      <c r="R165" s="3">
        <v>48628</v>
      </c>
      <c r="S165" s="3">
        <v>48628</v>
      </c>
    </row>
    <row r="166" spans="1:19" ht="15" x14ac:dyDescent="0.25">
      <c r="A166" s="1" t="s">
        <v>107</v>
      </c>
      <c r="G166" s="3">
        <v>2591000</v>
      </c>
      <c r="H166" s="3">
        <v>3901351</v>
      </c>
      <c r="I166" s="3">
        <v>2538551</v>
      </c>
      <c r="J166" s="3">
        <v>2206652</v>
      </c>
      <c r="K166" s="3">
        <v>2345047.7599999998</v>
      </c>
      <c r="L166" s="3">
        <v>2198569.46624</v>
      </c>
      <c r="M166" s="3">
        <v>2212988.82596352</v>
      </c>
      <c r="N166" s="3">
        <v>2281527.5361347175</v>
      </c>
      <c r="O166" s="3">
        <v>2566255.509465816</v>
      </c>
      <c r="P166" s="3">
        <v>2184412.9222024614</v>
      </c>
      <c r="Q166" s="3">
        <v>2484811.9202575227</v>
      </c>
      <c r="R166" s="3">
        <v>2449029.5663437033</v>
      </c>
      <c r="S166" s="3">
        <v>2493953.6839359524</v>
      </c>
    </row>
    <row r="170" spans="1:19" ht="15" x14ac:dyDescent="0.25">
      <c r="A170" s="1" t="s">
        <v>131</v>
      </c>
    </row>
    <row r="171" spans="1:19" ht="15" x14ac:dyDescent="0.25">
      <c r="A171" s="1" t="s">
        <v>108</v>
      </c>
    </row>
    <row r="172" spans="1:19" x14ac:dyDescent="0.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</row>
    <row r="173" spans="1:19" x14ac:dyDescent="0.2">
      <c r="A173" s="20"/>
      <c r="B173" s="21"/>
      <c r="C173" s="21"/>
      <c r="D173" s="21"/>
      <c r="E173" s="21"/>
      <c r="F173" s="38" t="s">
        <v>2</v>
      </c>
      <c r="G173" s="38" t="s">
        <v>2</v>
      </c>
      <c r="H173" s="38" t="s">
        <v>2</v>
      </c>
      <c r="I173" s="38" t="s">
        <v>4</v>
      </c>
      <c r="J173" s="39" t="s">
        <v>4</v>
      </c>
      <c r="K173" s="39" t="s">
        <v>4</v>
      </c>
      <c r="L173" s="39" t="s">
        <v>4</v>
      </c>
      <c r="M173" s="39" t="s">
        <v>4</v>
      </c>
      <c r="N173" s="39" t="s">
        <v>4</v>
      </c>
      <c r="O173" s="39" t="s">
        <v>4</v>
      </c>
      <c r="P173" s="39" t="s">
        <v>4</v>
      </c>
      <c r="Q173" s="39" t="s">
        <v>4</v>
      </c>
      <c r="R173" s="39" t="s">
        <v>4</v>
      </c>
      <c r="S173" s="39" t="s">
        <v>4</v>
      </c>
    </row>
    <row r="174" spans="1:19" x14ac:dyDescent="0.2">
      <c r="A174" s="20"/>
      <c r="B174" s="21"/>
      <c r="C174" s="21"/>
      <c r="D174" s="21"/>
      <c r="E174" s="21"/>
      <c r="F174" s="38" t="s">
        <v>60</v>
      </c>
      <c r="G174" s="38" t="s">
        <v>5</v>
      </c>
      <c r="H174" s="38" t="s">
        <v>6</v>
      </c>
      <c r="I174" s="38" t="s">
        <v>7</v>
      </c>
      <c r="J174" s="38" t="s">
        <v>8</v>
      </c>
      <c r="K174" s="38" t="s">
        <v>9</v>
      </c>
      <c r="L174" s="38" t="s">
        <v>10</v>
      </c>
      <c r="M174" s="38" t="s">
        <v>11</v>
      </c>
      <c r="N174" s="38" t="s">
        <v>12</v>
      </c>
      <c r="O174" s="38" t="s">
        <v>13</v>
      </c>
      <c r="P174" s="38" t="s">
        <v>14</v>
      </c>
      <c r="Q174" s="38" t="s">
        <v>15</v>
      </c>
      <c r="R174" s="38" t="s">
        <v>16</v>
      </c>
      <c r="S174" s="39" t="s">
        <v>17</v>
      </c>
    </row>
    <row r="175" spans="1:19" x14ac:dyDescent="0.2">
      <c r="A175" s="20"/>
      <c r="B175" s="21"/>
      <c r="C175" s="21"/>
      <c r="D175" s="21"/>
      <c r="E175" s="21"/>
      <c r="F175" s="22"/>
      <c r="G175" s="22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6"/>
    </row>
    <row r="176" spans="1:19" x14ac:dyDescent="0.2">
      <c r="A176" s="23" t="s">
        <v>112</v>
      </c>
      <c r="B176" s="21"/>
      <c r="C176" s="21"/>
      <c r="D176" s="21"/>
      <c r="E176" s="21"/>
      <c r="F176" s="24">
        <v>-5.6800000000000003E-2</v>
      </c>
      <c r="G176" s="24">
        <v>-4.24E-2</v>
      </c>
      <c r="H176" s="24">
        <v>-3.09E-2</v>
      </c>
      <c r="I176" s="24">
        <v>1.12E-2</v>
      </c>
      <c r="J176" s="24">
        <v>-1.1299999999999999E-2</v>
      </c>
      <c r="K176" s="24">
        <v>-7.9000000000000008E-3</v>
      </c>
      <c r="L176" s="24">
        <v>-5.7999999999999996E-3</v>
      </c>
      <c r="M176" s="24">
        <v>-1.47E-2</v>
      </c>
      <c r="N176" s="24">
        <v>-2.2200000000000001E-2</v>
      </c>
      <c r="O176" s="24">
        <v>-2.76E-2</v>
      </c>
      <c r="P176" s="24">
        <v>-2.07E-2</v>
      </c>
      <c r="Q176" s="24">
        <v>-2.5000000000000001E-2</v>
      </c>
      <c r="R176" s="24">
        <v>-3.1300000000000001E-2</v>
      </c>
      <c r="S176" s="25">
        <v>-3.6200000000000003E-2</v>
      </c>
    </row>
    <row r="177" spans="1:19" x14ac:dyDescent="0.2">
      <c r="A177" s="20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6"/>
    </row>
    <row r="178" spans="1:19" x14ac:dyDescent="0.2">
      <c r="A178" s="23" t="s">
        <v>113</v>
      </c>
      <c r="B178" s="21"/>
      <c r="C178" s="21"/>
      <c r="D178" s="21"/>
      <c r="E178" s="21"/>
      <c r="F178" s="24">
        <v>0.89959999999999996</v>
      </c>
      <c r="G178" s="24">
        <v>0.90680000000000005</v>
      </c>
      <c r="H178" s="24">
        <v>0.90539999999999998</v>
      </c>
      <c r="I178" s="24">
        <v>0.92069999999999996</v>
      </c>
      <c r="J178" s="24">
        <v>0.93500000000000005</v>
      </c>
      <c r="K178" s="24">
        <v>0.93540000000000001</v>
      </c>
      <c r="L178" s="24">
        <v>0.93520000000000003</v>
      </c>
      <c r="M178" s="24">
        <v>0.93520000000000003</v>
      </c>
      <c r="N178" s="24">
        <v>0.93500000000000005</v>
      </c>
      <c r="O178" s="24">
        <v>0.93540000000000001</v>
      </c>
      <c r="P178" s="24">
        <v>0.93559999999999999</v>
      </c>
      <c r="Q178" s="24">
        <v>0.93569999999999998</v>
      </c>
      <c r="R178" s="24">
        <v>0.9355</v>
      </c>
      <c r="S178" s="25">
        <v>0.9355</v>
      </c>
    </row>
    <row r="179" spans="1:19" x14ac:dyDescent="0.2">
      <c r="A179" s="20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6"/>
    </row>
    <row r="180" spans="1:19" x14ac:dyDescent="0.2">
      <c r="A180" s="20" t="s">
        <v>114</v>
      </c>
      <c r="B180" s="21"/>
      <c r="C180" s="21"/>
      <c r="D180" s="21"/>
      <c r="E180" s="21"/>
      <c r="F180" s="26">
        <v>7.57</v>
      </c>
      <c r="G180" s="26">
        <v>7.35</v>
      </c>
      <c r="H180" s="26">
        <v>8.6999999999999993</v>
      </c>
      <c r="I180" s="26">
        <v>6.13</v>
      </c>
      <c r="J180" s="26">
        <v>6.05</v>
      </c>
      <c r="K180" s="26">
        <v>5.96</v>
      </c>
      <c r="L180" s="26">
        <v>5.93</v>
      </c>
      <c r="M180" s="26">
        <v>5.86</v>
      </c>
      <c r="N180" s="26">
        <v>5.77</v>
      </c>
      <c r="O180" s="26">
        <v>5.6</v>
      </c>
      <c r="P180" s="26">
        <v>5.54</v>
      </c>
      <c r="Q180" s="26">
        <v>5.43</v>
      </c>
      <c r="R180" s="26">
        <v>5.31</v>
      </c>
      <c r="S180" s="21">
        <v>5.17</v>
      </c>
    </row>
    <row r="181" spans="1:19" x14ac:dyDescent="0.2">
      <c r="A181" s="20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6"/>
    </row>
    <row r="182" spans="1:19" x14ac:dyDescent="0.2">
      <c r="A182" s="20" t="s">
        <v>115</v>
      </c>
      <c r="B182" s="21"/>
      <c r="C182" s="21"/>
      <c r="D182" s="21"/>
      <c r="E182" s="21"/>
      <c r="F182" s="26">
        <v>20.56</v>
      </c>
      <c r="G182" s="26">
        <v>23.03</v>
      </c>
      <c r="H182" s="26">
        <v>51.23</v>
      </c>
      <c r="I182" s="21">
        <v>0</v>
      </c>
      <c r="J182" s="21">
        <v>0</v>
      </c>
      <c r="K182" s="21">
        <v>0</v>
      </c>
      <c r="L182" s="21">
        <v>0</v>
      </c>
      <c r="M182" s="21">
        <v>0</v>
      </c>
      <c r="N182" s="21">
        <v>0</v>
      </c>
      <c r="O182" s="21">
        <v>0</v>
      </c>
      <c r="P182" s="21">
        <v>0</v>
      </c>
      <c r="Q182" s="21">
        <v>0</v>
      </c>
      <c r="R182" s="21">
        <v>0</v>
      </c>
      <c r="S182" s="6">
        <v>0</v>
      </c>
    </row>
    <row r="183" spans="1:19" x14ac:dyDescent="0.2">
      <c r="A183" s="20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6"/>
    </row>
    <row r="184" spans="1:19" x14ac:dyDescent="0.2">
      <c r="A184" s="20" t="s">
        <v>116</v>
      </c>
      <c r="B184" s="21"/>
      <c r="C184" s="21"/>
      <c r="D184" s="21"/>
      <c r="E184" s="21"/>
      <c r="F184" s="24">
        <v>2.8400000000000002E-2</v>
      </c>
      <c r="G184" s="24">
        <v>2.9499999999999998E-2</v>
      </c>
      <c r="H184" s="24">
        <v>2.4899999999999999E-2</v>
      </c>
      <c r="I184" s="24">
        <v>2.4899999999999999E-2</v>
      </c>
      <c r="J184" s="24">
        <v>2.3E-2</v>
      </c>
      <c r="K184" s="24">
        <v>2.3E-2</v>
      </c>
      <c r="L184" s="24">
        <v>2.3E-2</v>
      </c>
      <c r="M184" s="24">
        <v>2.29E-2</v>
      </c>
      <c r="N184" s="24">
        <v>2.29E-2</v>
      </c>
      <c r="O184" s="24">
        <v>2.2800000000000001E-2</v>
      </c>
      <c r="P184" s="24">
        <v>2.2800000000000001E-2</v>
      </c>
      <c r="Q184" s="24">
        <v>2.2800000000000001E-2</v>
      </c>
      <c r="R184" s="24">
        <v>2.2800000000000001E-2</v>
      </c>
      <c r="S184" s="25">
        <v>2.2800000000000001E-2</v>
      </c>
    </row>
    <row r="185" spans="1:19" x14ac:dyDescent="0.2">
      <c r="A185" s="20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6"/>
    </row>
    <row r="186" spans="1:19" x14ac:dyDescent="0.2">
      <c r="A186" s="23" t="s">
        <v>117</v>
      </c>
      <c r="B186" s="21"/>
      <c r="C186" s="21"/>
      <c r="D186" s="21"/>
      <c r="E186" s="21"/>
      <c r="F186" s="26">
        <v>16.39</v>
      </c>
      <c r="G186" s="26">
        <v>16.5</v>
      </c>
      <c r="H186" s="26">
        <v>17.399999999999999</v>
      </c>
      <c r="I186" s="26">
        <v>17.100000000000001</v>
      </c>
      <c r="J186" s="26">
        <v>17</v>
      </c>
      <c r="K186" s="26">
        <v>16.66</v>
      </c>
      <c r="L186" s="26">
        <v>16.690000000000001</v>
      </c>
      <c r="M186" s="26">
        <v>16.3</v>
      </c>
      <c r="N186" s="26">
        <v>15.97</v>
      </c>
      <c r="O186" s="26">
        <v>15.3</v>
      </c>
      <c r="P186" s="26">
        <v>15.2</v>
      </c>
      <c r="Q186" s="26">
        <v>14.81</v>
      </c>
      <c r="R186" s="26">
        <v>14.43</v>
      </c>
      <c r="S186" s="6">
        <v>13.91</v>
      </c>
    </row>
    <row r="187" spans="1:19" x14ac:dyDescent="0.2">
      <c r="A187" s="20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6"/>
    </row>
    <row r="188" spans="1:19" x14ac:dyDescent="0.2">
      <c r="A188" s="20" t="s">
        <v>118</v>
      </c>
      <c r="B188" s="21"/>
      <c r="C188" s="21"/>
      <c r="D188" s="21"/>
      <c r="E188" s="21"/>
      <c r="F188" s="24">
        <v>1.0498000000000001</v>
      </c>
      <c r="G188" s="24">
        <v>0.76559999999999995</v>
      </c>
      <c r="H188" s="24">
        <v>0.36359999999999998</v>
      </c>
      <c r="I188" s="24">
        <v>0.72789999999999999</v>
      </c>
      <c r="J188" s="24">
        <v>0.81279999999999997</v>
      </c>
      <c r="K188" s="24">
        <v>0.88419999999999999</v>
      </c>
      <c r="L188" s="24">
        <v>0.79720000000000002</v>
      </c>
      <c r="M188" s="24">
        <v>0.75409999999999999</v>
      </c>
      <c r="N188" s="24">
        <v>0.76029999999999998</v>
      </c>
      <c r="O188" s="24">
        <v>0.72160000000000002</v>
      </c>
      <c r="P188" s="24">
        <v>0.81169999999999998</v>
      </c>
      <c r="Q188" s="24">
        <v>0.77939999999999998</v>
      </c>
      <c r="R188" s="24">
        <v>0.79379999999999995</v>
      </c>
      <c r="S188" s="25">
        <v>0.76539999999999997</v>
      </c>
    </row>
    <row r="189" spans="1:19" x14ac:dyDescent="0.2">
      <c r="A189" s="20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6"/>
    </row>
    <row r="190" spans="1:19" x14ac:dyDescent="0.2">
      <c r="A190" s="23" t="s">
        <v>119</v>
      </c>
      <c r="B190" s="21"/>
      <c r="C190" s="21"/>
      <c r="D190" s="21"/>
      <c r="E190" s="21"/>
      <c r="F190" s="24">
        <v>2.1499999999999998E-2</v>
      </c>
      <c r="G190" s="24">
        <v>1.9099999999999999E-2</v>
      </c>
      <c r="H190" s="24">
        <v>2.0400000000000001E-2</v>
      </c>
      <c r="I190" s="24">
        <v>2.0199999999999999E-2</v>
      </c>
      <c r="J190" s="24">
        <v>1.03E-2</v>
      </c>
      <c r="K190" s="24">
        <v>1.03E-2</v>
      </c>
      <c r="L190" s="24">
        <v>1.03E-2</v>
      </c>
      <c r="M190" s="24">
        <v>1.03E-2</v>
      </c>
      <c r="N190" s="24">
        <v>1.03E-2</v>
      </c>
      <c r="O190" s="24">
        <v>1.03E-2</v>
      </c>
      <c r="P190" s="27">
        <v>1.03E-2</v>
      </c>
      <c r="Q190" s="27">
        <v>1.03E-2</v>
      </c>
      <c r="R190" s="27">
        <v>1.03E-2</v>
      </c>
      <c r="S190" s="24">
        <v>1.03E-2</v>
      </c>
    </row>
    <row r="191" spans="1:19" x14ac:dyDescent="0.2">
      <c r="A191" s="20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6"/>
    </row>
    <row r="192" spans="1:19" x14ac:dyDescent="0.2">
      <c r="A192" s="23" t="s">
        <v>120</v>
      </c>
      <c r="B192" s="21"/>
      <c r="C192" s="21"/>
      <c r="D192" s="21"/>
      <c r="E192" s="21"/>
      <c r="F192" s="26">
        <v>0.83</v>
      </c>
      <c r="G192" s="26">
        <v>1.06</v>
      </c>
      <c r="H192" s="26">
        <v>0.79</v>
      </c>
      <c r="I192" s="26">
        <v>1</v>
      </c>
      <c r="J192" s="26">
        <v>1</v>
      </c>
      <c r="K192" s="26">
        <v>1</v>
      </c>
      <c r="L192" s="26">
        <v>1</v>
      </c>
      <c r="M192" s="26">
        <v>1</v>
      </c>
      <c r="N192" s="26">
        <v>1</v>
      </c>
      <c r="O192" s="26">
        <v>1</v>
      </c>
      <c r="P192" s="26">
        <v>1</v>
      </c>
      <c r="Q192" s="26">
        <v>1</v>
      </c>
      <c r="R192" s="26">
        <v>1</v>
      </c>
      <c r="S192" s="26">
        <v>1</v>
      </c>
    </row>
    <row r="193" spans="1:22" x14ac:dyDescent="0.2">
      <c r="A193" s="23"/>
      <c r="B193" s="21"/>
      <c r="C193" s="21"/>
      <c r="D193" s="21"/>
      <c r="E193" s="21"/>
      <c r="F193" s="21"/>
      <c r="G193" s="21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13"/>
      <c r="U193" s="13"/>
      <c r="V193" s="13"/>
    </row>
    <row r="194" spans="1:22" x14ac:dyDescent="0.2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7"/>
      <c r="U194" s="7"/>
      <c r="V194" s="7"/>
    </row>
    <row r="195" spans="1:22" x14ac:dyDescent="0.2">
      <c r="A195" s="21"/>
      <c r="B195" s="21"/>
      <c r="C195" s="21"/>
      <c r="D195" s="21"/>
      <c r="E195" s="21"/>
      <c r="F195" s="38" t="s">
        <v>2</v>
      </c>
      <c r="G195" s="38" t="s">
        <v>2</v>
      </c>
      <c r="H195" s="38" t="s">
        <v>2</v>
      </c>
      <c r="I195" s="38" t="s">
        <v>4</v>
      </c>
      <c r="J195" s="38" t="s">
        <v>4</v>
      </c>
      <c r="K195" s="38" t="s">
        <v>4</v>
      </c>
      <c r="L195" s="38" t="s">
        <v>4</v>
      </c>
      <c r="M195" s="38" t="s">
        <v>4</v>
      </c>
      <c r="N195" s="38" t="s">
        <v>4</v>
      </c>
      <c r="O195" s="38" t="s">
        <v>4</v>
      </c>
      <c r="P195" s="38" t="s">
        <v>4</v>
      </c>
      <c r="Q195" s="39" t="s">
        <v>4</v>
      </c>
      <c r="R195" s="39" t="s">
        <v>4</v>
      </c>
      <c r="S195" s="39" t="s">
        <v>4</v>
      </c>
      <c r="T195" s="39"/>
    </row>
    <row r="196" spans="1:22" x14ac:dyDescent="0.2">
      <c r="A196" s="21"/>
      <c r="B196" s="21"/>
      <c r="C196" s="21"/>
      <c r="D196" s="21"/>
      <c r="E196" s="21"/>
      <c r="F196" s="38" t="s">
        <v>60</v>
      </c>
      <c r="G196" s="38" t="s">
        <v>5</v>
      </c>
      <c r="H196" s="38" t="s">
        <v>6</v>
      </c>
      <c r="I196" s="38" t="s">
        <v>7</v>
      </c>
      <c r="J196" s="38" t="s">
        <v>8</v>
      </c>
      <c r="K196" s="38" t="s">
        <v>9</v>
      </c>
      <c r="L196" s="38" t="s">
        <v>10</v>
      </c>
      <c r="M196" s="38" t="s">
        <v>11</v>
      </c>
      <c r="N196" s="38" t="s">
        <v>12</v>
      </c>
      <c r="O196" s="38" t="s">
        <v>13</v>
      </c>
      <c r="P196" s="38" t="s">
        <v>14</v>
      </c>
      <c r="Q196" s="38" t="s">
        <v>15</v>
      </c>
      <c r="R196" s="38" t="s">
        <v>16</v>
      </c>
      <c r="S196" s="39" t="s">
        <v>17</v>
      </c>
      <c r="T196" s="39"/>
    </row>
    <row r="197" spans="1:22" ht="15" x14ac:dyDescent="0.25">
      <c r="A197" s="28" t="s">
        <v>121</v>
      </c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</row>
    <row r="198" spans="1:22" x14ac:dyDescent="0.2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</row>
    <row r="199" spans="1:22" x14ac:dyDescent="0.2">
      <c r="A199" s="23" t="s">
        <v>122</v>
      </c>
      <c r="B199" s="21"/>
      <c r="C199" s="21"/>
      <c r="D199" s="21"/>
      <c r="E199" s="29"/>
      <c r="F199" s="24">
        <v>-5.6800000000000003E-2</v>
      </c>
      <c r="G199" s="24">
        <v>-4.24E-2</v>
      </c>
      <c r="H199" s="24">
        <v>-3.09E-2</v>
      </c>
      <c r="I199" s="24">
        <v>1.12E-2</v>
      </c>
      <c r="J199" s="24">
        <v>-1.1299999999999999E-2</v>
      </c>
      <c r="K199" s="24">
        <v>-7.9000000000000008E-3</v>
      </c>
      <c r="L199" s="24">
        <v>-5.7999999999999996E-3</v>
      </c>
      <c r="M199" s="24">
        <v>-1.47E-2</v>
      </c>
      <c r="N199" s="24">
        <v>-2.2200000000000001E-2</v>
      </c>
      <c r="O199" s="24">
        <v>-2.76E-2</v>
      </c>
      <c r="P199" s="29">
        <v>-2.07E-2</v>
      </c>
      <c r="Q199" s="29">
        <v>-2.5000000000000001E-2</v>
      </c>
      <c r="R199" s="29">
        <v>-3.1300000000000001E-2</v>
      </c>
      <c r="S199" s="29">
        <v>-3.6200000000000003E-2</v>
      </c>
    </row>
    <row r="200" spans="1:22" x14ac:dyDescent="0.2">
      <c r="A200" s="20" t="s">
        <v>123</v>
      </c>
      <c r="B200" s="21"/>
      <c r="C200" s="21"/>
      <c r="D200" s="21"/>
      <c r="E200" s="21"/>
      <c r="F200" s="24">
        <v>-4.24E-2</v>
      </c>
      <c r="G200" s="24">
        <v>-4.2599999999999999E-2</v>
      </c>
      <c r="H200" s="24">
        <v>-4.3400000000000001E-2</v>
      </c>
      <c r="I200" s="24">
        <v>-2.07E-2</v>
      </c>
      <c r="J200" s="24">
        <v>-1.03E-2</v>
      </c>
      <c r="K200" s="24">
        <v>-2.5999999999999999E-3</v>
      </c>
      <c r="L200" s="24">
        <v>-8.3000000000000001E-3</v>
      </c>
      <c r="M200" s="24">
        <v>-9.4000000000000004E-3</v>
      </c>
      <c r="N200" s="24">
        <v>-1.4200000000000001E-2</v>
      </c>
      <c r="O200" s="24">
        <v>-2.1499999999999998E-2</v>
      </c>
      <c r="P200" s="29">
        <v>-2.35E-2</v>
      </c>
      <c r="Q200" s="29">
        <v>-2.4400000000000002E-2</v>
      </c>
      <c r="R200" s="29">
        <v>-2.5600000000000001E-2</v>
      </c>
      <c r="S200" s="29">
        <v>-3.0800000000000001E-2</v>
      </c>
    </row>
    <row r="201" spans="1:22" x14ac:dyDescent="0.2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</row>
    <row r="202" spans="1:22" x14ac:dyDescent="0.2">
      <c r="A202" s="23" t="s">
        <v>113</v>
      </c>
      <c r="B202" s="21"/>
      <c r="C202" s="21"/>
      <c r="D202" s="21"/>
      <c r="E202" s="29"/>
      <c r="F202" s="24">
        <v>0.89959999999999996</v>
      </c>
      <c r="G202" s="24">
        <v>0.90680000000000005</v>
      </c>
      <c r="H202" s="24">
        <v>0.90539999999999998</v>
      </c>
      <c r="I202" s="24">
        <v>0.92069999999999996</v>
      </c>
      <c r="J202" s="24">
        <v>0.93500000000000005</v>
      </c>
      <c r="K202" s="24">
        <v>0.93540000000000001</v>
      </c>
      <c r="L202" s="24">
        <v>0.93520000000000003</v>
      </c>
      <c r="M202" s="24">
        <v>0.93520000000000003</v>
      </c>
      <c r="N202" s="24">
        <v>0.93500000000000005</v>
      </c>
      <c r="O202" s="24">
        <v>0.93540000000000001</v>
      </c>
      <c r="P202" s="29">
        <v>0.93559999999999999</v>
      </c>
      <c r="Q202" s="29">
        <v>0.93569999999999998</v>
      </c>
      <c r="R202" s="29">
        <v>0.9355</v>
      </c>
      <c r="S202" s="29">
        <v>0.9355</v>
      </c>
    </row>
    <row r="203" spans="1:22" x14ac:dyDescent="0.2">
      <c r="A203" s="20" t="s">
        <v>123</v>
      </c>
      <c r="B203" s="21"/>
      <c r="C203" s="21"/>
      <c r="D203" s="21"/>
      <c r="E203" s="21"/>
      <c r="F203" s="24">
        <v>0.8831</v>
      </c>
      <c r="G203" s="24">
        <v>0.88870000000000005</v>
      </c>
      <c r="H203" s="24">
        <v>0.90390000000000004</v>
      </c>
      <c r="I203" s="24">
        <v>0.91100000000000003</v>
      </c>
      <c r="J203" s="24">
        <v>0.9204</v>
      </c>
      <c r="K203" s="24">
        <v>0.9304</v>
      </c>
      <c r="L203" s="24">
        <v>0.93520000000000003</v>
      </c>
      <c r="M203" s="24">
        <v>0.93530000000000002</v>
      </c>
      <c r="N203" s="24">
        <v>0.93510000000000004</v>
      </c>
      <c r="O203" s="24">
        <v>0.93520000000000003</v>
      </c>
      <c r="P203" s="29">
        <v>0.93530000000000002</v>
      </c>
      <c r="Q203" s="29">
        <v>0.9355</v>
      </c>
      <c r="R203" s="29">
        <v>0.93559999999999999</v>
      </c>
      <c r="S203" s="29">
        <v>0.93559999999999999</v>
      </c>
    </row>
    <row r="204" spans="1:22" x14ac:dyDescent="0.2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</row>
    <row r="205" spans="1:22" x14ac:dyDescent="0.2">
      <c r="A205" s="23" t="s">
        <v>124</v>
      </c>
      <c r="B205" s="21"/>
      <c r="C205" s="21"/>
      <c r="D205" s="21"/>
      <c r="E205" s="29"/>
      <c r="F205" s="29">
        <v>1.0498000000000001</v>
      </c>
      <c r="G205" s="29">
        <v>0.76559999999999995</v>
      </c>
      <c r="H205" s="29">
        <v>0.36359999999999998</v>
      </c>
      <c r="I205" s="29">
        <v>0.72789999999999999</v>
      </c>
      <c r="J205" s="29">
        <v>0.81279999999999997</v>
      </c>
      <c r="K205" s="29">
        <v>0.88419999999999999</v>
      </c>
      <c r="L205" s="29">
        <v>0.79720000000000002</v>
      </c>
      <c r="M205" s="29">
        <v>0.75409999999999999</v>
      </c>
      <c r="N205" s="29">
        <v>0.76029999999999998</v>
      </c>
      <c r="O205" s="29">
        <v>0.72160000000000002</v>
      </c>
      <c r="P205" s="29">
        <v>0.81169999999999998</v>
      </c>
      <c r="Q205" s="29">
        <v>0.77939999999999998</v>
      </c>
      <c r="R205" s="29">
        <v>0.79379999999999995</v>
      </c>
      <c r="S205" s="29">
        <v>0.76539999999999997</v>
      </c>
    </row>
    <row r="206" spans="1:22" x14ac:dyDescent="0.2">
      <c r="A206" s="20" t="s">
        <v>125</v>
      </c>
      <c r="B206" s="21"/>
      <c r="C206" s="21"/>
      <c r="D206" s="21"/>
      <c r="E206" s="21"/>
      <c r="F206" s="24">
        <v>0.97599999999999998</v>
      </c>
      <c r="G206" s="24">
        <v>1.0013000000000001</v>
      </c>
      <c r="H206" s="24">
        <v>0.72629999999999995</v>
      </c>
      <c r="I206" s="24">
        <v>0.61899999999999999</v>
      </c>
      <c r="J206" s="24">
        <v>0.63480000000000003</v>
      </c>
      <c r="K206" s="24">
        <v>0.80830000000000002</v>
      </c>
      <c r="L206" s="24">
        <v>0.83140000000000003</v>
      </c>
      <c r="M206" s="24">
        <v>0.81179999999999997</v>
      </c>
      <c r="N206" s="24">
        <v>0.77049999999999996</v>
      </c>
      <c r="O206" s="24">
        <v>0.74539999999999995</v>
      </c>
      <c r="P206" s="29">
        <v>0.76459999999999995</v>
      </c>
      <c r="Q206" s="29">
        <v>0.77090000000000003</v>
      </c>
      <c r="R206" s="29">
        <v>0.79490000000000005</v>
      </c>
      <c r="S206" s="29">
        <v>0.77949999999999997</v>
      </c>
    </row>
    <row r="207" spans="1:22" x14ac:dyDescent="0.2">
      <c r="A207" s="21"/>
      <c r="B207" s="21"/>
      <c r="C207" s="21"/>
      <c r="D207" s="21"/>
      <c r="E207" s="21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1"/>
      <c r="Q207" s="21"/>
      <c r="R207" s="21"/>
      <c r="S207" s="21"/>
    </row>
    <row r="208" spans="1:22" x14ac:dyDescent="0.2">
      <c r="A208" s="23" t="s">
        <v>119</v>
      </c>
      <c r="B208" s="21"/>
      <c r="C208" s="21"/>
      <c r="D208" s="21"/>
      <c r="E208" s="21"/>
      <c r="F208" s="24">
        <v>2.1499999999999998E-2</v>
      </c>
      <c r="G208" s="24">
        <v>1.9099999999999999E-2</v>
      </c>
      <c r="H208" s="24">
        <v>2.0400000000000001E-2</v>
      </c>
      <c r="I208" s="24">
        <v>2.0199999999999999E-2</v>
      </c>
      <c r="J208" s="24">
        <v>1.03E-2</v>
      </c>
      <c r="K208" s="24">
        <v>1.03E-2</v>
      </c>
      <c r="L208" s="24">
        <v>1.03E-2</v>
      </c>
      <c r="M208" s="24">
        <v>1.03E-2</v>
      </c>
      <c r="N208" s="24">
        <v>1.03E-2</v>
      </c>
      <c r="O208" s="24">
        <v>1.03E-2</v>
      </c>
      <c r="P208" s="24">
        <v>1.03E-2</v>
      </c>
      <c r="Q208" s="24">
        <v>1.03E-2</v>
      </c>
      <c r="R208" s="24">
        <v>1.03E-2</v>
      </c>
      <c r="S208" s="24">
        <v>1.03E-2</v>
      </c>
    </row>
    <row r="209" spans="1:22" x14ac:dyDescent="0.2">
      <c r="A209" s="21"/>
      <c r="B209" s="21"/>
      <c r="C209" s="21"/>
      <c r="D209" s="21"/>
      <c r="E209" s="21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21"/>
      <c r="Q209" s="21"/>
      <c r="R209" s="21"/>
      <c r="S209" s="21"/>
    </row>
    <row r="210" spans="1:22" x14ac:dyDescent="0.2">
      <c r="A210" s="23" t="s">
        <v>120</v>
      </c>
      <c r="B210" s="21"/>
      <c r="C210" s="21"/>
      <c r="D210" s="21"/>
      <c r="E210" s="26"/>
      <c r="F210" s="31">
        <v>0.83</v>
      </c>
      <c r="G210" s="31">
        <v>1.06</v>
      </c>
      <c r="H210" s="31">
        <v>0.79</v>
      </c>
      <c r="I210" s="31">
        <v>1</v>
      </c>
      <c r="J210" s="31">
        <v>1</v>
      </c>
      <c r="K210" s="31">
        <v>1</v>
      </c>
      <c r="L210" s="31">
        <v>1</v>
      </c>
      <c r="M210" s="31">
        <v>1</v>
      </c>
      <c r="N210" s="31">
        <v>1</v>
      </c>
      <c r="O210" s="31">
        <v>1</v>
      </c>
      <c r="P210" s="26">
        <v>1</v>
      </c>
      <c r="Q210" s="26">
        <v>1</v>
      </c>
      <c r="R210" s="26">
        <v>1</v>
      </c>
      <c r="S210" s="26">
        <v>1</v>
      </c>
    </row>
    <row r="211" spans="1:22" x14ac:dyDescent="0.2">
      <c r="A211" s="20" t="s">
        <v>125</v>
      </c>
      <c r="B211" s="21"/>
      <c r="C211" s="21"/>
      <c r="D211" s="21"/>
      <c r="E211" s="26"/>
      <c r="F211" s="26">
        <v>1.01</v>
      </c>
      <c r="G211" s="26">
        <v>0.98</v>
      </c>
      <c r="H211" s="26">
        <v>0.89</v>
      </c>
      <c r="I211" s="26">
        <v>0.95</v>
      </c>
      <c r="J211" s="26">
        <v>0.93</v>
      </c>
      <c r="K211" s="26">
        <v>1</v>
      </c>
      <c r="L211" s="26">
        <v>1</v>
      </c>
      <c r="M211" s="26">
        <v>1</v>
      </c>
      <c r="N211" s="26">
        <v>1</v>
      </c>
      <c r="O211" s="26">
        <v>1</v>
      </c>
      <c r="P211" s="26">
        <v>1</v>
      </c>
      <c r="Q211" s="26">
        <v>1</v>
      </c>
      <c r="R211" s="26">
        <v>1</v>
      </c>
      <c r="S211" s="26">
        <v>1</v>
      </c>
    </row>
    <row r="212" spans="1:22" x14ac:dyDescent="0.2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</row>
    <row r="213" spans="1:22" x14ac:dyDescent="0.2">
      <c r="A213" s="23" t="s">
        <v>126</v>
      </c>
      <c r="B213" s="21"/>
      <c r="C213" s="21"/>
      <c r="D213" s="21"/>
      <c r="E213" s="29"/>
      <c r="F213" s="24">
        <v>5.1000000000000004E-3</v>
      </c>
      <c r="G213" s="24">
        <v>2.3E-3</v>
      </c>
      <c r="H213" s="24">
        <v>2.3999999999999998E-3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9">
        <v>0</v>
      </c>
      <c r="Q213" s="29">
        <v>0</v>
      </c>
      <c r="R213" s="29">
        <v>0</v>
      </c>
      <c r="S213" s="29">
        <v>0</v>
      </c>
    </row>
    <row r="214" spans="1:22" x14ac:dyDescent="0.2">
      <c r="A214" s="20" t="s">
        <v>125</v>
      </c>
      <c r="B214" s="21"/>
      <c r="C214" s="21"/>
      <c r="D214" s="21"/>
      <c r="E214" s="21"/>
      <c r="F214" s="29">
        <v>5.1999999999999998E-3</v>
      </c>
      <c r="G214" s="29">
        <v>4.1999999999999997E-3</v>
      </c>
      <c r="H214" s="29">
        <v>3.3E-3</v>
      </c>
      <c r="I214" s="29">
        <v>1.6000000000000001E-3</v>
      </c>
      <c r="J214" s="29">
        <v>8.0000000000000004E-4</v>
      </c>
      <c r="K214" s="29">
        <v>0</v>
      </c>
      <c r="L214" s="29">
        <v>0</v>
      </c>
      <c r="M214" s="29">
        <v>0</v>
      </c>
      <c r="N214" s="29">
        <v>0</v>
      </c>
      <c r="O214" s="29">
        <v>0</v>
      </c>
      <c r="P214" s="29">
        <v>0</v>
      </c>
      <c r="Q214" s="29">
        <v>0</v>
      </c>
      <c r="R214" s="29">
        <v>0</v>
      </c>
      <c r="S214" s="29">
        <v>0</v>
      </c>
    </row>
    <row r="215" spans="1:22" x14ac:dyDescent="0.2">
      <c r="A215" s="21"/>
      <c r="B215" s="21"/>
      <c r="C215" s="21"/>
      <c r="D215" s="21"/>
      <c r="E215" s="21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1"/>
      <c r="Q215" s="21"/>
      <c r="R215" s="21"/>
      <c r="S215" s="21"/>
    </row>
    <row r="216" spans="1:22" x14ac:dyDescent="0.2">
      <c r="A216" s="32" t="s">
        <v>127</v>
      </c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</row>
    <row r="217" spans="1:22" x14ac:dyDescent="0.2">
      <c r="A217" s="32"/>
      <c r="B217" s="21"/>
      <c r="C217" s="21" t="s">
        <v>109</v>
      </c>
      <c r="D217" s="21" t="s">
        <v>110</v>
      </c>
      <c r="E217" s="21" t="s">
        <v>111</v>
      </c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</row>
    <row r="218" spans="1:22" x14ac:dyDescent="0.2">
      <c r="A218" s="32"/>
      <c r="B218" s="21"/>
      <c r="C218" s="21">
        <v>0.85</v>
      </c>
      <c r="D218" s="21">
        <v>0.82</v>
      </c>
      <c r="E218" s="26">
        <v>0.84</v>
      </c>
      <c r="F218" s="26">
        <v>0.88</v>
      </c>
      <c r="G218" s="26">
        <v>0.91</v>
      </c>
      <c r="H218" s="26">
        <v>0.85</v>
      </c>
      <c r="I218" s="26">
        <v>0.9</v>
      </c>
      <c r="J218" s="26">
        <v>0.89</v>
      </c>
      <c r="K218" s="26">
        <v>0.89</v>
      </c>
      <c r="L218" s="26">
        <v>0.88</v>
      </c>
      <c r="M218" s="26">
        <v>0.89</v>
      </c>
      <c r="N218" s="26">
        <v>0.89</v>
      </c>
      <c r="O218" s="26">
        <v>0.9</v>
      </c>
      <c r="P218" s="21">
        <v>0.89</v>
      </c>
      <c r="Q218" s="21">
        <v>0.89</v>
      </c>
      <c r="R218" s="21">
        <v>0.89</v>
      </c>
      <c r="S218" s="21">
        <v>0.91</v>
      </c>
    </row>
    <row r="219" spans="1:22" x14ac:dyDescent="0.2">
      <c r="A219" s="20" t="s">
        <v>128</v>
      </c>
      <c r="B219" s="21"/>
      <c r="C219" s="21"/>
      <c r="D219" s="21"/>
      <c r="E219" s="21"/>
      <c r="F219" s="21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1"/>
      <c r="T219" s="7"/>
      <c r="U219" s="7"/>
      <c r="V219" s="7"/>
    </row>
    <row r="234" spans="7:11" x14ac:dyDescent="0.2">
      <c r="G234" s="40"/>
      <c r="K234" s="40"/>
    </row>
  </sheetData>
  <pageMargins left="0.37" right="0.23" top="0.75" bottom="0.75" header="0.3" footer="0.3"/>
  <pageSetup paperSize="9" scale="60" orientation="landscape" r:id="rId1"/>
  <rowBreaks count="4" manualBreakCount="4">
    <brk id="41" max="16383" man="1"/>
    <brk id="84" max="16383" man="1"/>
    <brk id="137" max="16383" man="1"/>
    <brk id="16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12"/>
  <sheetViews>
    <sheetView workbookViewId="0">
      <selection activeCell="B8" sqref="B8"/>
    </sheetView>
  </sheetViews>
  <sheetFormatPr defaultRowHeight="15" x14ac:dyDescent="0.25"/>
  <cols>
    <col min="1" max="1" width="33.85546875" style="43" customWidth="1"/>
    <col min="2" max="2" width="8" style="42" customWidth="1"/>
    <col min="3" max="8" width="11.7109375" style="43" customWidth="1"/>
    <col min="9" max="9" width="10.28515625" style="43" customWidth="1"/>
    <col min="10" max="11" width="10.42578125" style="43" customWidth="1"/>
    <col min="12" max="12" width="11.42578125" style="43" customWidth="1"/>
    <col min="13" max="13" width="12" style="43" customWidth="1"/>
    <col min="14" max="14" width="11.5703125" style="43" customWidth="1"/>
    <col min="15" max="18" width="11.42578125" style="43" customWidth="1"/>
  </cols>
  <sheetData>
    <row r="1" spans="1:18" x14ac:dyDescent="0.25">
      <c r="A1" s="41" t="s">
        <v>132</v>
      </c>
    </row>
    <row r="2" spans="1:18" x14ac:dyDescent="0.25">
      <c r="A2" s="41" t="s">
        <v>133</v>
      </c>
      <c r="B2" s="44"/>
      <c r="I2" s="45">
        <v>1</v>
      </c>
      <c r="J2" s="43">
        <v>2</v>
      </c>
      <c r="K2" s="43">
        <v>3</v>
      </c>
      <c r="L2" s="43">
        <v>4</v>
      </c>
      <c r="M2" s="43">
        <v>5</v>
      </c>
      <c r="N2" s="43">
        <v>6</v>
      </c>
      <c r="O2" s="43">
        <v>7</v>
      </c>
      <c r="P2" s="43">
        <v>8</v>
      </c>
      <c r="Q2" s="43">
        <v>9</v>
      </c>
      <c r="R2" s="43">
        <v>10</v>
      </c>
    </row>
    <row r="3" spans="1:18" x14ac:dyDescent="0.25">
      <c r="C3" s="46" t="s">
        <v>134</v>
      </c>
      <c r="D3" s="46" t="s">
        <v>135</v>
      </c>
      <c r="E3" s="46" t="s">
        <v>136</v>
      </c>
      <c r="F3" s="46" t="s">
        <v>137</v>
      </c>
      <c r="G3" s="46" t="s">
        <v>138</v>
      </c>
      <c r="H3" s="46" t="s">
        <v>139</v>
      </c>
      <c r="I3" s="46" t="s">
        <v>140</v>
      </c>
      <c r="J3" s="46" t="s">
        <v>141</v>
      </c>
      <c r="K3" s="46" t="s">
        <v>142</v>
      </c>
      <c r="L3" s="46" t="s">
        <v>143</v>
      </c>
      <c r="M3" s="46" t="s">
        <v>144</v>
      </c>
      <c r="N3" s="46" t="s">
        <v>145</v>
      </c>
      <c r="O3" s="46" t="s">
        <v>146</v>
      </c>
      <c r="P3" s="46" t="s">
        <v>147</v>
      </c>
      <c r="Q3" s="46" t="s">
        <v>148</v>
      </c>
      <c r="R3" s="46" t="s">
        <v>149</v>
      </c>
    </row>
    <row r="4" spans="1:18" x14ac:dyDescent="0.25">
      <c r="A4" s="43" t="s">
        <v>150</v>
      </c>
      <c r="B4" s="42" t="s">
        <v>151</v>
      </c>
      <c r="C4" s="47" t="s">
        <v>152</v>
      </c>
      <c r="D4" s="47" t="s">
        <v>152</v>
      </c>
      <c r="E4" s="47" t="s">
        <v>152</v>
      </c>
      <c r="F4" s="47" t="s">
        <v>152</v>
      </c>
      <c r="G4" s="47" t="s">
        <v>152</v>
      </c>
      <c r="H4" s="47" t="s">
        <v>153</v>
      </c>
      <c r="I4" s="47" t="s">
        <v>153</v>
      </c>
      <c r="J4" s="47" t="s">
        <v>153</v>
      </c>
      <c r="K4" s="47" t="s">
        <v>153</v>
      </c>
      <c r="L4" s="47" t="s">
        <v>153</v>
      </c>
      <c r="M4" s="47" t="s">
        <v>153</v>
      </c>
      <c r="N4" s="47" t="s">
        <v>153</v>
      </c>
      <c r="O4" s="47" t="s">
        <v>153</v>
      </c>
      <c r="P4" s="47" t="s">
        <v>153</v>
      </c>
      <c r="Q4" s="47" t="s">
        <v>153</v>
      </c>
      <c r="R4" s="47" t="s">
        <v>153</v>
      </c>
    </row>
    <row r="5" spans="1:18" x14ac:dyDescent="0.25">
      <c r="C5" s="47"/>
      <c r="D5" s="47"/>
      <c r="E5" s="47"/>
      <c r="F5" s="47"/>
      <c r="G5" s="47"/>
      <c r="H5" s="47" t="s">
        <v>154</v>
      </c>
      <c r="I5" s="47" t="s">
        <v>155</v>
      </c>
      <c r="J5" s="47" t="s">
        <v>155</v>
      </c>
      <c r="K5" s="47" t="s">
        <v>155</v>
      </c>
      <c r="L5" s="47" t="s">
        <v>155</v>
      </c>
      <c r="M5" s="47" t="s">
        <v>155</v>
      </c>
      <c r="N5" s="47" t="s">
        <v>155</v>
      </c>
      <c r="O5" s="47" t="s">
        <v>155</v>
      </c>
      <c r="P5" s="47" t="s">
        <v>155</v>
      </c>
      <c r="Q5" s="47" t="s">
        <v>155</v>
      </c>
      <c r="R5" s="47" t="s">
        <v>155</v>
      </c>
    </row>
    <row r="7" spans="1:18" x14ac:dyDescent="0.25">
      <c r="A7" s="48" t="s">
        <v>156</v>
      </c>
      <c r="B7" s="49"/>
    </row>
    <row r="8" spans="1:18" x14ac:dyDescent="0.25">
      <c r="A8" s="48"/>
      <c r="B8" s="49"/>
      <c r="C8" s="46"/>
    </row>
    <row r="9" spans="1:18" x14ac:dyDescent="0.25">
      <c r="A9" s="48" t="s">
        <v>157</v>
      </c>
      <c r="B9" s="49"/>
      <c r="C9" s="47"/>
    </row>
    <row r="10" spans="1:18" x14ac:dyDescent="0.25">
      <c r="A10" s="48"/>
      <c r="B10" s="49"/>
      <c r="C10" s="42"/>
    </row>
    <row r="11" spans="1:18" x14ac:dyDescent="0.25">
      <c r="A11" s="48" t="s">
        <v>158</v>
      </c>
      <c r="B11" s="49"/>
    </row>
    <row r="12" spans="1:18" x14ac:dyDescent="0.25">
      <c r="A12" s="48" t="s">
        <v>159</v>
      </c>
      <c r="B12" s="49"/>
      <c r="C12" s="50">
        <f t="shared" ref="C12:F12" si="0">C59</f>
        <v>311626</v>
      </c>
      <c r="D12" s="50">
        <f t="shared" si="0"/>
        <v>286624</v>
      </c>
      <c r="E12" s="50">
        <f t="shared" si="0"/>
        <v>371098.75</v>
      </c>
      <c r="F12" s="50">
        <f t="shared" si="0"/>
        <v>359385</v>
      </c>
      <c r="G12" s="50">
        <f>G59</f>
        <v>372236</v>
      </c>
      <c r="H12" s="50">
        <f>H59</f>
        <v>382200</v>
      </c>
      <c r="I12" s="50">
        <f t="shared" ref="I12:R12" si="1">I59</f>
        <v>390990.59999999992</v>
      </c>
      <c r="J12" s="50">
        <f t="shared" si="1"/>
        <v>400374.37440000015</v>
      </c>
      <c r="K12" s="50">
        <f t="shared" si="1"/>
        <v>409983.35938559991</v>
      </c>
      <c r="L12" s="50">
        <f t="shared" si="1"/>
        <v>419412.97665146872</v>
      </c>
      <c r="M12" s="50">
        <f t="shared" si="1"/>
        <v>428640.06213780103</v>
      </c>
      <c r="N12" s="50">
        <f t="shared" si="1"/>
        <v>438498.78356697049</v>
      </c>
      <c r="O12" s="50">
        <f t="shared" si="1"/>
        <v>449461.25315614464</v>
      </c>
      <c r="P12" s="50">
        <f t="shared" si="1"/>
        <v>460697.78448504838</v>
      </c>
      <c r="Q12" s="50">
        <f t="shared" si="1"/>
        <v>471754.53131268942</v>
      </c>
      <c r="R12" s="50">
        <f t="shared" si="1"/>
        <v>483076.64006419404</v>
      </c>
    </row>
    <row r="13" spans="1:18" x14ac:dyDescent="0.25">
      <c r="A13" s="48" t="s">
        <v>160</v>
      </c>
      <c r="B13" s="49"/>
      <c r="C13" s="50">
        <f t="shared" ref="C13:R13" si="2">C101</f>
        <v>1096632</v>
      </c>
      <c r="D13" s="50">
        <f t="shared" si="2"/>
        <v>1095036</v>
      </c>
      <c r="E13" s="50">
        <f t="shared" si="2"/>
        <v>1097611.07</v>
      </c>
      <c r="F13" s="50">
        <f t="shared" si="2"/>
        <v>1147527</v>
      </c>
      <c r="G13" s="50">
        <f t="shared" si="2"/>
        <v>1334839</v>
      </c>
      <c r="H13" s="50">
        <f t="shared" si="2"/>
        <v>1312953</v>
      </c>
      <c r="I13" s="50">
        <f t="shared" si="2"/>
        <v>1335769.6000000001</v>
      </c>
      <c r="J13" s="50">
        <f t="shared" si="2"/>
        <v>1388224.0703999999</v>
      </c>
      <c r="K13" s="50">
        <f t="shared" si="2"/>
        <v>1400819.4480895998</v>
      </c>
      <c r="L13" s="50">
        <f t="shared" si="2"/>
        <v>1454118.8053956609</v>
      </c>
      <c r="M13" s="50">
        <f t="shared" si="2"/>
        <v>1464433.8791143654</v>
      </c>
      <c r="N13" s="50">
        <f t="shared" si="2"/>
        <v>1520263.0283339955</v>
      </c>
      <c r="O13" s="50">
        <f t="shared" si="2"/>
        <v>1535821.3540423454</v>
      </c>
      <c r="P13" s="50">
        <f t="shared" si="2"/>
        <v>1596415.6378934041</v>
      </c>
      <c r="Q13" s="50">
        <f t="shared" si="2"/>
        <v>1611912.4932028456</v>
      </c>
      <c r="R13" s="50">
        <f t="shared" si="2"/>
        <v>1673965.9130397136</v>
      </c>
    </row>
    <row r="14" spans="1:18" x14ac:dyDescent="0.25">
      <c r="A14" s="41" t="s">
        <v>161</v>
      </c>
      <c r="B14" s="44"/>
      <c r="C14" s="50">
        <f t="shared" ref="C14:R14" si="3">C154</f>
        <v>2547520</v>
      </c>
      <c r="D14" s="50">
        <f t="shared" si="3"/>
        <v>2756842</v>
      </c>
      <c r="E14" s="50">
        <f t="shared" si="3"/>
        <v>2799931</v>
      </c>
      <c r="F14" s="50">
        <f t="shared" si="3"/>
        <v>2812851</v>
      </c>
      <c r="G14" s="50">
        <f t="shared" si="3"/>
        <v>2965970</v>
      </c>
      <c r="H14" s="50">
        <f t="shared" si="3"/>
        <v>3078100</v>
      </c>
      <c r="I14" s="50">
        <f t="shared" si="3"/>
        <v>3147520.8999999994</v>
      </c>
      <c r="J14" s="50">
        <f t="shared" si="3"/>
        <v>3221626.2016000007</v>
      </c>
      <c r="K14" s="50">
        <f t="shared" si="3"/>
        <v>3237710.0304384003</v>
      </c>
      <c r="L14" s="50">
        <f t="shared" si="3"/>
        <v>3312177.361138483</v>
      </c>
      <c r="M14" s="50">
        <f t="shared" si="3"/>
        <v>3385045.2630835297</v>
      </c>
      <c r="N14" s="50">
        <f t="shared" si="3"/>
        <v>3462901.3041344504</v>
      </c>
      <c r="O14" s="50">
        <f t="shared" si="3"/>
        <v>3549473.8367378111</v>
      </c>
      <c r="P14" s="50">
        <f t="shared" si="3"/>
        <v>3638210.682656256</v>
      </c>
      <c r="Q14" s="50">
        <f t="shared" si="3"/>
        <v>3725527.7390400064</v>
      </c>
      <c r="R14" s="50">
        <f t="shared" si="3"/>
        <v>3814940.4047769662</v>
      </c>
    </row>
    <row r="15" spans="1:18" x14ac:dyDescent="0.25">
      <c r="A15" s="41" t="s">
        <v>162</v>
      </c>
      <c r="B15" s="44"/>
      <c r="C15" s="50">
        <f t="shared" ref="C15:R15" si="4">C192</f>
        <v>1611604</v>
      </c>
      <c r="D15" s="50">
        <f t="shared" si="4"/>
        <v>1869914</v>
      </c>
      <c r="E15" s="50">
        <f t="shared" si="4"/>
        <v>1272420</v>
      </c>
      <c r="F15" s="50">
        <f t="shared" si="4"/>
        <v>1149141</v>
      </c>
      <c r="G15" s="50">
        <f t="shared" si="4"/>
        <v>1232439</v>
      </c>
      <c r="H15" s="50">
        <f t="shared" si="4"/>
        <v>2342900</v>
      </c>
      <c r="I15" s="50">
        <f t="shared" si="4"/>
        <v>1484313.7</v>
      </c>
      <c r="J15" s="50">
        <f t="shared" si="4"/>
        <v>1519577.2288000002</v>
      </c>
      <c r="K15" s="50">
        <f t="shared" si="4"/>
        <v>1555687.0822911998</v>
      </c>
      <c r="L15" s="50">
        <f t="shared" si="4"/>
        <v>1591122.8851838973</v>
      </c>
      <c r="M15" s="50">
        <f t="shared" si="4"/>
        <v>1625797.5886579431</v>
      </c>
      <c r="N15" s="50">
        <f t="shared" si="4"/>
        <v>1662845.9331970757</v>
      </c>
      <c r="O15" s="50">
        <f t="shared" si="4"/>
        <v>1704042.0815270026</v>
      </c>
      <c r="P15" s="50">
        <f t="shared" si="4"/>
        <v>1746268.1335651777</v>
      </c>
      <c r="Q15" s="50">
        <f t="shared" si="4"/>
        <v>1787818.568770742</v>
      </c>
      <c r="R15" s="50">
        <f t="shared" si="4"/>
        <v>1830366.2144212397</v>
      </c>
    </row>
    <row r="16" spans="1:18" x14ac:dyDescent="0.25">
      <c r="A16" s="41" t="s">
        <v>163</v>
      </c>
      <c r="B16" s="44"/>
      <c r="C16" s="50">
        <f t="shared" ref="C16:F16" si="5">C229</f>
        <v>8686373</v>
      </c>
      <c r="D16" s="50">
        <f t="shared" si="5"/>
        <v>8994196</v>
      </c>
      <c r="E16" s="50">
        <f t="shared" si="5"/>
        <v>13257679</v>
      </c>
      <c r="F16" s="50">
        <f t="shared" si="5"/>
        <v>10170198</v>
      </c>
      <c r="G16" s="50">
        <f>G229</f>
        <v>9406248</v>
      </c>
      <c r="H16" s="50">
        <f t="shared" ref="H16:R16" si="6">H229</f>
        <v>9853100</v>
      </c>
      <c r="I16" s="50">
        <f t="shared" si="6"/>
        <v>9911727.6999999993</v>
      </c>
      <c r="J16" s="50">
        <f t="shared" si="6"/>
        <v>10188128.9498</v>
      </c>
      <c r="K16" s="50">
        <f t="shared" si="6"/>
        <v>10419737.544220198</v>
      </c>
      <c r="L16" s="50">
        <f t="shared" si="6"/>
        <v>10624301.749065284</v>
      </c>
      <c r="M16" s="50">
        <f t="shared" si="6"/>
        <v>10872590.579755912</v>
      </c>
      <c r="N16" s="50">
        <f t="shared" si="6"/>
        <v>11209410.524004506</v>
      </c>
      <c r="O16" s="50">
        <f t="shared" si="6"/>
        <v>11532069.012911072</v>
      </c>
      <c r="P16" s="50">
        <f t="shared" si="6"/>
        <v>11867141.4640403</v>
      </c>
      <c r="Q16" s="50">
        <f t="shared" si="6"/>
        <v>12058692.548088659</v>
      </c>
      <c r="R16" s="50">
        <f t="shared" si="6"/>
        <v>12342095.809731802</v>
      </c>
    </row>
    <row r="17" spans="1:18" x14ac:dyDescent="0.25">
      <c r="A17" s="41" t="s">
        <v>164</v>
      </c>
      <c r="B17" s="44"/>
      <c r="C17" s="51">
        <f t="shared" ref="C17:D17" si="7">SUM(C12:C16)</f>
        <v>14253755</v>
      </c>
      <c r="D17" s="51">
        <f t="shared" si="7"/>
        <v>15002612</v>
      </c>
      <c r="E17" s="51">
        <f>SUM(E12:E16)</f>
        <v>18798739.82</v>
      </c>
      <c r="F17" s="51">
        <f t="shared" ref="F17:R17" si="8">SUM(F12:F16)</f>
        <v>15639102</v>
      </c>
      <c r="G17" s="51">
        <f t="shared" si="8"/>
        <v>15311732</v>
      </c>
      <c r="H17" s="51">
        <f t="shared" si="8"/>
        <v>16969253</v>
      </c>
      <c r="I17" s="51">
        <f t="shared" si="8"/>
        <v>16270322.5</v>
      </c>
      <c r="J17" s="51">
        <f t="shared" si="8"/>
        <v>16717930.825000001</v>
      </c>
      <c r="K17" s="51">
        <f t="shared" si="8"/>
        <v>17023937.464424998</v>
      </c>
      <c r="L17" s="51">
        <f t="shared" si="8"/>
        <v>17401133.777434796</v>
      </c>
      <c r="M17" s="51">
        <f t="shared" si="8"/>
        <v>17776507.372749552</v>
      </c>
      <c r="N17" s="51">
        <f t="shared" si="8"/>
        <v>18293919.573236998</v>
      </c>
      <c r="O17" s="51">
        <f t="shared" si="8"/>
        <v>18770867.538374376</v>
      </c>
      <c r="P17" s="51">
        <f t="shared" si="8"/>
        <v>19308733.702640187</v>
      </c>
      <c r="Q17" s="51">
        <f t="shared" si="8"/>
        <v>19655705.88041494</v>
      </c>
      <c r="R17" s="51">
        <f t="shared" si="8"/>
        <v>20144444.982033916</v>
      </c>
    </row>
    <row r="18" spans="1:18" x14ac:dyDescent="0.25">
      <c r="A18" s="48"/>
      <c r="B18" s="49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</row>
    <row r="19" spans="1:18" x14ac:dyDescent="0.25">
      <c r="A19" s="41" t="s">
        <v>165</v>
      </c>
      <c r="B19" s="44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</row>
    <row r="20" spans="1:18" x14ac:dyDescent="0.25">
      <c r="A20" s="48" t="s">
        <v>159</v>
      </c>
      <c r="B20" s="49"/>
      <c r="C20" s="50">
        <f t="shared" ref="C20:R20" si="9">C65</f>
        <v>980320</v>
      </c>
      <c r="D20" s="50">
        <f t="shared" si="9"/>
        <v>1110667</v>
      </c>
      <c r="E20" s="50">
        <f t="shared" si="9"/>
        <v>1274291.9000000001</v>
      </c>
      <c r="F20" s="50">
        <f t="shared" si="9"/>
        <v>1605076</v>
      </c>
      <c r="G20" s="50">
        <f t="shared" si="9"/>
        <v>1266682</v>
      </c>
      <c r="H20" s="50">
        <f t="shared" si="9"/>
        <v>1310740</v>
      </c>
      <c r="I20" s="50">
        <f t="shared" si="9"/>
        <v>1188561.7999999998</v>
      </c>
      <c r="J20" s="50">
        <f t="shared" si="9"/>
        <v>1220939.1706999997</v>
      </c>
      <c r="K20" s="50">
        <f t="shared" si="9"/>
        <v>1255400.2955292999</v>
      </c>
      <c r="L20" s="50">
        <f t="shared" si="9"/>
        <v>1291205.7272681985</v>
      </c>
      <c r="M20" s="50">
        <f t="shared" si="9"/>
        <v>1374214.765642901</v>
      </c>
      <c r="N20" s="50">
        <f t="shared" si="9"/>
        <v>1363143.8570722444</v>
      </c>
      <c r="O20" s="50">
        <f t="shared" si="9"/>
        <v>1402422.5985731944</v>
      </c>
      <c r="P20" s="50">
        <f t="shared" si="9"/>
        <v>1446078.680315902</v>
      </c>
      <c r="Q20" s="50">
        <f t="shared" si="9"/>
        <v>1488435.9112533091</v>
      </c>
      <c r="R20" s="50">
        <f t="shared" si="9"/>
        <v>1584300.041701948</v>
      </c>
    </row>
    <row r="21" spans="1:18" x14ac:dyDescent="0.25">
      <c r="A21" s="48" t="s">
        <v>160</v>
      </c>
      <c r="B21" s="49"/>
      <c r="C21" s="50">
        <f t="shared" ref="C21:R21" si="10">C112</f>
        <v>3248112</v>
      </c>
      <c r="D21" s="50">
        <f t="shared" si="10"/>
        <v>3146828</v>
      </c>
      <c r="E21" s="50">
        <f t="shared" si="10"/>
        <v>3313034.15</v>
      </c>
      <c r="F21" s="50">
        <f t="shared" si="10"/>
        <v>3470429.8200000003</v>
      </c>
      <c r="G21" s="50">
        <f t="shared" si="10"/>
        <v>3344249</v>
      </c>
      <c r="H21" s="50">
        <f t="shared" si="10"/>
        <v>3752778.6957668001</v>
      </c>
      <c r="I21" s="50">
        <f t="shared" si="10"/>
        <v>3810968.6660784162</v>
      </c>
      <c r="J21" s="50">
        <f t="shared" si="10"/>
        <v>3878448.451827419</v>
      </c>
      <c r="K21" s="50">
        <f t="shared" si="10"/>
        <v>3959057.0121913073</v>
      </c>
      <c r="L21" s="50">
        <f t="shared" si="10"/>
        <v>4084649.3268051594</v>
      </c>
      <c r="M21" s="50">
        <f t="shared" si="10"/>
        <v>4166984.1136062532</v>
      </c>
      <c r="N21" s="50">
        <f t="shared" si="10"/>
        <v>4294911.8759581801</v>
      </c>
      <c r="O21" s="50">
        <f t="shared" si="10"/>
        <v>4388465.7019315446</v>
      </c>
      <c r="P21" s="50">
        <f t="shared" si="10"/>
        <v>4531820.7711928478</v>
      </c>
      <c r="Q21" s="50">
        <f t="shared" si="10"/>
        <v>4629951.7928737532</v>
      </c>
      <c r="R21" s="50">
        <f t="shared" si="10"/>
        <v>4765297.7756254654</v>
      </c>
    </row>
    <row r="22" spans="1:18" x14ac:dyDescent="0.25">
      <c r="A22" s="41" t="s">
        <v>161</v>
      </c>
      <c r="B22" s="44"/>
      <c r="C22" s="50">
        <f t="shared" ref="C22:R22" si="11">C161</f>
        <v>3029056.43</v>
      </c>
      <c r="D22" s="50">
        <f t="shared" si="11"/>
        <v>3378724</v>
      </c>
      <c r="E22" s="50">
        <f t="shared" si="11"/>
        <v>3451439</v>
      </c>
      <c r="F22" s="50">
        <f t="shared" si="11"/>
        <v>3362111</v>
      </c>
      <c r="G22" s="50">
        <f t="shared" si="11"/>
        <v>3374617</v>
      </c>
      <c r="H22" s="50">
        <f t="shared" si="11"/>
        <v>3752465</v>
      </c>
      <c r="I22" s="50">
        <f t="shared" si="11"/>
        <v>3830625.7</v>
      </c>
      <c r="J22" s="50">
        <f t="shared" si="11"/>
        <v>3930017.0107999998</v>
      </c>
      <c r="K22" s="50">
        <f t="shared" si="11"/>
        <v>3979847.9003091995</v>
      </c>
      <c r="L22" s="50">
        <f t="shared" si="11"/>
        <v>4059171.746308811</v>
      </c>
      <c r="M22" s="50">
        <f t="shared" si="11"/>
        <v>4162563.0209447583</v>
      </c>
      <c r="N22" s="50">
        <f t="shared" si="11"/>
        <v>4269948.7305753585</v>
      </c>
      <c r="O22" s="50">
        <f t="shared" si="11"/>
        <v>4367848.620053078</v>
      </c>
      <c r="P22" s="50">
        <f t="shared" si="11"/>
        <v>4496892.404015759</v>
      </c>
      <c r="Q22" s="50">
        <f t="shared" si="11"/>
        <v>4609359.7209738465</v>
      </c>
      <c r="R22" s="50">
        <f t="shared" si="11"/>
        <v>4720759.4932177402</v>
      </c>
    </row>
    <row r="23" spans="1:18" x14ac:dyDescent="0.25">
      <c r="A23" s="41" t="s">
        <v>162</v>
      </c>
      <c r="B23" s="44"/>
      <c r="C23" s="50">
        <f t="shared" ref="C23:R23" si="12">C197</f>
        <v>3229040</v>
      </c>
      <c r="D23" s="50">
        <f t="shared" si="12"/>
        <v>3327700</v>
      </c>
      <c r="E23" s="50">
        <f t="shared" si="12"/>
        <v>3208277</v>
      </c>
      <c r="F23" s="50">
        <f t="shared" si="12"/>
        <v>3556862</v>
      </c>
      <c r="G23" s="50">
        <f t="shared" si="12"/>
        <v>3281876</v>
      </c>
      <c r="H23" s="50">
        <f t="shared" si="12"/>
        <v>3456763</v>
      </c>
      <c r="I23" s="50">
        <f t="shared" si="12"/>
        <v>3537800.9350000001</v>
      </c>
      <c r="J23" s="50">
        <f t="shared" si="12"/>
        <v>3634745.7848899998</v>
      </c>
      <c r="K23" s="50">
        <f t="shared" si="12"/>
        <v>3679897.40756361</v>
      </c>
      <c r="L23" s="50">
        <f t="shared" si="12"/>
        <v>3769709.5572294858</v>
      </c>
      <c r="M23" s="50">
        <f t="shared" si="12"/>
        <v>3864181.4415493477</v>
      </c>
      <c r="N23" s="50">
        <f t="shared" si="12"/>
        <v>3962916.8283502567</v>
      </c>
      <c r="O23" s="50">
        <f t="shared" si="12"/>
        <v>4071145.7214790615</v>
      </c>
      <c r="P23" s="50">
        <f t="shared" si="12"/>
        <v>4184901.6217005923</v>
      </c>
      <c r="Q23" s="50">
        <f t="shared" si="12"/>
        <v>4299081.0195407169</v>
      </c>
      <c r="R23" s="50">
        <f t="shared" si="12"/>
        <v>4400818.0411485173</v>
      </c>
    </row>
    <row r="24" spans="1:18" x14ac:dyDescent="0.25">
      <c r="A24" s="41" t="s">
        <v>163</v>
      </c>
      <c r="B24" s="44"/>
      <c r="C24" s="50">
        <f t="shared" ref="C24:R24" si="13">C239</f>
        <v>3386539</v>
      </c>
      <c r="D24" s="50">
        <f t="shared" si="13"/>
        <v>3703059</v>
      </c>
      <c r="E24" s="50">
        <f t="shared" si="13"/>
        <v>3886648.5300000003</v>
      </c>
      <c r="F24" s="50">
        <f t="shared" si="13"/>
        <v>4131141</v>
      </c>
      <c r="G24" s="50">
        <f t="shared" si="13"/>
        <v>4054187</v>
      </c>
      <c r="H24" s="50">
        <f t="shared" si="13"/>
        <v>4341470</v>
      </c>
      <c r="I24" s="50">
        <f t="shared" si="13"/>
        <v>4489267.34</v>
      </c>
      <c r="J24" s="50">
        <f t="shared" si="13"/>
        <v>4669304.3685599994</v>
      </c>
      <c r="K24" s="50">
        <f t="shared" si="13"/>
        <v>4745954.7604579404</v>
      </c>
      <c r="L24" s="50">
        <f t="shared" si="13"/>
        <v>4981338.1981961466</v>
      </c>
      <c r="M24" s="50">
        <f t="shared" si="13"/>
        <v>5096925.2564531714</v>
      </c>
      <c r="N24" s="50">
        <f t="shared" si="13"/>
        <v>5415367.820648646</v>
      </c>
      <c r="O24" s="50">
        <f t="shared" si="13"/>
        <v>5468704.844257839</v>
      </c>
      <c r="P24" s="50">
        <f t="shared" si="13"/>
        <v>5640362.26350349</v>
      </c>
      <c r="Q24" s="50">
        <f t="shared" si="13"/>
        <v>5815440.8081351519</v>
      </c>
      <c r="R24" s="50">
        <f t="shared" si="13"/>
        <v>5991739.8410850046</v>
      </c>
    </row>
    <row r="25" spans="1:18" x14ac:dyDescent="0.25">
      <c r="A25" s="41" t="s">
        <v>166</v>
      </c>
      <c r="B25" s="44"/>
      <c r="C25" s="51">
        <f t="shared" ref="C25:D25" si="14">SUM(C20:C24)</f>
        <v>13873067.43</v>
      </c>
      <c r="D25" s="51">
        <f t="shared" si="14"/>
        <v>14666978</v>
      </c>
      <c r="E25" s="51">
        <f>SUM(E20:E24)</f>
        <v>15133690.580000002</v>
      </c>
      <c r="F25" s="51">
        <f t="shared" ref="F25:R25" si="15">SUM(F20:F24)</f>
        <v>16125619.82</v>
      </c>
      <c r="G25" s="51">
        <f t="shared" si="15"/>
        <v>15321611</v>
      </c>
      <c r="H25" s="51">
        <f t="shared" si="15"/>
        <v>16614216.695766799</v>
      </c>
      <c r="I25" s="51">
        <f t="shared" si="15"/>
        <v>16857224.441078417</v>
      </c>
      <c r="J25" s="51">
        <f t="shared" si="15"/>
        <v>17333454.786777418</v>
      </c>
      <c r="K25" s="51">
        <f t="shared" si="15"/>
        <v>17620157.376051359</v>
      </c>
      <c r="L25" s="51">
        <f t="shared" si="15"/>
        <v>18186074.555807799</v>
      </c>
      <c r="M25" s="51">
        <f t="shared" si="15"/>
        <v>18664868.598196432</v>
      </c>
      <c r="N25" s="51">
        <f t="shared" si="15"/>
        <v>19306289.112604685</v>
      </c>
      <c r="O25" s="51">
        <f t="shared" si="15"/>
        <v>19698587.486294717</v>
      </c>
      <c r="P25" s="51">
        <f t="shared" si="15"/>
        <v>20300055.740728591</v>
      </c>
      <c r="Q25" s="51">
        <f t="shared" si="15"/>
        <v>20842269.252776776</v>
      </c>
      <c r="R25" s="51">
        <f t="shared" si="15"/>
        <v>21462915.192778677</v>
      </c>
    </row>
    <row r="26" spans="1:18" x14ac:dyDescent="0.25">
      <c r="A26" s="48"/>
      <c r="B26" s="49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</row>
    <row r="27" spans="1:18" x14ac:dyDescent="0.25">
      <c r="A27" s="48" t="s">
        <v>167</v>
      </c>
      <c r="B27" s="49"/>
      <c r="C27" s="51">
        <f t="shared" ref="C27:R27" si="16">C17-C25</f>
        <v>380687.5700000003</v>
      </c>
      <c r="D27" s="51">
        <f t="shared" si="16"/>
        <v>335634</v>
      </c>
      <c r="E27" s="51">
        <f t="shared" si="16"/>
        <v>3665049.2399999984</v>
      </c>
      <c r="F27" s="51">
        <f t="shared" si="16"/>
        <v>-486517.8200000003</v>
      </c>
      <c r="G27" s="51">
        <f t="shared" si="16"/>
        <v>-9879</v>
      </c>
      <c r="H27" s="51">
        <f t="shared" si="16"/>
        <v>355036.30423320085</v>
      </c>
      <c r="I27" s="51">
        <f t="shared" si="16"/>
        <v>-586901.941078417</v>
      </c>
      <c r="J27" s="51">
        <f t="shared" si="16"/>
        <v>-615523.96177741699</v>
      </c>
      <c r="K27" s="51">
        <f t="shared" si="16"/>
        <v>-596219.91162636131</v>
      </c>
      <c r="L27" s="51">
        <f t="shared" si="16"/>
        <v>-784940.77837300301</v>
      </c>
      <c r="M27" s="51">
        <f t="shared" si="16"/>
        <v>-888361.22544687986</v>
      </c>
      <c r="N27" s="51">
        <f t="shared" si="16"/>
        <v>-1012369.539367687</v>
      </c>
      <c r="O27" s="51">
        <f t="shared" si="16"/>
        <v>-927719.94792034104</v>
      </c>
      <c r="P27" s="51">
        <f t="shared" si="16"/>
        <v>-991322.03808840364</v>
      </c>
      <c r="Q27" s="51">
        <f t="shared" si="16"/>
        <v>-1186563.3723618351</v>
      </c>
      <c r="R27" s="51">
        <f t="shared" si="16"/>
        <v>-1318470.2107447609</v>
      </c>
    </row>
    <row r="28" spans="1:18" x14ac:dyDescent="0.25">
      <c r="A28" s="48"/>
      <c r="B28" s="49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</row>
    <row r="29" spans="1:18" x14ac:dyDescent="0.25">
      <c r="A29" s="48" t="s">
        <v>168</v>
      </c>
      <c r="B29" s="49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</row>
    <row r="30" spans="1:18" x14ac:dyDescent="0.25">
      <c r="A30" s="48"/>
      <c r="B30" s="49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</row>
    <row r="31" spans="1:18" x14ac:dyDescent="0.25">
      <c r="A31" s="48" t="s">
        <v>169</v>
      </c>
      <c r="B31" s="49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</row>
    <row r="32" spans="1:18" x14ac:dyDescent="0.25">
      <c r="A32" s="48" t="s">
        <v>159</v>
      </c>
      <c r="B32" s="49"/>
      <c r="C32" s="50">
        <f t="shared" ref="C32:R32" si="17">C75</f>
        <v>10735</v>
      </c>
      <c r="D32" s="50">
        <f t="shared" si="17"/>
        <v>148804</v>
      </c>
      <c r="E32" s="50">
        <f t="shared" si="17"/>
        <v>12176</v>
      </c>
      <c r="F32" s="50">
        <f t="shared" si="17"/>
        <v>0</v>
      </c>
      <c r="G32" s="50">
        <f t="shared" si="17"/>
        <v>0</v>
      </c>
      <c r="H32" s="50">
        <f t="shared" si="17"/>
        <v>0</v>
      </c>
      <c r="I32" s="50">
        <f t="shared" si="17"/>
        <v>0</v>
      </c>
      <c r="J32" s="50">
        <f t="shared" si="17"/>
        <v>0</v>
      </c>
      <c r="K32" s="50">
        <f t="shared" si="17"/>
        <v>0</v>
      </c>
      <c r="L32" s="50">
        <f t="shared" si="17"/>
        <v>0</v>
      </c>
      <c r="M32" s="50">
        <f t="shared" si="17"/>
        <v>0</v>
      </c>
      <c r="N32" s="50">
        <f t="shared" si="17"/>
        <v>0</v>
      </c>
      <c r="O32" s="50">
        <f t="shared" si="17"/>
        <v>0</v>
      </c>
      <c r="P32" s="50">
        <f t="shared" si="17"/>
        <v>0</v>
      </c>
      <c r="Q32" s="50">
        <f t="shared" si="17"/>
        <v>0</v>
      </c>
      <c r="R32" s="50">
        <f t="shared" si="17"/>
        <v>0</v>
      </c>
    </row>
    <row r="33" spans="1:18" x14ac:dyDescent="0.25">
      <c r="A33" s="48" t="s">
        <v>160</v>
      </c>
      <c r="B33" s="49"/>
      <c r="C33" s="50">
        <f t="shared" ref="C33:R33" si="18">C127</f>
        <v>197108</v>
      </c>
      <c r="D33" s="50">
        <f t="shared" si="18"/>
        <v>506017</v>
      </c>
      <c r="E33" s="50">
        <f t="shared" si="18"/>
        <v>237757</v>
      </c>
      <c r="F33" s="50">
        <f t="shared" si="18"/>
        <v>331876</v>
      </c>
      <c r="G33" s="50">
        <f t="shared" si="18"/>
        <v>20543</v>
      </c>
      <c r="H33" s="50">
        <f t="shared" si="18"/>
        <v>180000</v>
      </c>
      <c r="I33" s="50">
        <f t="shared" si="18"/>
        <v>0</v>
      </c>
      <c r="J33" s="50">
        <f t="shared" si="18"/>
        <v>0</v>
      </c>
      <c r="K33" s="50">
        <f t="shared" si="18"/>
        <v>0</v>
      </c>
      <c r="L33" s="50">
        <f t="shared" si="18"/>
        <v>0</v>
      </c>
      <c r="M33" s="50">
        <f t="shared" si="18"/>
        <v>0</v>
      </c>
      <c r="N33" s="50">
        <f t="shared" si="18"/>
        <v>0</v>
      </c>
      <c r="O33" s="50">
        <f t="shared" si="18"/>
        <v>0</v>
      </c>
      <c r="P33" s="50">
        <f t="shared" si="18"/>
        <v>0</v>
      </c>
      <c r="Q33" s="50">
        <f t="shared" si="18"/>
        <v>0</v>
      </c>
      <c r="R33" s="50">
        <f t="shared" si="18"/>
        <v>0</v>
      </c>
    </row>
    <row r="34" spans="1:18" x14ac:dyDescent="0.25">
      <c r="A34" s="41" t="s">
        <v>161</v>
      </c>
      <c r="B34" s="44"/>
      <c r="C34" s="50">
        <f t="shared" ref="C34:R34" si="19">C172</f>
        <v>0</v>
      </c>
      <c r="D34" s="50">
        <f t="shared" si="19"/>
        <v>34030</v>
      </c>
      <c r="E34" s="50">
        <f t="shared" si="19"/>
        <v>34802</v>
      </c>
      <c r="F34" s="50">
        <f t="shared" si="19"/>
        <v>0</v>
      </c>
      <c r="G34" s="50">
        <f t="shared" si="19"/>
        <v>0</v>
      </c>
      <c r="H34" s="50">
        <f t="shared" si="19"/>
        <v>0</v>
      </c>
      <c r="I34" s="50">
        <f t="shared" si="19"/>
        <v>0</v>
      </c>
      <c r="J34" s="50">
        <f t="shared" si="19"/>
        <v>0</v>
      </c>
      <c r="K34" s="50">
        <f t="shared" si="19"/>
        <v>0</v>
      </c>
      <c r="L34" s="50">
        <f t="shared" si="19"/>
        <v>0</v>
      </c>
      <c r="M34" s="50">
        <f t="shared" si="19"/>
        <v>0</v>
      </c>
      <c r="N34" s="50">
        <f t="shared" si="19"/>
        <v>0</v>
      </c>
      <c r="O34" s="50">
        <f t="shared" si="19"/>
        <v>0</v>
      </c>
      <c r="P34" s="50">
        <f t="shared" si="19"/>
        <v>0</v>
      </c>
      <c r="Q34" s="50">
        <f t="shared" si="19"/>
        <v>0</v>
      </c>
      <c r="R34" s="50">
        <f t="shared" si="19"/>
        <v>0</v>
      </c>
    </row>
    <row r="35" spans="1:18" x14ac:dyDescent="0.25">
      <c r="A35" s="41" t="s">
        <v>162</v>
      </c>
      <c r="B35" s="44"/>
      <c r="C35" s="50">
        <f t="shared" ref="C35:R35" si="20">C206</f>
        <v>0</v>
      </c>
      <c r="D35" s="50">
        <f t="shared" si="20"/>
        <v>62487</v>
      </c>
      <c r="E35" s="50">
        <f t="shared" si="20"/>
        <v>119337</v>
      </c>
      <c r="F35" s="50">
        <f t="shared" si="20"/>
        <v>25497</v>
      </c>
      <c r="G35" s="50">
        <f t="shared" si="20"/>
        <v>15979</v>
      </c>
      <c r="H35" s="50">
        <f t="shared" si="20"/>
        <v>0</v>
      </c>
      <c r="I35" s="50">
        <f t="shared" si="20"/>
        <v>0</v>
      </c>
      <c r="J35" s="50">
        <f t="shared" si="20"/>
        <v>0</v>
      </c>
      <c r="K35" s="50">
        <f t="shared" si="20"/>
        <v>0</v>
      </c>
      <c r="L35" s="50">
        <f t="shared" si="20"/>
        <v>0</v>
      </c>
      <c r="M35" s="50">
        <f t="shared" si="20"/>
        <v>0</v>
      </c>
      <c r="N35" s="50">
        <f t="shared" si="20"/>
        <v>0</v>
      </c>
      <c r="O35" s="50">
        <f t="shared" si="20"/>
        <v>0</v>
      </c>
      <c r="P35" s="50">
        <f t="shared" si="20"/>
        <v>0</v>
      </c>
      <c r="Q35" s="50">
        <f t="shared" si="20"/>
        <v>0</v>
      </c>
      <c r="R35" s="50">
        <f t="shared" si="20"/>
        <v>0</v>
      </c>
    </row>
    <row r="36" spans="1:18" x14ac:dyDescent="0.25">
      <c r="A36" s="41" t="s">
        <v>163</v>
      </c>
      <c r="B36" s="44"/>
      <c r="C36" s="50">
        <f t="shared" ref="C36:D36" si="21">C253</f>
        <v>3125054.42</v>
      </c>
      <c r="D36" s="50">
        <f t="shared" si="21"/>
        <v>4018888</v>
      </c>
      <c r="E36" s="50">
        <f>E253</f>
        <v>3789725</v>
      </c>
      <c r="F36" s="50">
        <f t="shared" ref="F36:R36" si="22">F253</f>
        <v>3547253</v>
      </c>
      <c r="G36" s="50">
        <f t="shared" si="22"/>
        <v>2852540.36</v>
      </c>
      <c r="H36" s="50">
        <f t="shared" si="22"/>
        <v>3668076.9569942858</v>
      </c>
      <c r="I36" s="50">
        <f t="shared" si="22"/>
        <v>3178563.6236609523</v>
      </c>
      <c r="J36" s="50">
        <f t="shared" si="22"/>
        <v>3365144.2636609524</v>
      </c>
      <c r="K36" s="50">
        <f t="shared" si="22"/>
        <v>3293922.2184209526</v>
      </c>
      <c r="L36" s="50">
        <f t="shared" si="22"/>
        <v>3360720.6660080329</v>
      </c>
      <c r="M36" s="50">
        <f t="shared" si="22"/>
        <v>3456516.8871640987</v>
      </c>
      <c r="N36" s="50">
        <f t="shared" si="22"/>
        <v>3694756.0608455935</v>
      </c>
      <c r="O36" s="50">
        <f t="shared" si="22"/>
        <v>3490607.766987469</v>
      </c>
      <c r="P36" s="50">
        <f t="shared" si="22"/>
        <v>3766470.6508279061</v>
      </c>
      <c r="Q36" s="50">
        <f t="shared" si="22"/>
        <v>3765573.5190351889</v>
      </c>
      <c r="R36" s="50">
        <f t="shared" si="22"/>
        <v>3819615.6616525617</v>
      </c>
    </row>
    <row r="37" spans="1:18" x14ac:dyDescent="0.25">
      <c r="A37" s="41" t="s">
        <v>170</v>
      </c>
      <c r="B37" s="44"/>
      <c r="C37" s="51">
        <f t="shared" ref="C37:R37" si="23">SUM(C31:C36)</f>
        <v>3332897.42</v>
      </c>
      <c r="D37" s="51">
        <f t="shared" si="23"/>
        <v>4770226</v>
      </c>
      <c r="E37" s="51">
        <f t="shared" si="23"/>
        <v>4193797</v>
      </c>
      <c r="F37" s="51">
        <f t="shared" si="23"/>
        <v>3904626</v>
      </c>
      <c r="G37" s="51">
        <f t="shared" si="23"/>
        <v>2889062.36</v>
      </c>
      <c r="H37" s="51">
        <f t="shared" si="23"/>
        <v>3848076.9569942858</v>
      </c>
      <c r="I37" s="51">
        <f t="shared" si="23"/>
        <v>3178563.6236609523</v>
      </c>
      <c r="J37" s="51">
        <f t="shared" si="23"/>
        <v>3365144.2636609524</v>
      </c>
      <c r="K37" s="51">
        <f t="shared" si="23"/>
        <v>3293922.2184209526</v>
      </c>
      <c r="L37" s="51">
        <f t="shared" si="23"/>
        <v>3360720.6660080329</v>
      </c>
      <c r="M37" s="51">
        <f t="shared" si="23"/>
        <v>3456516.8871640987</v>
      </c>
      <c r="N37" s="51">
        <f t="shared" si="23"/>
        <v>3694756.0608455935</v>
      </c>
      <c r="O37" s="51">
        <f t="shared" si="23"/>
        <v>3490607.766987469</v>
      </c>
      <c r="P37" s="51">
        <f t="shared" si="23"/>
        <v>3766470.6508279061</v>
      </c>
      <c r="Q37" s="51">
        <f t="shared" si="23"/>
        <v>3765573.5190351889</v>
      </c>
      <c r="R37" s="51">
        <f t="shared" si="23"/>
        <v>3819615.6616525617</v>
      </c>
    </row>
    <row r="38" spans="1:18" x14ac:dyDescent="0.25">
      <c r="A38" s="48"/>
      <c r="B38" s="49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</row>
    <row r="39" spans="1:18" x14ac:dyDescent="0.25">
      <c r="A39" s="41" t="s">
        <v>171</v>
      </c>
      <c r="B39" s="44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</row>
    <row r="40" spans="1:18" x14ac:dyDescent="0.25">
      <c r="A40" s="48" t="s">
        <v>159</v>
      </c>
      <c r="B40" s="49"/>
      <c r="C40" s="50">
        <f t="shared" ref="C40:R40" si="24">C81</f>
        <v>0</v>
      </c>
      <c r="D40" s="50">
        <f t="shared" si="24"/>
        <v>0</v>
      </c>
      <c r="E40" s="50">
        <f t="shared" si="24"/>
        <v>0</v>
      </c>
      <c r="F40" s="50">
        <f t="shared" si="24"/>
        <v>0</v>
      </c>
      <c r="G40" s="50">
        <f t="shared" si="24"/>
        <v>0</v>
      </c>
      <c r="H40" s="50">
        <f t="shared" si="24"/>
        <v>0</v>
      </c>
      <c r="I40" s="50">
        <f t="shared" si="24"/>
        <v>0</v>
      </c>
      <c r="J40" s="50">
        <f t="shared" si="24"/>
        <v>0</v>
      </c>
      <c r="K40" s="50">
        <f t="shared" si="24"/>
        <v>0</v>
      </c>
      <c r="L40" s="50">
        <f t="shared" si="24"/>
        <v>0</v>
      </c>
      <c r="M40" s="50">
        <f t="shared" si="24"/>
        <v>0</v>
      </c>
      <c r="N40" s="50">
        <f t="shared" si="24"/>
        <v>0</v>
      </c>
      <c r="O40" s="50">
        <f t="shared" si="24"/>
        <v>0</v>
      </c>
      <c r="P40" s="50">
        <f t="shared" si="24"/>
        <v>0</v>
      </c>
      <c r="Q40" s="50">
        <f t="shared" si="24"/>
        <v>0</v>
      </c>
      <c r="R40" s="50">
        <f t="shared" si="24"/>
        <v>0</v>
      </c>
    </row>
    <row r="41" spans="1:18" x14ac:dyDescent="0.25">
      <c r="A41" s="48" t="s">
        <v>160</v>
      </c>
      <c r="B41" s="49"/>
      <c r="C41" s="50">
        <f t="shared" ref="C41:R41" si="25">C138</f>
        <v>747850</v>
      </c>
      <c r="D41" s="50">
        <f t="shared" si="25"/>
        <v>922605</v>
      </c>
      <c r="E41" s="50">
        <f t="shared" si="25"/>
        <v>449926</v>
      </c>
      <c r="F41" s="50">
        <f t="shared" si="25"/>
        <v>833238.5</v>
      </c>
      <c r="G41" s="50">
        <f t="shared" si="25"/>
        <v>198184</v>
      </c>
      <c r="H41" s="50">
        <f t="shared" si="25"/>
        <v>617908</v>
      </c>
      <c r="I41" s="50">
        <f t="shared" si="25"/>
        <v>412406.99999999994</v>
      </c>
      <c r="J41" s="50">
        <f t="shared" si="25"/>
        <v>431411.16</v>
      </c>
      <c r="K41" s="50">
        <f t="shared" si="25"/>
        <v>443371.77184</v>
      </c>
      <c r="L41" s="50">
        <f t="shared" si="25"/>
        <v>429674.51359231997</v>
      </c>
      <c r="M41" s="50">
        <f t="shared" si="25"/>
        <v>445941.38489135104</v>
      </c>
      <c r="N41" s="50">
        <f t="shared" si="25"/>
        <v>516167.62474385207</v>
      </c>
      <c r="O41" s="50">
        <f t="shared" si="25"/>
        <v>532304.86536244838</v>
      </c>
      <c r="P41" s="50">
        <f t="shared" si="25"/>
        <v>535334.73699650948</v>
      </c>
      <c r="Q41" s="50">
        <f t="shared" si="25"/>
        <v>544881.37868442573</v>
      </c>
      <c r="R41" s="50">
        <f t="shared" si="25"/>
        <v>554657.13977285195</v>
      </c>
    </row>
    <row r="42" spans="1:18" x14ac:dyDescent="0.25">
      <c r="A42" s="41" t="s">
        <v>161</v>
      </c>
      <c r="B42" s="44"/>
      <c r="C42" s="50">
        <f t="shared" ref="C42:R42" si="26">C179</f>
        <v>48770</v>
      </c>
      <c r="D42" s="50">
        <f t="shared" si="26"/>
        <v>161687</v>
      </c>
      <c r="E42" s="50">
        <f t="shared" si="26"/>
        <v>112783</v>
      </c>
      <c r="F42" s="50">
        <f t="shared" si="26"/>
        <v>86525</v>
      </c>
      <c r="G42" s="50">
        <f t="shared" si="26"/>
        <v>41616</v>
      </c>
      <c r="H42" s="50">
        <f t="shared" si="26"/>
        <v>46387</v>
      </c>
      <c r="I42" s="50">
        <f t="shared" si="26"/>
        <v>103090</v>
      </c>
      <c r="J42" s="50">
        <f t="shared" si="26"/>
        <v>75504</v>
      </c>
      <c r="K42" s="50">
        <f t="shared" si="26"/>
        <v>112361</v>
      </c>
      <c r="L42" s="50">
        <f t="shared" si="26"/>
        <v>58925</v>
      </c>
      <c r="M42" s="50">
        <f t="shared" si="26"/>
        <v>121800</v>
      </c>
      <c r="N42" s="50">
        <f t="shared" si="26"/>
        <v>48628</v>
      </c>
      <c r="O42" s="50">
        <f t="shared" si="26"/>
        <v>48628</v>
      </c>
      <c r="P42" s="50">
        <f t="shared" si="26"/>
        <v>48628</v>
      </c>
      <c r="Q42" s="50">
        <f t="shared" si="26"/>
        <v>48628</v>
      </c>
      <c r="R42" s="50">
        <f t="shared" si="26"/>
        <v>48628</v>
      </c>
    </row>
    <row r="43" spans="1:18" x14ac:dyDescent="0.25">
      <c r="A43" s="41" t="s">
        <v>162</v>
      </c>
      <c r="B43" s="44"/>
      <c r="C43" s="50">
        <f t="shared" ref="C43:R43" si="27">C211</f>
        <v>1246779</v>
      </c>
      <c r="D43" s="50">
        <f t="shared" si="27"/>
        <v>1482366</v>
      </c>
      <c r="E43" s="50">
        <f t="shared" si="27"/>
        <v>1764701</v>
      </c>
      <c r="F43" s="50">
        <f t="shared" si="27"/>
        <v>897072</v>
      </c>
      <c r="G43" s="50">
        <f t="shared" si="27"/>
        <v>791792</v>
      </c>
      <c r="H43" s="50">
        <f t="shared" si="27"/>
        <v>1293256</v>
      </c>
      <c r="I43" s="50">
        <f t="shared" si="27"/>
        <v>1214155</v>
      </c>
      <c r="J43" s="50">
        <f t="shared" si="27"/>
        <v>1335132.76</v>
      </c>
      <c r="K43" s="50">
        <f t="shared" si="27"/>
        <v>1192837.46624</v>
      </c>
      <c r="L43" s="50">
        <f t="shared" si="27"/>
        <v>1195389.82596352</v>
      </c>
      <c r="M43" s="50">
        <f t="shared" si="27"/>
        <v>1273785.5361347175</v>
      </c>
      <c r="N43" s="50">
        <f t="shared" si="27"/>
        <v>1516459.509465816</v>
      </c>
      <c r="O43" s="50">
        <f t="shared" si="27"/>
        <v>1225152.9222024614</v>
      </c>
      <c r="P43" s="50">
        <f t="shared" si="27"/>
        <v>1495849.9202575227</v>
      </c>
      <c r="Q43" s="50">
        <f t="shared" si="27"/>
        <v>1445519.5663437033</v>
      </c>
      <c r="R43" s="50">
        <f t="shared" si="27"/>
        <v>1445667.6839359524</v>
      </c>
    </row>
    <row r="44" spans="1:18" x14ac:dyDescent="0.25">
      <c r="A44" s="41" t="s">
        <v>163</v>
      </c>
      <c r="B44" s="44"/>
      <c r="C44" s="50">
        <f t="shared" ref="C44:D44" si="28">C263</f>
        <v>1307666</v>
      </c>
      <c r="D44" s="50">
        <f t="shared" si="28"/>
        <v>1080843</v>
      </c>
      <c r="E44" s="50">
        <f>E263</f>
        <v>1120149</v>
      </c>
      <c r="F44" s="50">
        <f t="shared" ref="F44:R44" si="29">F263</f>
        <v>1048600</v>
      </c>
      <c r="G44" s="50">
        <f t="shared" si="29"/>
        <v>2922198.27</v>
      </c>
      <c r="H44" s="50">
        <f t="shared" si="29"/>
        <v>2353919.9569942858</v>
      </c>
      <c r="I44" s="50">
        <f t="shared" si="29"/>
        <v>1257752.6236609523</v>
      </c>
      <c r="J44" s="50">
        <f t="shared" si="29"/>
        <v>1187901.4636609524</v>
      </c>
      <c r="K44" s="50">
        <f t="shared" si="29"/>
        <v>1249484.1155009523</v>
      </c>
      <c r="L44" s="50">
        <f t="shared" si="29"/>
        <v>1268016.2939732724</v>
      </c>
      <c r="M44" s="50">
        <f t="shared" si="29"/>
        <v>1217026.1120883033</v>
      </c>
      <c r="N44" s="50">
        <f t="shared" si="29"/>
        <v>1293097.7851852844</v>
      </c>
      <c r="O44" s="50">
        <f t="shared" si="29"/>
        <v>1265505.3897951494</v>
      </c>
      <c r="P44" s="50">
        <f t="shared" si="29"/>
        <v>1332111.2135456367</v>
      </c>
      <c r="Q44" s="50">
        <f t="shared" si="29"/>
        <v>1360838.1417219378</v>
      </c>
      <c r="R44" s="50">
        <f t="shared" si="29"/>
        <v>1396064.0410393537</v>
      </c>
    </row>
    <row r="45" spans="1:18" x14ac:dyDescent="0.25">
      <c r="A45" s="41" t="s">
        <v>172</v>
      </c>
      <c r="B45" s="44"/>
      <c r="C45" s="51">
        <f t="shared" ref="C45:R45" si="30">SUM(C40:C44)</f>
        <v>3351065</v>
      </c>
      <c r="D45" s="51">
        <f t="shared" si="30"/>
        <v>3647501</v>
      </c>
      <c r="E45" s="51">
        <f t="shared" si="30"/>
        <v>3447559</v>
      </c>
      <c r="F45" s="51">
        <f t="shared" si="30"/>
        <v>2865435.5</v>
      </c>
      <c r="G45" s="51">
        <f t="shared" si="30"/>
        <v>3953790.27</v>
      </c>
      <c r="H45" s="51">
        <f t="shared" si="30"/>
        <v>4311470.9569942858</v>
      </c>
      <c r="I45" s="51">
        <f t="shared" si="30"/>
        <v>2987404.6236609523</v>
      </c>
      <c r="J45" s="51">
        <f t="shared" si="30"/>
        <v>3029949.3836609526</v>
      </c>
      <c r="K45" s="51">
        <f t="shared" si="30"/>
        <v>2998054.3535809526</v>
      </c>
      <c r="L45" s="51">
        <f t="shared" si="30"/>
        <v>2952005.6335291127</v>
      </c>
      <c r="M45" s="51">
        <f t="shared" si="30"/>
        <v>3058553.0331143718</v>
      </c>
      <c r="N45" s="51">
        <f t="shared" si="30"/>
        <v>3374352.9193949522</v>
      </c>
      <c r="O45" s="51">
        <f t="shared" si="30"/>
        <v>3071591.1773600592</v>
      </c>
      <c r="P45" s="51">
        <f t="shared" si="30"/>
        <v>3411923.8707996691</v>
      </c>
      <c r="Q45" s="51">
        <f t="shared" si="30"/>
        <v>3399867.0867500668</v>
      </c>
      <c r="R45" s="51">
        <f t="shared" si="30"/>
        <v>3445016.864748158</v>
      </c>
    </row>
    <row r="46" spans="1:18" x14ac:dyDescent="0.25">
      <c r="A46" s="48"/>
      <c r="B46" s="49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</row>
    <row r="47" spans="1:18" x14ac:dyDescent="0.25">
      <c r="A47" s="48" t="s">
        <v>173</v>
      </c>
      <c r="B47" s="49"/>
      <c r="C47" s="51">
        <f t="shared" ref="C47:R47" si="31">C37-C45</f>
        <v>-18167.580000000075</v>
      </c>
      <c r="D47" s="51">
        <f t="shared" si="31"/>
        <v>1122725</v>
      </c>
      <c r="E47" s="51">
        <f t="shared" si="31"/>
        <v>746238</v>
      </c>
      <c r="F47" s="51">
        <f t="shared" si="31"/>
        <v>1039190.5</v>
      </c>
      <c r="G47" s="51">
        <f t="shared" si="31"/>
        <v>-1064727.9100000001</v>
      </c>
      <c r="H47" s="51">
        <f t="shared" si="31"/>
        <v>-463394</v>
      </c>
      <c r="I47" s="51">
        <f t="shared" si="31"/>
        <v>191159</v>
      </c>
      <c r="J47" s="51">
        <f t="shared" si="31"/>
        <v>335194.87999999989</v>
      </c>
      <c r="K47" s="51">
        <f t="shared" si="31"/>
        <v>295867.86483999994</v>
      </c>
      <c r="L47" s="51">
        <f t="shared" si="31"/>
        <v>408715.03247892018</v>
      </c>
      <c r="M47" s="51">
        <f t="shared" si="31"/>
        <v>397963.85404972686</v>
      </c>
      <c r="N47" s="51">
        <f t="shared" si="31"/>
        <v>320403.14145064121</v>
      </c>
      <c r="O47" s="51">
        <f t="shared" si="31"/>
        <v>419016.58962740982</v>
      </c>
      <c r="P47" s="51">
        <f t="shared" si="31"/>
        <v>354546.78002823703</v>
      </c>
      <c r="Q47" s="51">
        <f t="shared" si="31"/>
        <v>365706.43228512211</v>
      </c>
      <c r="R47" s="51">
        <f t="shared" si="31"/>
        <v>374598.79690440372</v>
      </c>
    </row>
    <row r="48" spans="1:18" x14ac:dyDescent="0.25">
      <c r="A48" s="48"/>
      <c r="B48" s="49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</row>
    <row r="49" spans="1:18" x14ac:dyDescent="0.25">
      <c r="A49" s="48" t="s">
        <v>174</v>
      </c>
      <c r="B49" s="49"/>
      <c r="C49" s="51">
        <f t="shared" ref="C49:G49" si="32">C47+C27</f>
        <v>362519.99000000022</v>
      </c>
      <c r="D49" s="51">
        <f t="shared" si="32"/>
        <v>1458359</v>
      </c>
      <c r="E49" s="51">
        <f t="shared" si="32"/>
        <v>4411287.2399999984</v>
      </c>
      <c r="F49" s="51">
        <f t="shared" si="32"/>
        <v>552672.6799999997</v>
      </c>
      <c r="G49" s="51">
        <f t="shared" si="32"/>
        <v>-1074606.9100000001</v>
      </c>
      <c r="H49" s="51">
        <f>H47+H27</f>
        <v>-108357.69576679915</v>
      </c>
      <c r="I49" s="51">
        <f t="shared" ref="I49:R49" si="33">I47+I27</f>
        <v>-395742.941078417</v>
      </c>
      <c r="J49" s="51">
        <f t="shared" si="33"/>
        <v>-280329.0817774171</v>
      </c>
      <c r="K49" s="51">
        <f t="shared" si="33"/>
        <v>-300352.04678636137</v>
      </c>
      <c r="L49" s="51">
        <f t="shared" si="33"/>
        <v>-376225.74589408282</v>
      </c>
      <c r="M49" s="51">
        <f t="shared" si="33"/>
        <v>-490397.37139715301</v>
      </c>
      <c r="N49" s="51">
        <f t="shared" si="33"/>
        <v>-691966.39791704575</v>
      </c>
      <c r="O49" s="51">
        <f t="shared" si="33"/>
        <v>-508703.35829293123</v>
      </c>
      <c r="P49" s="51">
        <f t="shared" si="33"/>
        <v>-636775.25806016661</v>
      </c>
      <c r="Q49" s="51">
        <f t="shared" si="33"/>
        <v>-820856.94007671298</v>
      </c>
      <c r="R49" s="51">
        <f t="shared" si="33"/>
        <v>-943871.41384035721</v>
      </c>
    </row>
    <row r="50" spans="1:18" x14ac:dyDescent="0.25">
      <c r="A50" s="48"/>
      <c r="B50" s="49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</row>
    <row r="51" spans="1:18" x14ac:dyDescent="0.25">
      <c r="A51" s="48" t="s">
        <v>159</v>
      </c>
      <c r="B51" s="49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</row>
    <row r="52" spans="1:18" x14ac:dyDescent="0.25">
      <c r="A52" s="48"/>
      <c r="B52" s="49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</row>
    <row r="53" spans="1:18" x14ac:dyDescent="0.25">
      <c r="A53" s="48" t="s">
        <v>157</v>
      </c>
      <c r="B53" s="49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</row>
    <row r="54" spans="1:18" x14ac:dyDescent="0.25">
      <c r="A54" s="48"/>
      <c r="B54" s="49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</row>
    <row r="55" spans="1:18" x14ac:dyDescent="0.25">
      <c r="A55" s="48" t="s">
        <v>158</v>
      </c>
      <c r="B55" s="49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</row>
    <row r="56" spans="1:18" x14ac:dyDescent="0.25">
      <c r="A56" s="41" t="s">
        <v>175</v>
      </c>
      <c r="B56" s="44"/>
      <c r="C56" s="50">
        <f t="shared" ref="C56:R56" si="34">C292</f>
        <v>311544</v>
      </c>
      <c r="D56" s="50">
        <f t="shared" si="34"/>
        <v>286624</v>
      </c>
      <c r="E56" s="50">
        <f t="shared" si="34"/>
        <v>321098.75</v>
      </c>
      <c r="F56" s="50">
        <f t="shared" si="34"/>
        <v>354885</v>
      </c>
      <c r="G56" s="50">
        <f t="shared" si="34"/>
        <v>352236</v>
      </c>
      <c r="H56" s="50">
        <f t="shared" si="34"/>
        <v>377000</v>
      </c>
      <c r="I56" s="50">
        <f t="shared" si="34"/>
        <v>385670.99999999994</v>
      </c>
      <c r="J56" s="50">
        <f t="shared" si="34"/>
        <v>394927.10400000011</v>
      </c>
      <c r="K56" s="50">
        <f t="shared" si="34"/>
        <v>404405.35449599993</v>
      </c>
      <c r="L56" s="50">
        <f t="shared" si="34"/>
        <v>413706.67764940794</v>
      </c>
      <c r="M56" s="50">
        <f t="shared" si="34"/>
        <v>422808.22455769486</v>
      </c>
      <c r="N56" s="50">
        <f t="shared" si="34"/>
        <v>432532.81372252188</v>
      </c>
      <c r="O56" s="50">
        <f t="shared" si="34"/>
        <v>443346.13406558486</v>
      </c>
      <c r="P56" s="50">
        <f t="shared" si="34"/>
        <v>454429.78741722455</v>
      </c>
      <c r="Q56" s="50">
        <f t="shared" si="34"/>
        <v>465336.10231523786</v>
      </c>
      <c r="R56" s="50">
        <f t="shared" si="34"/>
        <v>476504.16877080366</v>
      </c>
    </row>
    <row r="57" spans="1:18" x14ac:dyDescent="0.25">
      <c r="A57" s="41" t="s">
        <v>176</v>
      </c>
      <c r="B57" s="44"/>
      <c r="C57" s="50">
        <f t="shared" ref="C57:R57" si="35">C323</f>
        <v>82</v>
      </c>
      <c r="D57" s="50">
        <f t="shared" si="35"/>
        <v>0</v>
      </c>
      <c r="E57" s="50">
        <f t="shared" si="35"/>
        <v>0</v>
      </c>
      <c r="F57" s="50">
        <f t="shared" si="35"/>
        <v>0</v>
      </c>
      <c r="G57" s="50">
        <f t="shared" si="35"/>
        <v>0</v>
      </c>
      <c r="H57" s="50">
        <f t="shared" si="35"/>
        <v>200</v>
      </c>
      <c r="I57" s="50">
        <f t="shared" si="35"/>
        <v>204.6</v>
      </c>
      <c r="J57" s="50">
        <f t="shared" si="35"/>
        <v>209.5104</v>
      </c>
      <c r="K57" s="50">
        <f t="shared" si="35"/>
        <v>214.53864960000001</v>
      </c>
      <c r="L57" s="50">
        <f t="shared" si="35"/>
        <v>219.47303854079999</v>
      </c>
      <c r="M57" s="50">
        <f t="shared" si="35"/>
        <v>224.3014453886976</v>
      </c>
      <c r="N57" s="50">
        <f t="shared" si="35"/>
        <v>229.46037863263763</v>
      </c>
      <c r="O57" s="50">
        <f t="shared" si="35"/>
        <v>235.19688809845354</v>
      </c>
      <c r="P57" s="50">
        <f t="shared" si="35"/>
        <v>241.07681030091487</v>
      </c>
      <c r="Q57" s="50">
        <f t="shared" si="35"/>
        <v>246.86265374813684</v>
      </c>
      <c r="R57" s="50">
        <f t="shared" si="35"/>
        <v>252.78735743809213</v>
      </c>
    </row>
    <row r="58" spans="1:18" x14ac:dyDescent="0.25">
      <c r="A58" s="48" t="s">
        <v>177</v>
      </c>
      <c r="B58" s="49"/>
      <c r="C58" s="50">
        <f t="shared" ref="C58:F58" si="36">C345</f>
        <v>0</v>
      </c>
      <c r="D58" s="50">
        <f t="shared" si="36"/>
        <v>0</v>
      </c>
      <c r="E58" s="50">
        <f t="shared" si="36"/>
        <v>50000</v>
      </c>
      <c r="F58" s="50">
        <f t="shared" si="36"/>
        <v>4500</v>
      </c>
      <c r="G58" s="50">
        <f>G345</f>
        <v>20000</v>
      </c>
      <c r="H58" s="50">
        <f>H345</f>
        <v>5000</v>
      </c>
      <c r="I58" s="50">
        <f t="shared" ref="I58:R58" si="37">I345</f>
        <v>5115</v>
      </c>
      <c r="J58" s="50">
        <f t="shared" si="37"/>
        <v>5237.76</v>
      </c>
      <c r="K58" s="50">
        <f t="shared" si="37"/>
        <v>5363.4662400000007</v>
      </c>
      <c r="L58" s="50">
        <f t="shared" si="37"/>
        <v>5486.8259635200002</v>
      </c>
      <c r="M58" s="50">
        <f t="shared" si="37"/>
        <v>5607.5361347174403</v>
      </c>
      <c r="N58" s="50">
        <f t="shared" si="37"/>
        <v>5736.5094658159405</v>
      </c>
      <c r="O58" s="50">
        <f t="shared" si="37"/>
        <v>5879.9222024613382</v>
      </c>
      <c r="P58" s="50">
        <f t="shared" si="37"/>
        <v>6026.920257522871</v>
      </c>
      <c r="Q58" s="50">
        <f t="shared" si="37"/>
        <v>6171.56634370342</v>
      </c>
      <c r="R58" s="50">
        <f t="shared" si="37"/>
        <v>6319.6839359523019</v>
      </c>
    </row>
    <row r="59" spans="1:18" x14ac:dyDescent="0.25">
      <c r="A59" s="41" t="s">
        <v>164</v>
      </c>
      <c r="B59" s="44"/>
      <c r="C59" s="51">
        <f t="shared" ref="C59:R59" si="38">SUM(C56:C58)</f>
        <v>311626</v>
      </c>
      <c r="D59" s="51">
        <f t="shared" si="38"/>
        <v>286624</v>
      </c>
      <c r="E59" s="51">
        <f t="shared" si="38"/>
        <v>371098.75</v>
      </c>
      <c r="F59" s="51">
        <f t="shared" si="38"/>
        <v>359385</v>
      </c>
      <c r="G59" s="51">
        <f t="shared" si="38"/>
        <v>372236</v>
      </c>
      <c r="H59" s="51">
        <f t="shared" si="38"/>
        <v>382200</v>
      </c>
      <c r="I59" s="51">
        <f t="shared" si="38"/>
        <v>390990.59999999992</v>
      </c>
      <c r="J59" s="51">
        <f t="shared" si="38"/>
        <v>400374.37440000015</v>
      </c>
      <c r="K59" s="51">
        <f t="shared" si="38"/>
        <v>409983.35938559991</v>
      </c>
      <c r="L59" s="51">
        <f t="shared" si="38"/>
        <v>419412.97665146872</v>
      </c>
      <c r="M59" s="51">
        <f t="shared" si="38"/>
        <v>428640.06213780103</v>
      </c>
      <c r="N59" s="51">
        <f t="shared" si="38"/>
        <v>438498.78356697049</v>
      </c>
      <c r="O59" s="51">
        <f t="shared" si="38"/>
        <v>449461.25315614464</v>
      </c>
      <c r="P59" s="51">
        <f t="shared" si="38"/>
        <v>460697.78448504838</v>
      </c>
      <c r="Q59" s="51">
        <f t="shared" si="38"/>
        <v>471754.53131268942</v>
      </c>
      <c r="R59" s="51">
        <f t="shared" si="38"/>
        <v>483076.64006419404</v>
      </c>
    </row>
    <row r="60" spans="1:18" x14ac:dyDescent="0.25">
      <c r="A60" s="48"/>
      <c r="B60" s="49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</row>
    <row r="61" spans="1:18" x14ac:dyDescent="0.25">
      <c r="A61" s="41" t="s">
        <v>165</v>
      </c>
      <c r="B61" s="44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</row>
    <row r="62" spans="1:18" x14ac:dyDescent="0.25">
      <c r="A62" s="41" t="s">
        <v>175</v>
      </c>
      <c r="B62" s="44"/>
      <c r="C62" s="50">
        <f t="shared" ref="C62:R62" si="39">C312</f>
        <v>897212</v>
      </c>
      <c r="D62" s="50">
        <f t="shared" si="39"/>
        <v>913968</v>
      </c>
      <c r="E62" s="50">
        <f t="shared" si="39"/>
        <v>1185220.3900000001</v>
      </c>
      <c r="F62" s="50">
        <f t="shared" si="39"/>
        <v>1531112</v>
      </c>
      <c r="G62" s="50">
        <f t="shared" si="39"/>
        <v>1180280</v>
      </c>
      <c r="H62" s="50">
        <f t="shared" si="39"/>
        <v>1108070</v>
      </c>
      <c r="I62" s="50">
        <f t="shared" si="39"/>
        <v>1103941.7</v>
      </c>
      <c r="J62" s="50">
        <f t="shared" si="39"/>
        <v>1134122.5432999998</v>
      </c>
      <c r="K62" s="50">
        <f t="shared" si="39"/>
        <v>1166169.0688366999</v>
      </c>
      <c r="L62" s="50">
        <f t="shared" si="39"/>
        <v>1199539.8870441187</v>
      </c>
      <c r="M62" s="50">
        <f t="shared" si="39"/>
        <v>1234005.1671208623</v>
      </c>
      <c r="N62" s="50">
        <f t="shared" si="39"/>
        <v>1266542.4396552667</v>
      </c>
      <c r="O62" s="50">
        <f t="shared" si="39"/>
        <v>1303123.4554479918</v>
      </c>
      <c r="P62" s="50">
        <f t="shared" si="39"/>
        <v>1343761.1010048883</v>
      </c>
      <c r="Q62" s="50">
        <f t="shared" si="39"/>
        <v>1383266.6070762284</v>
      </c>
      <c r="R62" s="50">
        <f t="shared" si="39"/>
        <v>1424142.9960812861</v>
      </c>
    </row>
    <row r="63" spans="1:18" x14ac:dyDescent="0.25">
      <c r="A63" s="41" t="s">
        <v>176</v>
      </c>
      <c r="B63" s="44"/>
      <c r="C63" s="50">
        <f t="shared" ref="C63:R63" si="40">C332</f>
        <v>44671</v>
      </c>
      <c r="D63" s="50">
        <f t="shared" si="40"/>
        <v>44363</v>
      </c>
      <c r="E63" s="50">
        <f t="shared" si="40"/>
        <v>42627.7</v>
      </c>
      <c r="F63" s="50">
        <f t="shared" si="40"/>
        <v>45485</v>
      </c>
      <c r="G63" s="50">
        <f t="shared" si="40"/>
        <v>49386</v>
      </c>
      <c r="H63" s="50">
        <f t="shared" si="40"/>
        <v>48400</v>
      </c>
      <c r="I63" s="50">
        <f t="shared" si="40"/>
        <v>49535.4</v>
      </c>
      <c r="J63" s="50">
        <f t="shared" si="40"/>
        <v>50781.1371</v>
      </c>
      <c r="K63" s="50">
        <f t="shared" si="40"/>
        <v>52081.836522899997</v>
      </c>
      <c r="L63" s="50">
        <f t="shared" si="40"/>
        <v>53400.422546651695</v>
      </c>
      <c r="M63" s="50">
        <f t="shared" si="40"/>
        <v>54699.918851265968</v>
      </c>
      <c r="N63" s="50">
        <f t="shared" si="40"/>
        <v>56048.090879848998</v>
      </c>
      <c r="O63" s="50">
        <f t="shared" si="40"/>
        <v>57542.069263699246</v>
      </c>
      <c r="P63" s="50">
        <f t="shared" si="40"/>
        <v>59103.721641991768</v>
      </c>
      <c r="Q63" s="50">
        <f t="shared" si="40"/>
        <v>60663.639926608281</v>
      </c>
      <c r="R63" s="50">
        <f t="shared" si="40"/>
        <v>62265.804834872695</v>
      </c>
    </row>
    <row r="64" spans="1:18" x14ac:dyDescent="0.25">
      <c r="A64" s="48" t="s">
        <v>177</v>
      </c>
      <c r="B64" s="44"/>
      <c r="C64" s="50">
        <f t="shared" ref="C64:R64" si="41">C364</f>
        <v>38437</v>
      </c>
      <c r="D64" s="50">
        <f t="shared" si="41"/>
        <v>152336</v>
      </c>
      <c r="E64" s="50">
        <f t="shared" si="41"/>
        <v>46443.81</v>
      </c>
      <c r="F64" s="50">
        <f t="shared" si="41"/>
        <v>28479</v>
      </c>
      <c r="G64" s="50">
        <f t="shared" si="41"/>
        <v>37016</v>
      </c>
      <c r="H64" s="50">
        <f t="shared" si="41"/>
        <v>154270</v>
      </c>
      <c r="I64" s="50">
        <f t="shared" si="41"/>
        <v>35084.699999999997</v>
      </c>
      <c r="J64" s="50">
        <f t="shared" si="41"/>
        <v>36035.49029999999</v>
      </c>
      <c r="K64" s="50">
        <f t="shared" si="41"/>
        <v>37149.390169699989</v>
      </c>
      <c r="L64" s="50">
        <f t="shared" si="41"/>
        <v>38265.417677428086</v>
      </c>
      <c r="M64" s="50">
        <f t="shared" si="41"/>
        <v>85509.679670772719</v>
      </c>
      <c r="N64" s="50">
        <f t="shared" si="41"/>
        <v>40553.326537128851</v>
      </c>
      <c r="O64" s="50">
        <f t="shared" si="41"/>
        <v>41757.073861503261</v>
      </c>
      <c r="P64" s="50">
        <f t="shared" si="41"/>
        <v>43213.857669022007</v>
      </c>
      <c r="Q64" s="50">
        <f t="shared" si="41"/>
        <v>44505.664250472466</v>
      </c>
      <c r="R64" s="50">
        <f t="shared" si="41"/>
        <v>97891.240785789123</v>
      </c>
    </row>
    <row r="65" spans="1:18" x14ac:dyDescent="0.25">
      <c r="A65" s="41" t="s">
        <v>166</v>
      </c>
      <c r="B65" s="44"/>
      <c r="C65" s="51">
        <f t="shared" ref="C65:R65" si="42">SUM(C62:C64)</f>
        <v>980320</v>
      </c>
      <c r="D65" s="51">
        <f t="shared" si="42"/>
        <v>1110667</v>
      </c>
      <c r="E65" s="51">
        <f t="shared" si="42"/>
        <v>1274291.9000000001</v>
      </c>
      <c r="F65" s="51">
        <f t="shared" si="42"/>
        <v>1605076</v>
      </c>
      <c r="G65" s="51">
        <f t="shared" si="42"/>
        <v>1266682</v>
      </c>
      <c r="H65" s="51">
        <f t="shared" si="42"/>
        <v>1310740</v>
      </c>
      <c r="I65" s="51">
        <f t="shared" si="42"/>
        <v>1188561.7999999998</v>
      </c>
      <c r="J65" s="51">
        <f t="shared" si="42"/>
        <v>1220939.1706999997</v>
      </c>
      <c r="K65" s="51">
        <f t="shared" si="42"/>
        <v>1255400.2955292999</v>
      </c>
      <c r="L65" s="51">
        <f t="shared" si="42"/>
        <v>1291205.7272681985</v>
      </c>
      <c r="M65" s="51">
        <f t="shared" si="42"/>
        <v>1374214.765642901</v>
      </c>
      <c r="N65" s="51">
        <f t="shared" si="42"/>
        <v>1363143.8570722444</v>
      </c>
      <c r="O65" s="51">
        <f t="shared" si="42"/>
        <v>1402422.5985731944</v>
      </c>
      <c r="P65" s="51">
        <f t="shared" si="42"/>
        <v>1446078.680315902</v>
      </c>
      <c r="Q65" s="51">
        <f t="shared" si="42"/>
        <v>1488435.9112533091</v>
      </c>
      <c r="R65" s="51">
        <f t="shared" si="42"/>
        <v>1584300.041701948</v>
      </c>
    </row>
    <row r="66" spans="1:18" x14ac:dyDescent="0.25">
      <c r="A66" s="48"/>
      <c r="B66" s="49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</row>
    <row r="67" spans="1:18" x14ac:dyDescent="0.25">
      <c r="A67" s="48" t="s">
        <v>167</v>
      </c>
      <c r="B67" s="49"/>
      <c r="C67" s="51">
        <f t="shared" ref="C67:R67" si="43">C59-C65</f>
        <v>-668694</v>
      </c>
      <c r="D67" s="51">
        <f t="shared" si="43"/>
        <v>-824043</v>
      </c>
      <c r="E67" s="51">
        <f t="shared" si="43"/>
        <v>-903193.15000000014</v>
      </c>
      <c r="F67" s="51">
        <f t="shared" si="43"/>
        <v>-1245691</v>
      </c>
      <c r="G67" s="51">
        <f t="shared" si="43"/>
        <v>-894446</v>
      </c>
      <c r="H67" s="51">
        <f t="shared" si="43"/>
        <v>-928540</v>
      </c>
      <c r="I67" s="51">
        <f t="shared" si="43"/>
        <v>-797571.2</v>
      </c>
      <c r="J67" s="51">
        <f t="shared" si="43"/>
        <v>-820564.79629999958</v>
      </c>
      <c r="K67" s="51">
        <f t="shared" si="43"/>
        <v>-845416.93614370003</v>
      </c>
      <c r="L67" s="51">
        <f t="shared" si="43"/>
        <v>-871792.75061672973</v>
      </c>
      <c r="M67" s="51">
        <f t="shared" si="43"/>
        <v>-945574.70350509998</v>
      </c>
      <c r="N67" s="51">
        <f t="shared" si="43"/>
        <v>-924645.0735052739</v>
      </c>
      <c r="O67" s="51">
        <f t="shared" si="43"/>
        <v>-952961.34541704971</v>
      </c>
      <c r="P67" s="51">
        <f t="shared" si="43"/>
        <v>-985380.89583085361</v>
      </c>
      <c r="Q67" s="51">
        <f t="shared" si="43"/>
        <v>-1016681.3799406197</v>
      </c>
      <c r="R67" s="51">
        <f t="shared" si="43"/>
        <v>-1101223.4016377539</v>
      </c>
    </row>
    <row r="68" spans="1:18" x14ac:dyDescent="0.25">
      <c r="A68" s="48"/>
      <c r="B68" s="49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</row>
    <row r="69" spans="1:18" x14ac:dyDescent="0.25">
      <c r="A69" s="48" t="s">
        <v>168</v>
      </c>
      <c r="B69" s="49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</row>
    <row r="70" spans="1:18" x14ac:dyDescent="0.25">
      <c r="A70" s="48"/>
      <c r="B70" s="49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</row>
    <row r="71" spans="1:18" x14ac:dyDescent="0.25">
      <c r="A71" s="48" t="s">
        <v>169</v>
      </c>
      <c r="B71" s="49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</row>
    <row r="72" spans="1:18" x14ac:dyDescent="0.25">
      <c r="A72" s="41" t="s">
        <v>175</v>
      </c>
      <c r="B72" s="44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</row>
    <row r="73" spans="1:18" x14ac:dyDescent="0.25">
      <c r="A73" s="41" t="s">
        <v>176</v>
      </c>
      <c r="B73" s="44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</row>
    <row r="74" spans="1:18" x14ac:dyDescent="0.25">
      <c r="A74" s="48" t="s">
        <v>177</v>
      </c>
      <c r="B74" s="44"/>
      <c r="C74" s="50">
        <f>C371</f>
        <v>10735</v>
      </c>
      <c r="D74" s="50">
        <f t="shared" ref="D74:R74" si="44">D371</f>
        <v>148804</v>
      </c>
      <c r="E74" s="50">
        <f t="shared" si="44"/>
        <v>12176</v>
      </c>
      <c r="F74" s="50">
        <f t="shared" si="44"/>
        <v>0</v>
      </c>
      <c r="G74" s="50">
        <f t="shared" si="44"/>
        <v>0</v>
      </c>
      <c r="H74" s="50">
        <f t="shared" si="44"/>
        <v>0</v>
      </c>
      <c r="I74" s="50">
        <f t="shared" si="44"/>
        <v>0</v>
      </c>
      <c r="J74" s="50">
        <f t="shared" si="44"/>
        <v>0</v>
      </c>
      <c r="K74" s="50">
        <f t="shared" si="44"/>
        <v>0</v>
      </c>
      <c r="L74" s="50">
        <f t="shared" si="44"/>
        <v>0</v>
      </c>
      <c r="M74" s="50">
        <f t="shared" si="44"/>
        <v>0</v>
      </c>
      <c r="N74" s="50">
        <f t="shared" si="44"/>
        <v>0</v>
      </c>
      <c r="O74" s="50">
        <f t="shared" si="44"/>
        <v>0</v>
      </c>
      <c r="P74" s="50">
        <f t="shared" si="44"/>
        <v>0</v>
      </c>
      <c r="Q74" s="50">
        <f t="shared" si="44"/>
        <v>0</v>
      </c>
      <c r="R74" s="50">
        <f t="shared" si="44"/>
        <v>0</v>
      </c>
    </row>
    <row r="75" spans="1:18" x14ac:dyDescent="0.25">
      <c r="A75" s="41" t="s">
        <v>170</v>
      </c>
      <c r="B75" s="44"/>
      <c r="C75" s="51">
        <f t="shared" ref="C75:R75" si="45">SUM(C72:C74)</f>
        <v>10735</v>
      </c>
      <c r="D75" s="51">
        <f t="shared" si="45"/>
        <v>148804</v>
      </c>
      <c r="E75" s="51">
        <f t="shared" si="45"/>
        <v>12176</v>
      </c>
      <c r="F75" s="51">
        <f t="shared" si="45"/>
        <v>0</v>
      </c>
      <c r="G75" s="51">
        <f t="shared" si="45"/>
        <v>0</v>
      </c>
      <c r="H75" s="51">
        <f t="shared" si="45"/>
        <v>0</v>
      </c>
      <c r="I75" s="51">
        <f t="shared" si="45"/>
        <v>0</v>
      </c>
      <c r="J75" s="51">
        <f t="shared" si="45"/>
        <v>0</v>
      </c>
      <c r="K75" s="51">
        <f t="shared" si="45"/>
        <v>0</v>
      </c>
      <c r="L75" s="51">
        <f t="shared" si="45"/>
        <v>0</v>
      </c>
      <c r="M75" s="51">
        <f t="shared" si="45"/>
        <v>0</v>
      </c>
      <c r="N75" s="51">
        <f t="shared" si="45"/>
        <v>0</v>
      </c>
      <c r="O75" s="51">
        <f t="shared" si="45"/>
        <v>0</v>
      </c>
      <c r="P75" s="51">
        <f t="shared" si="45"/>
        <v>0</v>
      </c>
      <c r="Q75" s="51">
        <f t="shared" si="45"/>
        <v>0</v>
      </c>
      <c r="R75" s="51">
        <f t="shared" si="45"/>
        <v>0</v>
      </c>
    </row>
    <row r="76" spans="1:18" x14ac:dyDescent="0.25">
      <c r="A76" s="48"/>
      <c r="B76" s="49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</row>
    <row r="77" spans="1:18" x14ac:dyDescent="0.25">
      <c r="A77" s="41" t="s">
        <v>171</v>
      </c>
      <c r="B77" s="44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</row>
    <row r="78" spans="1:18" x14ac:dyDescent="0.25">
      <c r="A78" s="41" t="s">
        <v>175</v>
      </c>
      <c r="B78" s="44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</row>
    <row r="79" spans="1:18" x14ac:dyDescent="0.25">
      <c r="A79" s="41" t="s">
        <v>176</v>
      </c>
      <c r="B79" s="44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</row>
    <row r="80" spans="1:18" x14ac:dyDescent="0.25">
      <c r="A80" s="48" t="s">
        <v>177</v>
      </c>
      <c r="B80" s="49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</row>
    <row r="81" spans="1:18" x14ac:dyDescent="0.25">
      <c r="A81" s="41" t="s">
        <v>172</v>
      </c>
      <c r="B81" s="44"/>
      <c r="C81" s="51">
        <f t="shared" ref="C81:R81" si="46">SUM(C78:C80)</f>
        <v>0</v>
      </c>
      <c r="D81" s="51">
        <f t="shared" si="46"/>
        <v>0</v>
      </c>
      <c r="E81" s="51">
        <f t="shared" si="46"/>
        <v>0</v>
      </c>
      <c r="F81" s="51">
        <f t="shared" si="46"/>
        <v>0</v>
      </c>
      <c r="G81" s="51">
        <f t="shared" si="46"/>
        <v>0</v>
      </c>
      <c r="H81" s="51">
        <f t="shared" si="46"/>
        <v>0</v>
      </c>
      <c r="I81" s="51">
        <f t="shared" si="46"/>
        <v>0</v>
      </c>
      <c r="J81" s="51">
        <f t="shared" si="46"/>
        <v>0</v>
      </c>
      <c r="K81" s="51">
        <f t="shared" si="46"/>
        <v>0</v>
      </c>
      <c r="L81" s="51">
        <f t="shared" si="46"/>
        <v>0</v>
      </c>
      <c r="M81" s="51">
        <f t="shared" si="46"/>
        <v>0</v>
      </c>
      <c r="N81" s="51">
        <f t="shared" si="46"/>
        <v>0</v>
      </c>
      <c r="O81" s="51">
        <f t="shared" si="46"/>
        <v>0</v>
      </c>
      <c r="P81" s="51">
        <f t="shared" si="46"/>
        <v>0</v>
      </c>
      <c r="Q81" s="51">
        <f t="shared" si="46"/>
        <v>0</v>
      </c>
      <c r="R81" s="51">
        <f t="shared" si="46"/>
        <v>0</v>
      </c>
    </row>
    <row r="82" spans="1:18" x14ac:dyDescent="0.25">
      <c r="A82" s="48"/>
      <c r="B82" s="49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</row>
    <row r="83" spans="1:18" x14ac:dyDescent="0.25">
      <c r="A83" s="48" t="s">
        <v>173</v>
      </c>
      <c r="B83" s="49"/>
      <c r="C83" s="51">
        <f t="shared" ref="C83:R83" si="47">C75-C81</f>
        <v>10735</v>
      </c>
      <c r="D83" s="51">
        <f t="shared" si="47"/>
        <v>148804</v>
      </c>
      <c r="E83" s="51">
        <f t="shared" si="47"/>
        <v>12176</v>
      </c>
      <c r="F83" s="51">
        <f t="shared" si="47"/>
        <v>0</v>
      </c>
      <c r="G83" s="51">
        <f t="shared" si="47"/>
        <v>0</v>
      </c>
      <c r="H83" s="51">
        <f t="shared" si="47"/>
        <v>0</v>
      </c>
      <c r="I83" s="51">
        <f t="shared" si="47"/>
        <v>0</v>
      </c>
      <c r="J83" s="51">
        <f t="shared" si="47"/>
        <v>0</v>
      </c>
      <c r="K83" s="51">
        <f t="shared" si="47"/>
        <v>0</v>
      </c>
      <c r="L83" s="51">
        <f t="shared" si="47"/>
        <v>0</v>
      </c>
      <c r="M83" s="51">
        <f t="shared" si="47"/>
        <v>0</v>
      </c>
      <c r="N83" s="51">
        <f t="shared" si="47"/>
        <v>0</v>
      </c>
      <c r="O83" s="51">
        <f t="shared" si="47"/>
        <v>0</v>
      </c>
      <c r="P83" s="51">
        <f t="shared" si="47"/>
        <v>0</v>
      </c>
      <c r="Q83" s="51">
        <f t="shared" si="47"/>
        <v>0</v>
      </c>
      <c r="R83" s="51">
        <f t="shared" si="47"/>
        <v>0</v>
      </c>
    </row>
    <row r="84" spans="1:18" x14ac:dyDescent="0.25">
      <c r="A84" s="48"/>
      <c r="B84" s="49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</row>
    <row r="85" spans="1:18" x14ac:dyDescent="0.25">
      <c r="A85" s="48" t="s">
        <v>178</v>
      </c>
      <c r="B85" s="49"/>
      <c r="C85" s="51">
        <f t="shared" ref="C85:R85" si="48">C83+C67</f>
        <v>-657959</v>
      </c>
      <c r="D85" s="51">
        <f t="shared" si="48"/>
        <v>-675239</v>
      </c>
      <c r="E85" s="51">
        <f t="shared" si="48"/>
        <v>-891017.15000000014</v>
      </c>
      <c r="F85" s="51">
        <f t="shared" si="48"/>
        <v>-1245691</v>
      </c>
      <c r="G85" s="51">
        <f t="shared" si="48"/>
        <v>-894446</v>
      </c>
      <c r="H85" s="51">
        <f t="shared" si="48"/>
        <v>-928540</v>
      </c>
      <c r="I85" s="51">
        <f t="shared" si="48"/>
        <v>-797571.2</v>
      </c>
      <c r="J85" s="51">
        <f t="shared" si="48"/>
        <v>-820564.79629999958</v>
      </c>
      <c r="K85" s="51">
        <f t="shared" si="48"/>
        <v>-845416.93614370003</v>
      </c>
      <c r="L85" s="51">
        <f t="shared" si="48"/>
        <v>-871792.75061672973</v>
      </c>
      <c r="M85" s="51">
        <f t="shared" si="48"/>
        <v>-945574.70350509998</v>
      </c>
      <c r="N85" s="51">
        <f t="shared" si="48"/>
        <v>-924645.0735052739</v>
      </c>
      <c r="O85" s="51">
        <f t="shared" si="48"/>
        <v>-952961.34541704971</v>
      </c>
      <c r="P85" s="51">
        <f t="shared" si="48"/>
        <v>-985380.89583085361</v>
      </c>
      <c r="Q85" s="51">
        <f t="shared" si="48"/>
        <v>-1016681.3799406197</v>
      </c>
      <c r="R85" s="51">
        <f t="shared" si="48"/>
        <v>-1101223.4016377539</v>
      </c>
    </row>
    <row r="86" spans="1:18" x14ac:dyDescent="0.25">
      <c r="A86" s="48"/>
      <c r="B86" s="49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</row>
    <row r="87" spans="1:18" x14ac:dyDescent="0.25">
      <c r="A87" s="48"/>
      <c r="B87" s="49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</row>
    <row r="88" spans="1:18" x14ac:dyDescent="0.25">
      <c r="A88" s="48" t="s">
        <v>160</v>
      </c>
      <c r="B88" s="49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</row>
    <row r="89" spans="1:18" x14ac:dyDescent="0.25">
      <c r="A89" s="48"/>
      <c r="B89" s="49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</row>
    <row r="90" spans="1:18" x14ac:dyDescent="0.25">
      <c r="A90" s="48" t="s">
        <v>157</v>
      </c>
      <c r="B90" s="49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</row>
    <row r="91" spans="1:18" x14ac:dyDescent="0.25">
      <c r="A91" s="48"/>
      <c r="B91" s="49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</row>
    <row r="92" spans="1:18" x14ac:dyDescent="0.25">
      <c r="A92" s="48" t="s">
        <v>158</v>
      </c>
      <c r="B92" s="49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</row>
    <row r="93" spans="1:18" x14ac:dyDescent="0.25">
      <c r="A93" s="41" t="s">
        <v>179</v>
      </c>
      <c r="B93" s="44"/>
      <c r="C93" s="50">
        <f t="shared" ref="C93:R93" si="49">C399</f>
        <v>216456</v>
      </c>
      <c r="D93" s="50">
        <f t="shared" si="49"/>
        <v>203680</v>
      </c>
      <c r="E93" s="50">
        <f t="shared" si="49"/>
        <v>203946.03</v>
      </c>
      <c r="F93" s="50">
        <f t="shared" si="49"/>
        <v>233417</v>
      </c>
      <c r="G93" s="50">
        <f t="shared" si="49"/>
        <v>204575</v>
      </c>
      <c r="H93" s="50">
        <f t="shared" si="49"/>
        <v>243873</v>
      </c>
      <c r="I93" s="50">
        <f t="shared" si="49"/>
        <v>229276</v>
      </c>
      <c r="J93" s="50">
        <f t="shared" si="49"/>
        <v>255086.62400000001</v>
      </c>
      <c r="K93" s="50">
        <f t="shared" si="49"/>
        <v>240481.10297600002</v>
      </c>
      <c r="L93" s="50">
        <f t="shared" si="49"/>
        <v>267146.93834444799</v>
      </c>
      <c r="M93" s="50">
        <f t="shared" si="49"/>
        <v>251401.39098802584</v>
      </c>
      <c r="N93" s="50">
        <f t="shared" si="49"/>
        <v>279263.21298075037</v>
      </c>
      <c r="O93" s="50">
        <f t="shared" si="49"/>
        <v>263732.04330526915</v>
      </c>
      <c r="P93" s="50">
        <f t="shared" si="49"/>
        <v>292521.5943879009</v>
      </c>
      <c r="Q93" s="50">
        <f t="shared" si="49"/>
        <v>276782.27265321056</v>
      </c>
      <c r="R93" s="50">
        <f t="shared" si="49"/>
        <v>306808.88719688752</v>
      </c>
    </row>
    <row r="94" spans="1:18" x14ac:dyDescent="0.25">
      <c r="A94" s="41" t="s">
        <v>180</v>
      </c>
      <c r="B94" s="44"/>
      <c r="C94" s="50">
        <f t="shared" ref="C94:R94" si="50">C454</f>
        <v>137188</v>
      </c>
      <c r="D94" s="50">
        <f t="shared" si="50"/>
        <v>140570</v>
      </c>
      <c r="E94" s="50">
        <f t="shared" si="50"/>
        <v>152402.04</v>
      </c>
      <c r="F94" s="50">
        <f t="shared" si="50"/>
        <v>147639</v>
      </c>
      <c r="G94" s="50">
        <f t="shared" si="50"/>
        <v>150959</v>
      </c>
      <c r="H94" s="50">
        <f t="shared" si="50"/>
        <v>95100</v>
      </c>
      <c r="I94" s="50">
        <f t="shared" si="50"/>
        <v>97287.299999999988</v>
      </c>
      <c r="J94" s="50">
        <f t="shared" si="50"/>
        <v>99622.195200000002</v>
      </c>
      <c r="K94" s="50">
        <f t="shared" si="50"/>
        <v>102013.12788480001</v>
      </c>
      <c r="L94" s="50">
        <f t="shared" si="50"/>
        <v>104359.42982615039</v>
      </c>
      <c r="M94" s="50">
        <f t="shared" si="50"/>
        <v>106655.33728232571</v>
      </c>
      <c r="N94" s="50">
        <f t="shared" si="50"/>
        <v>109108.41003981918</v>
      </c>
      <c r="O94" s="50">
        <f t="shared" si="50"/>
        <v>111836.12029081467</v>
      </c>
      <c r="P94" s="50">
        <f t="shared" si="50"/>
        <v>114632.02329808503</v>
      </c>
      <c r="Q94" s="50">
        <f t="shared" si="50"/>
        <v>117383.19185723907</v>
      </c>
      <c r="R94" s="50">
        <f t="shared" si="50"/>
        <v>120200.38846181279</v>
      </c>
    </row>
    <row r="95" spans="1:18" x14ac:dyDescent="0.25">
      <c r="A95" s="41" t="s">
        <v>181</v>
      </c>
      <c r="B95" s="44"/>
      <c r="C95" s="50">
        <f t="shared" ref="C95:R95" si="51">C555</f>
        <v>3389</v>
      </c>
      <c r="D95" s="50">
        <f t="shared" si="51"/>
        <v>1417</v>
      </c>
      <c r="E95" s="50">
        <f t="shared" si="51"/>
        <v>2930</v>
      </c>
      <c r="F95" s="50">
        <f t="shared" si="51"/>
        <v>2394</v>
      </c>
      <c r="G95" s="50">
        <f t="shared" si="51"/>
        <v>1425</v>
      </c>
      <c r="H95" s="50">
        <f t="shared" si="51"/>
        <v>1400</v>
      </c>
      <c r="I95" s="50">
        <f t="shared" si="51"/>
        <v>1432.1999999999998</v>
      </c>
      <c r="J95" s="50">
        <f t="shared" si="51"/>
        <v>1466.5727999999999</v>
      </c>
      <c r="K95" s="50">
        <f t="shared" si="51"/>
        <v>1501.7705472</v>
      </c>
      <c r="L95" s="50">
        <f t="shared" si="51"/>
        <v>1536.3112697856</v>
      </c>
      <c r="M95" s="50">
        <f t="shared" si="51"/>
        <v>1570.1101177208832</v>
      </c>
      <c r="N95" s="50">
        <f t="shared" si="51"/>
        <v>1606.2226504284633</v>
      </c>
      <c r="O95" s="50">
        <f t="shared" si="51"/>
        <v>1646.3782166891747</v>
      </c>
      <c r="P95" s="50">
        <f t="shared" si="51"/>
        <v>1687.537672106404</v>
      </c>
      <c r="Q95" s="50">
        <f t="shared" si="51"/>
        <v>1728.0385762369576</v>
      </c>
      <c r="R95" s="50">
        <f t="shared" si="51"/>
        <v>1769.5115020666447</v>
      </c>
    </row>
    <row r="96" spans="1:18" x14ac:dyDescent="0.25">
      <c r="A96" s="41" t="s">
        <v>182</v>
      </c>
      <c r="B96" s="44"/>
      <c r="C96" s="50">
        <f t="shared" ref="C96:R96" si="52">C599</f>
        <v>71817</v>
      </c>
      <c r="D96" s="50">
        <f t="shared" si="52"/>
        <v>79216</v>
      </c>
      <c r="E96" s="50">
        <f t="shared" si="52"/>
        <v>74646</v>
      </c>
      <c r="F96" s="50">
        <f t="shared" si="52"/>
        <v>124750</v>
      </c>
      <c r="G96" s="50">
        <f t="shared" si="52"/>
        <v>121161</v>
      </c>
      <c r="H96" s="50">
        <f t="shared" si="52"/>
        <v>123880</v>
      </c>
      <c r="I96" s="50">
        <f t="shared" si="52"/>
        <v>126738.19999999998</v>
      </c>
      <c r="J96" s="50">
        <f t="shared" si="52"/>
        <v>129867.91679999998</v>
      </c>
      <c r="K96" s="50">
        <f t="shared" si="52"/>
        <v>132990.34680319999</v>
      </c>
      <c r="L96" s="50">
        <f t="shared" si="52"/>
        <v>135994.86477967357</v>
      </c>
      <c r="M96" s="50">
        <f t="shared" si="52"/>
        <v>138933.99180482639</v>
      </c>
      <c r="N96" s="50">
        <f t="shared" si="52"/>
        <v>142197.05361633739</v>
      </c>
      <c r="O96" s="50">
        <f t="shared" si="52"/>
        <v>145816.47995674581</v>
      </c>
      <c r="P96" s="50">
        <f t="shared" si="52"/>
        <v>149464.39195566444</v>
      </c>
      <c r="Q96" s="50">
        <f t="shared" si="52"/>
        <v>152994.25736260039</v>
      </c>
      <c r="R96" s="50">
        <f t="shared" si="52"/>
        <v>156649.7995393028</v>
      </c>
    </row>
    <row r="97" spans="1:18" x14ac:dyDescent="0.25">
      <c r="A97" s="41" t="s">
        <v>183</v>
      </c>
      <c r="B97" s="44"/>
      <c r="C97" s="50">
        <f t="shared" ref="C97:R97" si="53">C679</f>
        <v>45740</v>
      </c>
      <c r="D97" s="50">
        <f t="shared" si="53"/>
        <v>46958</v>
      </c>
      <c r="E97" s="50">
        <f t="shared" si="53"/>
        <v>47324</v>
      </c>
      <c r="F97" s="50">
        <f t="shared" si="53"/>
        <v>47768</v>
      </c>
      <c r="G97" s="50">
        <f t="shared" si="53"/>
        <v>47957</v>
      </c>
      <c r="H97" s="50">
        <f t="shared" si="53"/>
        <v>50400</v>
      </c>
      <c r="I97" s="50">
        <f t="shared" si="53"/>
        <v>44835</v>
      </c>
      <c r="J97" s="50">
        <f t="shared" si="53"/>
        <v>45911.040000000001</v>
      </c>
      <c r="K97" s="50">
        <f t="shared" si="53"/>
        <v>47012.904960000007</v>
      </c>
      <c r="L97" s="50">
        <f t="shared" si="53"/>
        <v>48094.20177408</v>
      </c>
      <c r="M97" s="50">
        <f t="shared" si="53"/>
        <v>49152.274213109755</v>
      </c>
      <c r="N97" s="50">
        <f t="shared" si="53"/>
        <v>50282.776520011277</v>
      </c>
      <c r="O97" s="50">
        <f t="shared" si="53"/>
        <v>51539.845933011551</v>
      </c>
      <c r="P97" s="50">
        <f t="shared" si="53"/>
        <v>52828.342081336836</v>
      </c>
      <c r="Q97" s="50">
        <f t="shared" si="53"/>
        <v>54096.222291288919</v>
      </c>
      <c r="R97" s="50">
        <f t="shared" si="53"/>
        <v>55394.531626279851</v>
      </c>
    </row>
    <row r="98" spans="1:18" x14ac:dyDescent="0.25">
      <c r="A98" s="41" t="s">
        <v>184</v>
      </c>
      <c r="B98" s="44"/>
      <c r="C98" s="50">
        <f t="shared" ref="C98:R98" si="54">C717</f>
        <v>421635</v>
      </c>
      <c r="D98" s="50">
        <f t="shared" si="54"/>
        <v>455353</v>
      </c>
      <c r="E98" s="50">
        <f t="shared" si="54"/>
        <v>436163</v>
      </c>
      <c r="F98" s="50">
        <f t="shared" si="54"/>
        <v>454962</v>
      </c>
      <c r="G98" s="50">
        <f t="shared" si="54"/>
        <v>664004</v>
      </c>
      <c r="H98" s="50">
        <f t="shared" si="54"/>
        <v>442500</v>
      </c>
      <c r="I98" s="50">
        <f t="shared" si="54"/>
        <v>472217.49999999994</v>
      </c>
      <c r="J98" s="50">
        <f t="shared" si="54"/>
        <v>483550.71999999997</v>
      </c>
      <c r="K98" s="50">
        <f t="shared" si="54"/>
        <v>495155.93727999995</v>
      </c>
      <c r="L98" s="50">
        <f t="shared" si="54"/>
        <v>506544.52383744001</v>
      </c>
      <c r="M98" s="50">
        <f t="shared" si="54"/>
        <v>517688.50336186367</v>
      </c>
      <c r="N98" s="50">
        <f t="shared" si="54"/>
        <v>529595.33893918642</v>
      </c>
      <c r="O98" s="50">
        <f t="shared" si="54"/>
        <v>542835.22241266607</v>
      </c>
      <c r="P98" s="50">
        <f t="shared" si="54"/>
        <v>556406.10297298268</v>
      </c>
      <c r="Q98" s="50">
        <f t="shared" si="54"/>
        <v>569759.84944433428</v>
      </c>
      <c r="R98" s="50">
        <f t="shared" si="54"/>
        <v>583434.08583099837</v>
      </c>
    </row>
    <row r="99" spans="1:18" x14ac:dyDescent="0.25">
      <c r="A99" s="41" t="s">
        <v>185</v>
      </c>
      <c r="B99" s="44"/>
      <c r="C99" s="50">
        <f t="shared" ref="C99:F99" si="55">C977</f>
        <v>173138</v>
      </c>
      <c r="D99" s="50">
        <f t="shared" si="55"/>
        <v>161261</v>
      </c>
      <c r="E99" s="50">
        <f t="shared" si="55"/>
        <v>146127</v>
      </c>
      <c r="F99" s="50">
        <f t="shared" si="55"/>
        <v>134513</v>
      </c>
      <c r="G99" s="50">
        <f>G977</f>
        <v>143184</v>
      </c>
      <c r="H99" s="50">
        <f>H977</f>
        <v>353100</v>
      </c>
      <c r="I99" s="50">
        <f t="shared" ref="I99:R99" si="56">I977</f>
        <v>361221.29999999993</v>
      </c>
      <c r="J99" s="50">
        <f t="shared" si="56"/>
        <v>369890.61119999993</v>
      </c>
      <c r="K99" s="50">
        <f t="shared" si="56"/>
        <v>378767.98586879997</v>
      </c>
      <c r="L99" s="50">
        <f t="shared" si="56"/>
        <v>387479.64954378235</v>
      </c>
      <c r="M99" s="50">
        <f t="shared" si="56"/>
        <v>396004.20183374558</v>
      </c>
      <c r="N99" s="50">
        <f t="shared" si="56"/>
        <v>405112.29847592174</v>
      </c>
      <c r="O99" s="50">
        <f t="shared" si="56"/>
        <v>415240.1059378197</v>
      </c>
      <c r="P99" s="50">
        <f t="shared" si="56"/>
        <v>425621.10858626518</v>
      </c>
      <c r="Q99" s="50">
        <f t="shared" si="56"/>
        <v>435836.01519233559</v>
      </c>
      <c r="R99" s="50">
        <f t="shared" si="56"/>
        <v>446296.07955695159</v>
      </c>
    </row>
    <row r="100" spans="1:18" x14ac:dyDescent="0.25">
      <c r="A100" s="41" t="s">
        <v>186</v>
      </c>
      <c r="B100" s="44"/>
      <c r="C100" s="50">
        <f t="shared" ref="C100:F100" si="57">C1076</f>
        <v>27269</v>
      </c>
      <c r="D100" s="50">
        <f t="shared" si="57"/>
        <v>6581</v>
      </c>
      <c r="E100" s="50">
        <f t="shared" si="57"/>
        <v>34073</v>
      </c>
      <c r="F100" s="50">
        <f t="shared" si="57"/>
        <v>2084</v>
      </c>
      <c r="G100" s="50">
        <f>G1076</f>
        <v>1574</v>
      </c>
      <c r="H100" s="50">
        <f>H1076</f>
        <v>2700</v>
      </c>
      <c r="I100" s="50">
        <f t="shared" ref="I100:R100" si="58">I1076</f>
        <v>2762.1</v>
      </c>
      <c r="J100" s="50">
        <f t="shared" si="58"/>
        <v>2828.3904000000002</v>
      </c>
      <c r="K100" s="50">
        <f t="shared" si="58"/>
        <v>2896.2717696000004</v>
      </c>
      <c r="L100" s="50">
        <f t="shared" si="58"/>
        <v>2962.8860203008003</v>
      </c>
      <c r="M100" s="50">
        <f t="shared" si="58"/>
        <v>3028.0695127474178</v>
      </c>
      <c r="N100" s="50">
        <f t="shared" si="58"/>
        <v>3097.7151115406077</v>
      </c>
      <c r="O100" s="50">
        <f t="shared" si="58"/>
        <v>3175.1579893291228</v>
      </c>
      <c r="P100" s="50">
        <f t="shared" si="58"/>
        <v>3254.5369390623505</v>
      </c>
      <c r="Q100" s="50">
        <f t="shared" si="58"/>
        <v>3332.6458255998468</v>
      </c>
      <c r="R100" s="50">
        <f t="shared" si="58"/>
        <v>3412.6293254142429</v>
      </c>
    </row>
    <row r="101" spans="1:18" x14ac:dyDescent="0.25">
      <c r="A101" s="41" t="s">
        <v>164</v>
      </c>
      <c r="B101" s="44"/>
      <c r="C101" s="51">
        <f t="shared" ref="C101:R101" si="59">SUM(C93:C100)</f>
        <v>1096632</v>
      </c>
      <c r="D101" s="51">
        <f t="shared" si="59"/>
        <v>1095036</v>
      </c>
      <c r="E101" s="51">
        <f t="shared" si="59"/>
        <v>1097611.07</v>
      </c>
      <c r="F101" s="51">
        <f t="shared" si="59"/>
        <v>1147527</v>
      </c>
      <c r="G101" s="51">
        <f t="shared" si="59"/>
        <v>1334839</v>
      </c>
      <c r="H101" s="51">
        <f t="shared" si="59"/>
        <v>1312953</v>
      </c>
      <c r="I101" s="51">
        <f t="shared" si="59"/>
        <v>1335769.6000000001</v>
      </c>
      <c r="J101" s="51">
        <f t="shared" si="59"/>
        <v>1388224.0703999999</v>
      </c>
      <c r="K101" s="51">
        <f t="shared" si="59"/>
        <v>1400819.4480895998</v>
      </c>
      <c r="L101" s="51">
        <f t="shared" si="59"/>
        <v>1454118.8053956609</v>
      </c>
      <c r="M101" s="51">
        <f t="shared" si="59"/>
        <v>1464433.8791143654</v>
      </c>
      <c r="N101" s="51">
        <f t="shared" si="59"/>
        <v>1520263.0283339955</v>
      </c>
      <c r="O101" s="51">
        <f t="shared" si="59"/>
        <v>1535821.3540423454</v>
      </c>
      <c r="P101" s="51">
        <f t="shared" si="59"/>
        <v>1596415.6378934041</v>
      </c>
      <c r="Q101" s="51">
        <f t="shared" si="59"/>
        <v>1611912.4932028456</v>
      </c>
      <c r="R101" s="51">
        <f t="shared" si="59"/>
        <v>1673965.9130397136</v>
      </c>
    </row>
    <row r="102" spans="1:18" x14ac:dyDescent="0.25">
      <c r="A102" s="48"/>
      <c r="B102" s="49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</row>
    <row r="103" spans="1:18" x14ac:dyDescent="0.25">
      <c r="A103" s="41" t="s">
        <v>165</v>
      </c>
      <c r="B103" s="44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</row>
    <row r="104" spans="1:18" x14ac:dyDescent="0.25">
      <c r="A104" s="41" t="s">
        <v>179</v>
      </c>
      <c r="B104" s="44"/>
      <c r="C104" s="50">
        <f t="shared" ref="C104:R104" si="60">C432</f>
        <v>534428</v>
      </c>
      <c r="D104" s="50">
        <f t="shared" si="60"/>
        <v>490034</v>
      </c>
      <c r="E104" s="50">
        <f t="shared" si="60"/>
        <v>507271.14999999997</v>
      </c>
      <c r="F104" s="50">
        <f t="shared" si="60"/>
        <v>569198</v>
      </c>
      <c r="G104" s="50">
        <f t="shared" si="60"/>
        <v>489180</v>
      </c>
      <c r="H104" s="50">
        <f t="shared" si="60"/>
        <v>567930</v>
      </c>
      <c r="I104" s="50">
        <f t="shared" si="60"/>
        <v>561794.6</v>
      </c>
      <c r="J104" s="50">
        <f t="shared" si="60"/>
        <v>597012.26289999986</v>
      </c>
      <c r="K104" s="50">
        <f t="shared" si="60"/>
        <v>592738.52695709991</v>
      </c>
      <c r="L104" s="50">
        <f t="shared" si="60"/>
        <v>630799.68183378829</v>
      </c>
      <c r="M104" s="50">
        <f t="shared" si="60"/>
        <v>626329.96632977703</v>
      </c>
      <c r="N104" s="50">
        <f t="shared" si="60"/>
        <v>665121.03669181583</v>
      </c>
      <c r="O104" s="50">
        <f t="shared" si="60"/>
        <v>661612.55867965892</v>
      </c>
      <c r="P104" s="50">
        <f t="shared" si="60"/>
        <v>703552.1828614003</v>
      </c>
      <c r="Q104" s="50">
        <f t="shared" si="60"/>
        <v>701512.58998568589</v>
      </c>
      <c r="R104" s="50">
        <f t="shared" si="60"/>
        <v>745550.55974196584</v>
      </c>
    </row>
    <row r="105" spans="1:18" x14ac:dyDescent="0.25">
      <c r="A105" s="41" t="s">
        <v>180</v>
      </c>
      <c r="B105" s="44"/>
      <c r="C105" s="50">
        <f t="shared" ref="C105:R105" si="61">C481</f>
        <v>252511</v>
      </c>
      <c r="D105" s="50">
        <f t="shared" si="61"/>
        <v>234970</v>
      </c>
      <c r="E105" s="50">
        <f t="shared" si="61"/>
        <v>219651</v>
      </c>
      <c r="F105" s="50">
        <f t="shared" si="61"/>
        <v>241951</v>
      </c>
      <c r="G105" s="50">
        <f t="shared" si="61"/>
        <v>222689</v>
      </c>
      <c r="H105" s="50">
        <f t="shared" si="61"/>
        <v>246010</v>
      </c>
      <c r="I105" s="50">
        <f t="shared" si="61"/>
        <v>252075.7</v>
      </c>
      <c r="J105" s="50">
        <f t="shared" si="61"/>
        <v>258634.88209999999</v>
      </c>
      <c r="K105" s="50">
        <f t="shared" si="61"/>
        <v>265573.88207289996</v>
      </c>
      <c r="L105" s="50">
        <f t="shared" si="61"/>
        <v>272653.40804946166</v>
      </c>
      <c r="M105" s="50">
        <f t="shared" si="61"/>
        <v>279679.89536610869</v>
      </c>
      <c r="N105" s="50">
        <f t="shared" si="61"/>
        <v>286891.87509861204</v>
      </c>
      <c r="O105" s="50">
        <f t="shared" si="61"/>
        <v>294882.48009922588</v>
      </c>
      <c r="P105" s="50">
        <f t="shared" si="61"/>
        <v>303229.88642589119</v>
      </c>
      <c r="Q105" s="50">
        <f t="shared" si="61"/>
        <v>311659.78049041826</v>
      </c>
      <c r="R105" s="50">
        <f t="shared" si="61"/>
        <v>317999.79779374565</v>
      </c>
    </row>
    <row r="106" spans="1:18" x14ac:dyDescent="0.25">
      <c r="A106" s="41" t="s">
        <v>181</v>
      </c>
      <c r="B106" s="44"/>
      <c r="C106" s="50">
        <f t="shared" ref="C106:R106" si="62">C566</f>
        <v>5567</v>
      </c>
      <c r="D106" s="50">
        <f t="shared" si="62"/>
        <v>2669</v>
      </c>
      <c r="E106" s="50">
        <f t="shared" si="62"/>
        <v>3300</v>
      </c>
      <c r="F106" s="50">
        <f t="shared" si="62"/>
        <v>3346</v>
      </c>
      <c r="G106" s="50">
        <f t="shared" si="62"/>
        <v>3585</v>
      </c>
      <c r="H106" s="50">
        <f t="shared" si="62"/>
        <v>3800</v>
      </c>
      <c r="I106" s="50">
        <f t="shared" si="62"/>
        <v>3887.3999999999996</v>
      </c>
      <c r="J106" s="50">
        <f t="shared" si="62"/>
        <v>3980.6975999999995</v>
      </c>
      <c r="K106" s="50">
        <f t="shared" si="62"/>
        <v>4076.2343423999996</v>
      </c>
      <c r="L106" s="50">
        <f t="shared" si="62"/>
        <v>4169.9877322751991</v>
      </c>
      <c r="M106" s="50">
        <f t="shared" si="62"/>
        <v>4261.7274623852536</v>
      </c>
      <c r="N106" s="50">
        <f t="shared" si="62"/>
        <v>4359.747194020114</v>
      </c>
      <c r="O106" s="50">
        <f t="shared" si="62"/>
        <v>4468.7408738706163</v>
      </c>
      <c r="P106" s="50">
        <f t="shared" si="62"/>
        <v>4580.459395717382</v>
      </c>
      <c r="Q106" s="50">
        <f t="shared" si="62"/>
        <v>4690.390421214599</v>
      </c>
      <c r="R106" s="50">
        <f t="shared" si="62"/>
        <v>4802.9597913237494</v>
      </c>
    </row>
    <row r="107" spans="1:18" x14ac:dyDescent="0.25">
      <c r="A107" s="41" t="s">
        <v>182</v>
      </c>
      <c r="B107" s="44"/>
      <c r="C107" s="50">
        <f t="shared" ref="C107:R107" si="63">C630</f>
        <v>107547</v>
      </c>
      <c r="D107" s="50">
        <f t="shared" si="63"/>
        <v>120374</v>
      </c>
      <c r="E107" s="50">
        <f t="shared" si="63"/>
        <v>125753</v>
      </c>
      <c r="F107" s="50">
        <f t="shared" si="63"/>
        <v>144508</v>
      </c>
      <c r="G107" s="50">
        <f t="shared" si="63"/>
        <v>127849</v>
      </c>
      <c r="H107" s="50">
        <f t="shared" si="63"/>
        <v>149340</v>
      </c>
      <c r="I107" s="50">
        <f t="shared" si="63"/>
        <v>152907.59999999998</v>
      </c>
      <c r="J107" s="50">
        <f t="shared" si="63"/>
        <v>156709.32149999999</v>
      </c>
      <c r="K107" s="50">
        <f t="shared" si="63"/>
        <v>160689.03304349998</v>
      </c>
      <c r="L107" s="50">
        <f t="shared" si="63"/>
        <v>164707.49630667549</v>
      </c>
      <c r="M107" s="50">
        <f t="shared" si="63"/>
        <v>168602.13553739592</v>
      </c>
      <c r="N107" s="50">
        <f t="shared" si="63"/>
        <v>172720.0573906356</v>
      </c>
      <c r="O107" s="50">
        <f t="shared" si="63"/>
        <v>177278.64330571346</v>
      </c>
      <c r="P107" s="50">
        <f t="shared" si="63"/>
        <v>181984.15058337594</v>
      </c>
      <c r="Q107" s="50">
        <f t="shared" si="63"/>
        <v>185026.87965692006</v>
      </c>
      <c r="R107" s="50">
        <f t="shared" si="63"/>
        <v>188156.26149296464</v>
      </c>
    </row>
    <row r="108" spans="1:18" x14ac:dyDescent="0.25">
      <c r="A108" s="41" t="s">
        <v>183</v>
      </c>
      <c r="B108" s="44"/>
      <c r="C108" s="50">
        <f t="shared" ref="C108:R108" si="64">C688</f>
        <v>578670</v>
      </c>
      <c r="D108" s="50">
        <f t="shared" si="64"/>
        <v>590716</v>
      </c>
      <c r="E108" s="50">
        <f t="shared" si="64"/>
        <v>650300</v>
      </c>
      <c r="F108" s="50">
        <f t="shared" si="64"/>
        <v>712622</v>
      </c>
      <c r="G108" s="50">
        <f t="shared" si="64"/>
        <v>723205</v>
      </c>
      <c r="H108" s="50">
        <f t="shared" si="64"/>
        <v>780500</v>
      </c>
      <c r="I108" s="50">
        <f t="shared" si="64"/>
        <v>758399.49999999988</v>
      </c>
      <c r="J108" s="50">
        <f t="shared" si="64"/>
        <v>777354.39249999984</v>
      </c>
      <c r="K108" s="50">
        <f t="shared" si="64"/>
        <v>796783.0350324997</v>
      </c>
      <c r="L108" s="50">
        <f t="shared" si="64"/>
        <v>816691.92591887212</v>
      </c>
      <c r="M108" s="50">
        <f t="shared" si="64"/>
        <v>837092.82795054826</v>
      </c>
      <c r="N108" s="50">
        <f t="shared" si="64"/>
        <v>858008.97742874245</v>
      </c>
      <c r="O108" s="50">
        <f t="shared" si="64"/>
        <v>879459.20186446095</v>
      </c>
      <c r="P108" s="50">
        <f t="shared" si="64"/>
        <v>901445.68191107234</v>
      </c>
      <c r="Q108" s="50">
        <f t="shared" si="64"/>
        <v>923975.82060426218</v>
      </c>
      <c r="R108" s="50">
        <f t="shared" si="64"/>
        <v>947069.06868427154</v>
      </c>
    </row>
    <row r="109" spans="1:18" x14ac:dyDescent="0.25">
      <c r="A109" s="41" t="s">
        <v>184</v>
      </c>
      <c r="B109" s="44"/>
      <c r="C109" s="50">
        <f t="shared" ref="C109:F109" si="65">C772</f>
        <v>995546</v>
      </c>
      <c r="D109" s="50">
        <f t="shared" si="65"/>
        <v>934756</v>
      </c>
      <c r="E109" s="50">
        <f t="shared" si="65"/>
        <v>1025408</v>
      </c>
      <c r="F109" s="50">
        <f t="shared" si="65"/>
        <v>1007485.8200000001</v>
      </c>
      <c r="G109" s="50">
        <f>G772</f>
        <v>975198</v>
      </c>
      <c r="H109" s="50">
        <f>H772</f>
        <v>1154997.6957668001</v>
      </c>
      <c r="I109" s="50">
        <f t="shared" ref="I109:R109" si="66">I772</f>
        <v>1181496.4430784164</v>
      </c>
      <c r="J109" s="50">
        <f t="shared" si="66"/>
        <v>1161713.9280754195</v>
      </c>
      <c r="K109" s="50">
        <f t="shared" si="66"/>
        <v>1193032.7487542599</v>
      </c>
      <c r="L109" s="50">
        <f t="shared" si="66"/>
        <v>1225613.7468600704</v>
      </c>
      <c r="M109" s="50">
        <f t="shared" si="66"/>
        <v>1258167.7936805726</v>
      </c>
      <c r="N109" s="50">
        <f t="shared" si="66"/>
        <v>1290974.3249252054</v>
      </c>
      <c r="O109" s="50">
        <f t="shared" si="66"/>
        <v>1327129.8730690137</v>
      </c>
      <c r="P109" s="50">
        <f t="shared" si="66"/>
        <v>1365874.3537669051</v>
      </c>
      <c r="Q109" s="50">
        <f t="shared" si="66"/>
        <v>1404626.7479846487</v>
      </c>
      <c r="R109" s="50">
        <f t="shared" si="66"/>
        <v>1436648.462455767</v>
      </c>
    </row>
    <row r="110" spans="1:18" x14ac:dyDescent="0.25">
      <c r="A110" s="41" t="s">
        <v>185</v>
      </c>
      <c r="B110" s="44"/>
      <c r="C110" s="50">
        <f t="shared" ref="C110:F110" si="67">C1003</f>
        <v>344941</v>
      </c>
      <c r="D110" s="50">
        <f t="shared" si="67"/>
        <v>357829</v>
      </c>
      <c r="E110" s="50">
        <f t="shared" si="67"/>
        <v>353550</v>
      </c>
      <c r="F110" s="50">
        <f t="shared" si="67"/>
        <v>362366</v>
      </c>
      <c r="G110" s="50">
        <f>G1003</f>
        <v>360924</v>
      </c>
      <c r="H110" s="50">
        <f>H1003</f>
        <v>423950</v>
      </c>
      <c r="I110" s="50">
        <f t="shared" ref="I110:R110" si="68">I1003</f>
        <v>434348.55</v>
      </c>
      <c r="J110" s="50">
        <f t="shared" si="68"/>
        <v>445799.44995000004</v>
      </c>
      <c r="K110" s="50">
        <f t="shared" si="68"/>
        <v>457466.97547255002</v>
      </c>
      <c r="L110" s="50">
        <f t="shared" si="68"/>
        <v>470072.07883200614</v>
      </c>
      <c r="M110" s="50">
        <f t="shared" si="68"/>
        <v>481901.75429096195</v>
      </c>
      <c r="N110" s="50">
        <f t="shared" si="68"/>
        <v>494131.41044025309</v>
      </c>
      <c r="O110" s="50">
        <f t="shared" si="68"/>
        <v>507865.38371873717</v>
      </c>
      <c r="P110" s="50">
        <f t="shared" si="68"/>
        <v>521992.67147131165</v>
      </c>
      <c r="Q110" s="50">
        <f t="shared" si="68"/>
        <v>536112.44636603747</v>
      </c>
      <c r="R110" s="50">
        <f t="shared" si="68"/>
        <v>549221.16049277072</v>
      </c>
    </row>
    <row r="111" spans="1:18" x14ac:dyDescent="0.25">
      <c r="A111" s="41" t="s">
        <v>186</v>
      </c>
      <c r="B111" s="44"/>
      <c r="C111" s="50">
        <f t="shared" ref="C111:F111" si="69">C1086</f>
        <v>428902</v>
      </c>
      <c r="D111" s="50">
        <f t="shared" si="69"/>
        <v>415480</v>
      </c>
      <c r="E111" s="50">
        <f t="shared" si="69"/>
        <v>427801</v>
      </c>
      <c r="F111" s="50">
        <f t="shared" si="69"/>
        <v>428953</v>
      </c>
      <c r="G111" s="50">
        <f>G1086</f>
        <v>441619</v>
      </c>
      <c r="H111" s="50">
        <f>H1086</f>
        <v>426251</v>
      </c>
      <c r="I111" s="50">
        <f t="shared" ref="I111:R111" si="70">I1086</f>
        <v>466058.87299999996</v>
      </c>
      <c r="J111" s="50">
        <f t="shared" si="70"/>
        <v>477243.51720199996</v>
      </c>
      <c r="K111" s="50">
        <f t="shared" si="70"/>
        <v>488696.57651609799</v>
      </c>
      <c r="L111" s="50">
        <f t="shared" si="70"/>
        <v>499941.00127201068</v>
      </c>
      <c r="M111" s="50">
        <f t="shared" si="70"/>
        <v>510948.01298850315</v>
      </c>
      <c r="N111" s="50">
        <f t="shared" si="70"/>
        <v>522704.446788895</v>
      </c>
      <c r="O111" s="50">
        <f t="shared" si="70"/>
        <v>535768.82032086328</v>
      </c>
      <c r="P111" s="50">
        <f t="shared" si="70"/>
        <v>549161.38477717363</v>
      </c>
      <c r="Q111" s="50">
        <f t="shared" si="70"/>
        <v>562347.13736456598</v>
      </c>
      <c r="R111" s="50">
        <f t="shared" si="70"/>
        <v>575849.50517265603</v>
      </c>
    </row>
    <row r="112" spans="1:18" x14ac:dyDescent="0.25">
      <c r="A112" s="41" t="s">
        <v>166</v>
      </c>
      <c r="B112" s="44"/>
      <c r="C112" s="51">
        <f t="shared" ref="C112:R112" si="71">SUM(C104:C111)</f>
        <v>3248112</v>
      </c>
      <c r="D112" s="51">
        <f t="shared" si="71"/>
        <v>3146828</v>
      </c>
      <c r="E112" s="51">
        <f t="shared" si="71"/>
        <v>3313034.15</v>
      </c>
      <c r="F112" s="51">
        <f t="shared" si="71"/>
        <v>3470429.8200000003</v>
      </c>
      <c r="G112" s="51">
        <f t="shared" si="71"/>
        <v>3344249</v>
      </c>
      <c r="H112" s="51">
        <f t="shared" si="71"/>
        <v>3752778.6957668001</v>
      </c>
      <c r="I112" s="51">
        <f t="shared" si="71"/>
        <v>3810968.6660784162</v>
      </c>
      <c r="J112" s="51">
        <f t="shared" si="71"/>
        <v>3878448.451827419</v>
      </c>
      <c r="K112" s="51">
        <f t="shared" si="71"/>
        <v>3959057.0121913073</v>
      </c>
      <c r="L112" s="51">
        <f t="shared" si="71"/>
        <v>4084649.3268051594</v>
      </c>
      <c r="M112" s="51">
        <f t="shared" si="71"/>
        <v>4166984.1136062532</v>
      </c>
      <c r="N112" s="51">
        <f t="shared" si="71"/>
        <v>4294911.8759581801</v>
      </c>
      <c r="O112" s="51">
        <f t="shared" si="71"/>
        <v>4388465.7019315446</v>
      </c>
      <c r="P112" s="51">
        <f t="shared" si="71"/>
        <v>4531820.7711928478</v>
      </c>
      <c r="Q112" s="51">
        <f t="shared" si="71"/>
        <v>4629951.7928737532</v>
      </c>
      <c r="R112" s="51">
        <f t="shared" si="71"/>
        <v>4765297.7756254654</v>
      </c>
    </row>
    <row r="113" spans="1:18" x14ac:dyDescent="0.25">
      <c r="A113" s="48"/>
      <c r="B113" s="49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</row>
    <row r="114" spans="1:18" x14ac:dyDescent="0.25">
      <c r="A114" s="48" t="s">
        <v>167</v>
      </c>
      <c r="B114" s="49"/>
      <c r="C114" s="51">
        <f t="shared" ref="C114:R114" si="72">C101-C112</f>
        <v>-2151480</v>
      </c>
      <c r="D114" s="51">
        <f t="shared" si="72"/>
        <v>-2051792</v>
      </c>
      <c r="E114" s="51">
        <f t="shared" si="72"/>
        <v>-2215423.08</v>
      </c>
      <c r="F114" s="51">
        <f t="shared" si="72"/>
        <v>-2322902.8200000003</v>
      </c>
      <c r="G114" s="51">
        <f t="shared" si="72"/>
        <v>-2009410</v>
      </c>
      <c r="H114" s="51">
        <f t="shared" si="72"/>
        <v>-2439825.6957668001</v>
      </c>
      <c r="I114" s="51">
        <f t="shared" si="72"/>
        <v>-2475199.0660784161</v>
      </c>
      <c r="J114" s="51">
        <f t="shared" si="72"/>
        <v>-2490224.3814274194</v>
      </c>
      <c r="K114" s="51">
        <f t="shared" si="72"/>
        <v>-2558237.5641017072</v>
      </c>
      <c r="L114" s="51">
        <f t="shared" si="72"/>
        <v>-2630530.5214094985</v>
      </c>
      <c r="M114" s="51">
        <f t="shared" si="72"/>
        <v>-2702550.2344918875</v>
      </c>
      <c r="N114" s="51">
        <f t="shared" si="72"/>
        <v>-2774648.8476241846</v>
      </c>
      <c r="O114" s="51">
        <f t="shared" si="72"/>
        <v>-2852644.3478891989</v>
      </c>
      <c r="P114" s="51">
        <f t="shared" si="72"/>
        <v>-2935405.1332994439</v>
      </c>
      <c r="Q114" s="51">
        <f t="shared" si="72"/>
        <v>-3018039.2996709077</v>
      </c>
      <c r="R114" s="51">
        <f t="shared" si="72"/>
        <v>-3091331.8625857518</v>
      </c>
    </row>
    <row r="115" spans="1:18" x14ac:dyDescent="0.25">
      <c r="A115" s="48"/>
      <c r="B115" s="49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</row>
    <row r="116" spans="1:18" x14ac:dyDescent="0.25">
      <c r="A116" s="48" t="s">
        <v>168</v>
      </c>
      <c r="B116" s="49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</row>
    <row r="117" spans="1:18" x14ac:dyDescent="0.25">
      <c r="A117" s="48"/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</row>
    <row r="118" spans="1:18" x14ac:dyDescent="0.25">
      <c r="A118" s="48" t="s">
        <v>169</v>
      </c>
      <c r="B118" s="49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</row>
    <row r="119" spans="1:18" x14ac:dyDescent="0.25">
      <c r="A119" s="41" t="s">
        <v>179</v>
      </c>
      <c r="B119" s="44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</row>
    <row r="120" spans="1:18" x14ac:dyDescent="0.25">
      <c r="A120" s="41" t="s">
        <v>180</v>
      </c>
      <c r="B120" s="44"/>
      <c r="C120" s="50">
        <f t="shared" ref="C120:R120" si="73">C487</f>
        <v>0</v>
      </c>
      <c r="D120" s="50">
        <f t="shared" si="73"/>
        <v>0</v>
      </c>
      <c r="E120" s="50">
        <f t="shared" si="73"/>
        <v>0</v>
      </c>
      <c r="F120" s="50">
        <f t="shared" si="73"/>
        <v>0</v>
      </c>
      <c r="G120" s="50">
        <f t="shared" si="73"/>
        <v>0</v>
      </c>
      <c r="H120" s="50">
        <f t="shared" si="73"/>
        <v>0</v>
      </c>
      <c r="I120" s="50">
        <f t="shared" si="73"/>
        <v>0</v>
      </c>
      <c r="J120" s="50">
        <f t="shared" si="73"/>
        <v>0</v>
      </c>
      <c r="K120" s="50">
        <f t="shared" si="73"/>
        <v>0</v>
      </c>
      <c r="L120" s="50">
        <f t="shared" si="73"/>
        <v>0</v>
      </c>
      <c r="M120" s="50">
        <f t="shared" si="73"/>
        <v>0</v>
      </c>
      <c r="N120" s="50">
        <f t="shared" si="73"/>
        <v>0</v>
      </c>
      <c r="O120" s="50">
        <f t="shared" si="73"/>
        <v>0</v>
      </c>
      <c r="P120" s="50">
        <f t="shared" si="73"/>
        <v>0</v>
      </c>
      <c r="Q120" s="50">
        <f t="shared" si="73"/>
        <v>0</v>
      </c>
      <c r="R120" s="50">
        <f t="shared" si="73"/>
        <v>0</v>
      </c>
    </row>
    <row r="121" spans="1:18" x14ac:dyDescent="0.25">
      <c r="A121" s="41" t="s">
        <v>181</v>
      </c>
      <c r="B121" s="44"/>
      <c r="C121" s="50">
        <f t="shared" ref="C121:R121" si="74">C572</f>
        <v>0</v>
      </c>
      <c r="D121" s="50">
        <f t="shared" si="74"/>
        <v>0</v>
      </c>
      <c r="E121" s="50">
        <f t="shared" si="74"/>
        <v>0</v>
      </c>
      <c r="F121" s="50">
        <f t="shared" si="74"/>
        <v>0</v>
      </c>
      <c r="G121" s="50">
        <f t="shared" si="74"/>
        <v>0</v>
      </c>
      <c r="H121" s="50">
        <f t="shared" si="74"/>
        <v>0</v>
      </c>
      <c r="I121" s="50">
        <f t="shared" si="74"/>
        <v>0</v>
      </c>
      <c r="J121" s="50">
        <f t="shared" si="74"/>
        <v>0</v>
      </c>
      <c r="K121" s="50">
        <f t="shared" si="74"/>
        <v>0</v>
      </c>
      <c r="L121" s="50">
        <f t="shared" si="74"/>
        <v>0</v>
      </c>
      <c r="M121" s="50">
        <f t="shared" si="74"/>
        <v>0</v>
      </c>
      <c r="N121" s="50">
        <f t="shared" si="74"/>
        <v>0</v>
      </c>
      <c r="O121" s="50">
        <f t="shared" si="74"/>
        <v>0</v>
      </c>
      <c r="P121" s="50">
        <f t="shared" si="74"/>
        <v>0</v>
      </c>
      <c r="Q121" s="50">
        <f t="shared" si="74"/>
        <v>0</v>
      </c>
      <c r="R121" s="50">
        <f t="shared" si="74"/>
        <v>0</v>
      </c>
    </row>
    <row r="122" spans="1:18" x14ac:dyDescent="0.25">
      <c r="A122" s="41" t="s">
        <v>182</v>
      </c>
      <c r="B122" s="44"/>
      <c r="C122" s="50">
        <f t="shared" ref="C122:R122" si="75">C636</f>
        <v>0</v>
      </c>
      <c r="D122" s="50">
        <f t="shared" si="75"/>
        <v>0</v>
      </c>
      <c r="E122" s="50">
        <f t="shared" si="75"/>
        <v>0</v>
      </c>
      <c r="F122" s="50">
        <f t="shared" si="75"/>
        <v>0</v>
      </c>
      <c r="G122" s="50">
        <f t="shared" si="75"/>
        <v>0</v>
      </c>
      <c r="H122" s="50">
        <f t="shared" si="75"/>
        <v>0</v>
      </c>
      <c r="I122" s="50">
        <f t="shared" si="75"/>
        <v>0</v>
      </c>
      <c r="J122" s="50">
        <f t="shared" si="75"/>
        <v>0</v>
      </c>
      <c r="K122" s="50">
        <f t="shared" si="75"/>
        <v>0</v>
      </c>
      <c r="L122" s="50">
        <f t="shared" si="75"/>
        <v>0</v>
      </c>
      <c r="M122" s="50">
        <f t="shared" si="75"/>
        <v>0</v>
      </c>
      <c r="N122" s="50">
        <f t="shared" si="75"/>
        <v>0</v>
      </c>
      <c r="O122" s="50">
        <f t="shared" si="75"/>
        <v>0</v>
      </c>
      <c r="P122" s="50">
        <f t="shared" si="75"/>
        <v>0</v>
      </c>
      <c r="Q122" s="50">
        <f t="shared" si="75"/>
        <v>0</v>
      </c>
      <c r="R122" s="50">
        <f t="shared" si="75"/>
        <v>0</v>
      </c>
    </row>
    <row r="123" spans="1:18" x14ac:dyDescent="0.25">
      <c r="A123" s="41" t="s">
        <v>183</v>
      </c>
      <c r="B123" s="44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</row>
    <row r="124" spans="1:18" x14ac:dyDescent="0.25">
      <c r="A124" s="41" t="s">
        <v>184</v>
      </c>
      <c r="B124" s="44"/>
      <c r="C124" s="50">
        <f t="shared" ref="C124:F124" si="76">C796</f>
        <v>197108</v>
      </c>
      <c r="D124" s="50">
        <f t="shared" si="76"/>
        <v>506017</v>
      </c>
      <c r="E124" s="50">
        <f t="shared" si="76"/>
        <v>237757</v>
      </c>
      <c r="F124" s="50">
        <f t="shared" si="76"/>
        <v>331876</v>
      </c>
      <c r="G124" s="50">
        <f>G796</f>
        <v>20543</v>
      </c>
      <c r="H124" s="50">
        <f>H796</f>
        <v>130000</v>
      </c>
      <c r="I124" s="50">
        <f t="shared" ref="I124:R124" si="77">I796</f>
        <v>0</v>
      </c>
      <c r="J124" s="50">
        <f t="shared" si="77"/>
        <v>0</v>
      </c>
      <c r="K124" s="50">
        <f t="shared" si="77"/>
        <v>0</v>
      </c>
      <c r="L124" s="50">
        <f t="shared" si="77"/>
        <v>0</v>
      </c>
      <c r="M124" s="50">
        <f t="shared" si="77"/>
        <v>0</v>
      </c>
      <c r="N124" s="50">
        <f t="shared" si="77"/>
        <v>0</v>
      </c>
      <c r="O124" s="50">
        <f t="shared" si="77"/>
        <v>0</v>
      </c>
      <c r="P124" s="50">
        <f t="shared" si="77"/>
        <v>0</v>
      </c>
      <c r="Q124" s="50">
        <f t="shared" si="77"/>
        <v>0</v>
      </c>
      <c r="R124" s="50">
        <f t="shared" si="77"/>
        <v>0</v>
      </c>
    </row>
    <row r="125" spans="1:18" x14ac:dyDescent="0.25">
      <c r="A125" s="41" t="s">
        <v>185</v>
      </c>
      <c r="B125" s="44"/>
      <c r="C125" s="50">
        <f t="shared" ref="C125:F125" si="78">C1009</f>
        <v>0</v>
      </c>
      <c r="D125" s="50">
        <f t="shared" si="78"/>
        <v>0</v>
      </c>
      <c r="E125" s="50">
        <f t="shared" si="78"/>
        <v>0</v>
      </c>
      <c r="F125" s="50">
        <f t="shared" si="78"/>
        <v>0</v>
      </c>
      <c r="G125" s="50">
        <f>G1009</f>
        <v>0</v>
      </c>
      <c r="H125" s="50">
        <f>H1009</f>
        <v>50000</v>
      </c>
      <c r="I125" s="50">
        <f t="shared" ref="I125:R125" si="79">I1009</f>
        <v>0</v>
      </c>
      <c r="J125" s="50">
        <f t="shared" si="79"/>
        <v>0</v>
      </c>
      <c r="K125" s="50">
        <f t="shared" si="79"/>
        <v>0</v>
      </c>
      <c r="L125" s="50">
        <f t="shared" si="79"/>
        <v>0</v>
      </c>
      <c r="M125" s="50">
        <f t="shared" si="79"/>
        <v>0</v>
      </c>
      <c r="N125" s="50">
        <f t="shared" si="79"/>
        <v>0</v>
      </c>
      <c r="O125" s="50">
        <f t="shared" si="79"/>
        <v>0</v>
      </c>
      <c r="P125" s="50">
        <f t="shared" si="79"/>
        <v>0</v>
      </c>
      <c r="Q125" s="50">
        <f t="shared" si="79"/>
        <v>0</v>
      </c>
      <c r="R125" s="50">
        <f t="shared" si="79"/>
        <v>0</v>
      </c>
    </row>
    <row r="126" spans="1:18" x14ac:dyDescent="0.25">
      <c r="A126" s="41" t="s">
        <v>186</v>
      </c>
      <c r="B126" s="44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</row>
    <row r="127" spans="1:18" x14ac:dyDescent="0.25">
      <c r="A127" s="41" t="s">
        <v>170</v>
      </c>
      <c r="B127" s="44"/>
      <c r="C127" s="51">
        <f t="shared" ref="C127:F127" si="80">SUM(C119:C126)</f>
        <v>197108</v>
      </c>
      <c r="D127" s="51">
        <f t="shared" si="80"/>
        <v>506017</v>
      </c>
      <c r="E127" s="51">
        <f t="shared" si="80"/>
        <v>237757</v>
      </c>
      <c r="F127" s="51">
        <f t="shared" si="80"/>
        <v>331876</v>
      </c>
      <c r="G127" s="51">
        <f>SUM(G119:G126)</f>
        <v>20543</v>
      </c>
      <c r="H127" s="51">
        <f t="shared" ref="H127:R127" si="81">SUM(H119:H126)</f>
        <v>180000</v>
      </c>
      <c r="I127" s="51">
        <f t="shared" si="81"/>
        <v>0</v>
      </c>
      <c r="J127" s="51">
        <f t="shared" si="81"/>
        <v>0</v>
      </c>
      <c r="K127" s="51">
        <f t="shared" si="81"/>
        <v>0</v>
      </c>
      <c r="L127" s="51">
        <f t="shared" si="81"/>
        <v>0</v>
      </c>
      <c r="M127" s="51">
        <f t="shared" si="81"/>
        <v>0</v>
      </c>
      <c r="N127" s="51">
        <f t="shared" si="81"/>
        <v>0</v>
      </c>
      <c r="O127" s="51">
        <f t="shared" si="81"/>
        <v>0</v>
      </c>
      <c r="P127" s="51">
        <f t="shared" si="81"/>
        <v>0</v>
      </c>
      <c r="Q127" s="51">
        <f t="shared" si="81"/>
        <v>0</v>
      </c>
      <c r="R127" s="51">
        <f t="shared" si="81"/>
        <v>0</v>
      </c>
    </row>
    <row r="128" spans="1:18" x14ac:dyDescent="0.25">
      <c r="A128" s="48"/>
      <c r="B128" s="49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</row>
    <row r="129" spans="1:18" x14ac:dyDescent="0.25">
      <c r="A129" s="41" t="s">
        <v>171</v>
      </c>
      <c r="B129" s="44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</row>
    <row r="130" spans="1:18" x14ac:dyDescent="0.25">
      <c r="A130" s="41" t="s">
        <v>179</v>
      </c>
      <c r="B130" s="44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</row>
    <row r="131" spans="1:18" x14ac:dyDescent="0.25">
      <c r="A131" s="41" t="s">
        <v>180</v>
      </c>
      <c r="B131" s="44"/>
      <c r="C131" s="50">
        <f t="shared" ref="C131:R131" si="82">C540</f>
        <v>144307</v>
      </c>
      <c r="D131" s="50">
        <f t="shared" si="82"/>
        <v>20232</v>
      </c>
      <c r="E131" s="50">
        <f t="shared" si="82"/>
        <v>20164</v>
      </c>
      <c r="F131" s="50">
        <f t="shared" si="82"/>
        <v>81006</v>
      </c>
      <c r="G131" s="50">
        <f t="shared" si="82"/>
        <v>1590</v>
      </c>
      <c r="H131" s="50">
        <f t="shared" si="82"/>
        <v>0</v>
      </c>
      <c r="I131" s="50">
        <f t="shared" si="82"/>
        <v>0</v>
      </c>
      <c r="J131" s="50">
        <f t="shared" si="82"/>
        <v>0</v>
      </c>
      <c r="K131" s="50">
        <f t="shared" si="82"/>
        <v>0</v>
      </c>
      <c r="L131" s="50">
        <f t="shared" si="82"/>
        <v>0</v>
      </c>
      <c r="M131" s="50">
        <f t="shared" si="82"/>
        <v>0</v>
      </c>
      <c r="N131" s="50">
        <f t="shared" si="82"/>
        <v>0</v>
      </c>
      <c r="O131" s="50">
        <f t="shared" si="82"/>
        <v>0</v>
      </c>
      <c r="P131" s="50">
        <f t="shared" si="82"/>
        <v>0</v>
      </c>
      <c r="Q131" s="50">
        <f t="shared" si="82"/>
        <v>0</v>
      </c>
      <c r="R131" s="50">
        <f t="shared" si="82"/>
        <v>0</v>
      </c>
    </row>
    <row r="132" spans="1:18" x14ac:dyDescent="0.25">
      <c r="A132" s="41" t="s">
        <v>181</v>
      </c>
      <c r="B132" s="44"/>
      <c r="C132" s="50">
        <f t="shared" ref="C132:R132" si="83">C578</f>
        <v>0</v>
      </c>
      <c r="D132" s="50">
        <f t="shared" si="83"/>
        <v>0</v>
      </c>
      <c r="E132" s="50">
        <f t="shared" si="83"/>
        <v>0</v>
      </c>
      <c r="F132" s="50">
        <f t="shared" si="83"/>
        <v>0</v>
      </c>
      <c r="G132" s="50">
        <f t="shared" si="83"/>
        <v>0</v>
      </c>
      <c r="H132" s="50">
        <f t="shared" si="83"/>
        <v>0</v>
      </c>
      <c r="I132" s="50">
        <f t="shared" si="83"/>
        <v>0</v>
      </c>
      <c r="J132" s="50">
        <f t="shared" si="83"/>
        <v>0</v>
      </c>
      <c r="K132" s="50">
        <f t="shared" si="83"/>
        <v>0</v>
      </c>
      <c r="L132" s="50">
        <f t="shared" si="83"/>
        <v>0</v>
      </c>
      <c r="M132" s="50">
        <f t="shared" si="83"/>
        <v>0</v>
      </c>
      <c r="N132" s="50">
        <f t="shared" si="83"/>
        <v>0</v>
      </c>
      <c r="O132" s="50">
        <f t="shared" si="83"/>
        <v>0</v>
      </c>
      <c r="P132" s="50">
        <f t="shared" si="83"/>
        <v>0</v>
      </c>
      <c r="Q132" s="50">
        <f t="shared" si="83"/>
        <v>0</v>
      </c>
      <c r="R132" s="50">
        <f t="shared" si="83"/>
        <v>0</v>
      </c>
    </row>
    <row r="133" spans="1:18" x14ac:dyDescent="0.25">
      <c r="A133" s="41" t="s">
        <v>182</v>
      </c>
      <c r="B133" s="44"/>
      <c r="C133" s="50">
        <f t="shared" ref="C133:R133" si="84">C667</f>
        <v>0</v>
      </c>
      <c r="D133" s="50">
        <f t="shared" si="84"/>
        <v>17865</v>
      </c>
      <c r="E133" s="50">
        <f t="shared" si="84"/>
        <v>4228</v>
      </c>
      <c r="F133" s="50">
        <f t="shared" si="84"/>
        <v>1173</v>
      </c>
      <c r="G133" s="50">
        <f t="shared" si="84"/>
        <v>0</v>
      </c>
      <c r="H133" s="50">
        <f t="shared" si="84"/>
        <v>0</v>
      </c>
      <c r="I133" s="50">
        <f t="shared" si="84"/>
        <v>0</v>
      </c>
      <c r="J133" s="50">
        <f t="shared" si="84"/>
        <v>0</v>
      </c>
      <c r="K133" s="50">
        <f t="shared" si="84"/>
        <v>0</v>
      </c>
      <c r="L133" s="50">
        <f t="shared" si="84"/>
        <v>0</v>
      </c>
      <c r="M133" s="50">
        <f t="shared" si="84"/>
        <v>0</v>
      </c>
      <c r="N133" s="50">
        <f t="shared" si="84"/>
        <v>0</v>
      </c>
      <c r="O133" s="50">
        <f t="shared" si="84"/>
        <v>0</v>
      </c>
      <c r="P133" s="50">
        <f t="shared" si="84"/>
        <v>0</v>
      </c>
      <c r="Q133" s="50">
        <f t="shared" si="84"/>
        <v>0</v>
      </c>
      <c r="R133" s="50">
        <f t="shared" si="84"/>
        <v>0</v>
      </c>
    </row>
    <row r="134" spans="1:18" x14ac:dyDescent="0.25">
      <c r="A134" s="41" t="s">
        <v>183</v>
      </c>
      <c r="B134" s="44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</row>
    <row r="135" spans="1:18" x14ac:dyDescent="0.25">
      <c r="A135" s="41" t="s">
        <v>184</v>
      </c>
      <c r="B135" s="44"/>
      <c r="C135" s="50">
        <f t="shared" ref="C135:F135" si="85">C960</f>
        <v>491208</v>
      </c>
      <c r="D135" s="50">
        <f t="shared" si="85"/>
        <v>846481</v>
      </c>
      <c r="E135" s="50">
        <f t="shared" si="85"/>
        <v>350530</v>
      </c>
      <c r="F135" s="50">
        <f t="shared" si="85"/>
        <v>676141.5</v>
      </c>
      <c r="G135" s="50">
        <f>G960</f>
        <v>179176</v>
      </c>
      <c r="H135" s="50">
        <f>H960</f>
        <v>194490</v>
      </c>
      <c r="I135" s="50">
        <f t="shared" ref="I135:R135" si="86">I960</f>
        <v>339906.99999999994</v>
      </c>
      <c r="J135" s="50">
        <f t="shared" si="86"/>
        <v>356411.16</v>
      </c>
      <c r="K135" s="50">
        <f t="shared" si="86"/>
        <v>380871.77184</v>
      </c>
      <c r="L135" s="50">
        <f t="shared" si="86"/>
        <v>377174.51359231997</v>
      </c>
      <c r="M135" s="50">
        <f t="shared" si="86"/>
        <v>400941.38489135104</v>
      </c>
      <c r="N135" s="50">
        <f t="shared" si="86"/>
        <v>433667.62474385207</v>
      </c>
      <c r="O135" s="50">
        <f t="shared" si="86"/>
        <v>449804.86536244833</v>
      </c>
      <c r="P135" s="50">
        <f t="shared" si="86"/>
        <v>452834.73699650948</v>
      </c>
      <c r="Q135" s="50">
        <f t="shared" si="86"/>
        <v>462381.37868442573</v>
      </c>
      <c r="R135" s="50">
        <f t="shared" si="86"/>
        <v>472157.13977285195</v>
      </c>
    </row>
    <row r="136" spans="1:18" x14ac:dyDescent="0.25">
      <c r="A136" s="41" t="s">
        <v>185</v>
      </c>
      <c r="B136" s="44"/>
      <c r="C136" s="50">
        <f t="shared" ref="C136:F136" si="87">C1064</f>
        <v>112335</v>
      </c>
      <c r="D136" s="50">
        <f t="shared" si="87"/>
        <v>38027</v>
      </c>
      <c r="E136" s="50">
        <f t="shared" si="87"/>
        <v>75004</v>
      </c>
      <c r="F136" s="50">
        <f t="shared" si="87"/>
        <v>74918</v>
      </c>
      <c r="G136" s="50">
        <f>G1064</f>
        <v>17418</v>
      </c>
      <c r="H136" s="50">
        <f>H1064</f>
        <v>423418</v>
      </c>
      <c r="I136" s="50">
        <f t="shared" ref="I136:R136" si="88">I1064</f>
        <v>72500</v>
      </c>
      <c r="J136" s="50">
        <f t="shared" si="88"/>
        <v>75000</v>
      </c>
      <c r="K136" s="50">
        <f t="shared" si="88"/>
        <v>62500</v>
      </c>
      <c r="L136" s="50">
        <f t="shared" si="88"/>
        <v>52500</v>
      </c>
      <c r="M136" s="50">
        <f t="shared" si="88"/>
        <v>45000</v>
      </c>
      <c r="N136" s="50">
        <f t="shared" si="88"/>
        <v>82500</v>
      </c>
      <c r="O136" s="50">
        <f t="shared" si="88"/>
        <v>82500</v>
      </c>
      <c r="P136" s="50">
        <f t="shared" si="88"/>
        <v>82500</v>
      </c>
      <c r="Q136" s="50">
        <f t="shared" si="88"/>
        <v>82500</v>
      </c>
      <c r="R136" s="50">
        <f t="shared" si="88"/>
        <v>82500</v>
      </c>
    </row>
    <row r="137" spans="1:18" x14ac:dyDescent="0.25">
      <c r="A137" s="41" t="s">
        <v>186</v>
      </c>
      <c r="B137" s="44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</row>
    <row r="138" spans="1:18" x14ac:dyDescent="0.25">
      <c r="A138" s="41" t="s">
        <v>172</v>
      </c>
      <c r="B138" s="44"/>
      <c r="C138" s="51">
        <f t="shared" ref="C138:R138" si="89">SUM(C130:C137)</f>
        <v>747850</v>
      </c>
      <c r="D138" s="51">
        <f t="shared" si="89"/>
        <v>922605</v>
      </c>
      <c r="E138" s="51">
        <f t="shared" si="89"/>
        <v>449926</v>
      </c>
      <c r="F138" s="51">
        <f t="shared" si="89"/>
        <v>833238.5</v>
      </c>
      <c r="G138" s="51">
        <f t="shared" si="89"/>
        <v>198184</v>
      </c>
      <c r="H138" s="51">
        <f t="shared" si="89"/>
        <v>617908</v>
      </c>
      <c r="I138" s="51">
        <f t="shared" si="89"/>
        <v>412406.99999999994</v>
      </c>
      <c r="J138" s="51">
        <f t="shared" si="89"/>
        <v>431411.16</v>
      </c>
      <c r="K138" s="51">
        <f t="shared" si="89"/>
        <v>443371.77184</v>
      </c>
      <c r="L138" s="51">
        <f t="shared" si="89"/>
        <v>429674.51359231997</v>
      </c>
      <c r="M138" s="51">
        <f t="shared" si="89"/>
        <v>445941.38489135104</v>
      </c>
      <c r="N138" s="51">
        <f t="shared" si="89"/>
        <v>516167.62474385207</v>
      </c>
      <c r="O138" s="51">
        <f t="shared" si="89"/>
        <v>532304.86536244838</v>
      </c>
      <c r="P138" s="51">
        <f t="shared" si="89"/>
        <v>535334.73699650948</v>
      </c>
      <c r="Q138" s="51">
        <f t="shared" si="89"/>
        <v>544881.37868442573</v>
      </c>
      <c r="R138" s="51">
        <f t="shared" si="89"/>
        <v>554657.13977285195</v>
      </c>
    </row>
    <row r="139" spans="1:18" x14ac:dyDescent="0.25">
      <c r="A139" s="48"/>
      <c r="B139" s="49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</row>
    <row r="140" spans="1:18" x14ac:dyDescent="0.25">
      <c r="A140" s="48" t="s">
        <v>173</v>
      </c>
      <c r="B140" s="49"/>
      <c r="C140" s="51">
        <f t="shared" ref="C140:F140" si="90">C127-C138</f>
        <v>-550742</v>
      </c>
      <c r="D140" s="51">
        <f t="shared" si="90"/>
        <v>-416588</v>
      </c>
      <c r="E140" s="51">
        <f t="shared" si="90"/>
        <v>-212169</v>
      </c>
      <c r="F140" s="51">
        <f t="shared" si="90"/>
        <v>-501362.5</v>
      </c>
      <c r="G140" s="51">
        <f>G127-G138</f>
        <v>-177641</v>
      </c>
      <c r="H140" s="51">
        <f>H127-H138</f>
        <v>-437908</v>
      </c>
      <c r="I140" s="51">
        <f t="shared" ref="I140:R140" si="91">I127-I138</f>
        <v>-412406.99999999994</v>
      </c>
      <c r="J140" s="51">
        <f t="shared" si="91"/>
        <v>-431411.16</v>
      </c>
      <c r="K140" s="51">
        <f t="shared" si="91"/>
        <v>-443371.77184</v>
      </c>
      <c r="L140" s="51">
        <f t="shared" si="91"/>
        <v>-429674.51359231997</v>
      </c>
      <c r="M140" s="51">
        <f t="shared" si="91"/>
        <v>-445941.38489135104</v>
      </c>
      <c r="N140" s="51">
        <f t="shared" si="91"/>
        <v>-516167.62474385207</v>
      </c>
      <c r="O140" s="51">
        <f t="shared" si="91"/>
        <v>-532304.86536244838</v>
      </c>
      <c r="P140" s="51">
        <f t="shared" si="91"/>
        <v>-535334.73699650948</v>
      </c>
      <c r="Q140" s="51">
        <f t="shared" si="91"/>
        <v>-544881.37868442573</v>
      </c>
      <c r="R140" s="51">
        <f t="shared" si="91"/>
        <v>-554657.13977285195</v>
      </c>
    </row>
    <row r="141" spans="1:18" x14ac:dyDescent="0.25">
      <c r="A141" s="48"/>
      <c r="B141" s="49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</row>
    <row r="142" spans="1:18" x14ac:dyDescent="0.25">
      <c r="A142" s="48" t="s">
        <v>187</v>
      </c>
      <c r="B142" s="49"/>
      <c r="C142" s="51">
        <f t="shared" ref="C142:R142" si="92">C114+C140</f>
        <v>-2702222</v>
      </c>
      <c r="D142" s="51">
        <f t="shared" si="92"/>
        <v>-2468380</v>
      </c>
      <c r="E142" s="51">
        <f t="shared" si="92"/>
        <v>-2427592.08</v>
      </c>
      <c r="F142" s="51">
        <f t="shared" si="92"/>
        <v>-2824265.3200000003</v>
      </c>
      <c r="G142" s="51">
        <f t="shared" si="92"/>
        <v>-2187051</v>
      </c>
      <c r="H142" s="51">
        <f t="shared" si="92"/>
        <v>-2877733.6957668001</v>
      </c>
      <c r="I142" s="51">
        <f t="shared" si="92"/>
        <v>-2887606.0660784161</v>
      </c>
      <c r="J142" s="51">
        <f t="shared" si="92"/>
        <v>-2921635.5414274195</v>
      </c>
      <c r="K142" s="51">
        <f t="shared" si="92"/>
        <v>-3001609.3359417072</v>
      </c>
      <c r="L142" s="51">
        <f t="shared" si="92"/>
        <v>-3060205.0350018186</v>
      </c>
      <c r="M142" s="51">
        <f t="shared" si="92"/>
        <v>-3148491.6193832387</v>
      </c>
      <c r="N142" s="51">
        <f t="shared" si="92"/>
        <v>-3290816.4723680364</v>
      </c>
      <c r="O142" s="51">
        <f t="shared" si="92"/>
        <v>-3384949.2132516475</v>
      </c>
      <c r="P142" s="51">
        <f t="shared" si="92"/>
        <v>-3470739.8702959535</v>
      </c>
      <c r="Q142" s="51">
        <f t="shared" si="92"/>
        <v>-3562920.6783553334</v>
      </c>
      <c r="R142" s="51">
        <f t="shared" si="92"/>
        <v>-3645989.0023586038</v>
      </c>
    </row>
    <row r="143" spans="1:18" x14ac:dyDescent="0.25">
      <c r="A143" s="48"/>
      <c r="B143" s="49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</row>
    <row r="144" spans="1:18" x14ac:dyDescent="0.25">
      <c r="A144" s="52"/>
      <c r="B144" s="53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</row>
    <row r="145" spans="1:18" x14ac:dyDescent="0.25">
      <c r="A145" s="41" t="s">
        <v>161</v>
      </c>
      <c r="B145" s="44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</row>
    <row r="146" spans="1:18" x14ac:dyDescent="0.25">
      <c r="A146" s="48"/>
      <c r="B146" s="49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</row>
    <row r="147" spans="1:18" x14ac:dyDescent="0.25">
      <c r="A147" s="48" t="s">
        <v>157</v>
      </c>
      <c r="B147" s="49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</row>
    <row r="148" spans="1:18" x14ac:dyDescent="0.25">
      <c r="A148" s="48"/>
      <c r="B148" s="49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</row>
    <row r="149" spans="1:18" x14ac:dyDescent="0.25">
      <c r="A149" s="48" t="s">
        <v>158</v>
      </c>
      <c r="B149" s="49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</row>
    <row r="150" spans="1:18" x14ac:dyDescent="0.25">
      <c r="A150" s="41" t="s">
        <v>188</v>
      </c>
      <c r="B150" s="44"/>
      <c r="C150" s="50">
        <f t="shared" ref="C150:F150" si="93">C1118</f>
        <v>65862</v>
      </c>
      <c r="D150" s="50">
        <f t="shared" si="93"/>
        <v>67576</v>
      </c>
      <c r="E150" s="50">
        <f t="shared" si="93"/>
        <v>68407</v>
      </c>
      <c r="F150" s="50">
        <f t="shared" si="93"/>
        <v>70701</v>
      </c>
      <c r="G150" s="50">
        <f>G1118</f>
        <v>73876</v>
      </c>
      <c r="H150" s="50">
        <f>H1118</f>
        <v>80500</v>
      </c>
      <c r="I150" s="50">
        <f t="shared" ref="I150:R150" si="94">I1118</f>
        <v>82351.5</v>
      </c>
      <c r="J150" s="50">
        <f t="shared" si="94"/>
        <v>84327.936000000002</v>
      </c>
      <c r="K150" s="50">
        <f t="shared" si="94"/>
        <v>86351.806464000008</v>
      </c>
      <c r="L150" s="50">
        <f t="shared" si="94"/>
        <v>88337.898012671998</v>
      </c>
      <c r="M150" s="50">
        <f t="shared" si="94"/>
        <v>90281.331768950797</v>
      </c>
      <c r="N150" s="50">
        <f t="shared" si="94"/>
        <v>92357.802399636639</v>
      </c>
      <c r="O150" s="50">
        <f t="shared" si="94"/>
        <v>94666.747459627542</v>
      </c>
      <c r="P150" s="50">
        <f t="shared" si="94"/>
        <v>97033.416146118238</v>
      </c>
      <c r="Q150" s="50">
        <f t="shared" si="94"/>
        <v>99362.21813362508</v>
      </c>
      <c r="R150" s="50">
        <f t="shared" si="94"/>
        <v>101746.91136883208</v>
      </c>
    </row>
    <row r="151" spans="1:18" x14ac:dyDescent="0.25">
      <c r="A151" s="41" t="s">
        <v>189</v>
      </c>
      <c r="B151" s="44"/>
      <c r="C151" s="50">
        <f t="shared" ref="C151:F151" si="95">C1177</f>
        <v>2367490</v>
      </c>
      <c r="D151" s="50">
        <f t="shared" si="95"/>
        <v>2517188</v>
      </c>
      <c r="E151" s="50">
        <f t="shared" si="95"/>
        <v>2642762</v>
      </c>
      <c r="F151" s="50">
        <f t="shared" si="95"/>
        <v>2709562</v>
      </c>
      <c r="G151" s="50">
        <f>G1177</f>
        <v>2795986</v>
      </c>
      <c r="H151" s="50">
        <f>H1177</f>
        <v>2975100</v>
      </c>
      <c r="I151" s="50">
        <f t="shared" ref="I151:R151" si="96">I1177</f>
        <v>3042151.8999999994</v>
      </c>
      <c r="J151" s="50">
        <f t="shared" si="96"/>
        <v>3113728.3456000006</v>
      </c>
      <c r="K151" s="50">
        <f t="shared" si="96"/>
        <v>3127222.6258944003</v>
      </c>
      <c r="L151" s="50">
        <f t="shared" si="96"/>
        <v>3199148.7462899708</v>
      </c>
      <c r="M151" s="50">
        <f t="shared" si="96"/>
        <v>3269530.0187083501</v>
      </c>
      <c r="N151" s="50">
        <f t="shared" si="96"/>
        <v>3344729.2091386421</v>
      </c>
      <c r="O151" s="50">
        <f t="shared" si="96"/>
        <v>3428347.4393671076</v>
      </c>
      <c r="P151" s="50">
        <f t="shared" si="96"/>
        <v>3514056.1253512851</v>
      </c>
      <c r="Q151" s="50">
        <f t="shared" si="96"/>
        <v>3598393.472359716</v>
      </c>
      <c r="R151" s="50">
        <f t="shared" si="96"/>
        <v>3684754.915696349</v>
      </c>
    </row>
    <row r="152" spans="1:18" x14ac:dyDescent="0.25">
      <c r="A152" s="41" t="s">
        <v>190</v>
      </c>
      <c r="B152" s="44"/>
      <c r="C152" s="50">
        <f t="shared" ref="C152:F152" si="97">C1267</f>
        <v>114168</v>
      </c>
      <c r="D152" s="50">
        <f t="shared" si="97"/>
        <v>172078</v>
      </c>
      <c r="E152" s="50">
        <f t="shared" si="97"/>
        <v>88762</v>
      </c>
      <c r="F152" s="50">
        <f t="shared" si="97"/>
        <v>32588</v>
      </c>
      <c r="G152" s="50">
        <f>G1267</f>
        <v>96108</v>
      </c>
      <c r="H152" s="50">
        <f>H1267</f>
        <v>0</v>
      </c>
      <c r="I152" s="50">
        <f t="shared" ref="I152:R152" si="98">I1267</f>
        <v>0</v>
      </c>
      <c r="J152" s="50">
        <f t="shared" si="98"/>
        <v>0</v>
      </c>
      <c r="K152" s="50">
        <f t="shared" si="98"/>
        <v>0</v>
      </c>
      <c r="L152" s="50">
        <f t="shared" si="98"/>
        <v>0</v>
      </c>
      <c r="M152" s="50">
        <f t="shared" si="98"/>
        <v>0</v>
      </c>
      <c r="N152" s="50">
        <f t="shared" si="98"/>
        <v>0</v>
      </c>
      <c r="O152" s="50">
        <f t="shared" si="98"/>
        <v>0</v>
      </c>
      <c r="P152" s="50">
        <f t="shared" si="98"/>
        <v>0</v>
      </c>
      <c r="Q152" s="50">
        <f t="shared" si="98"/>
        <v>0</v>
      </c>
      <c r="R152" s="50">
        <f t="shared" si="98"/>
        <v>0</v>
      </c>
    </row>
    <row r="153" spans="1:18" x14ac:dyDescent="0.25">
      <c r="A153" s="41" t="s">
        <v>184</v>
      </c>
      <c r="B153" s="44"/>
      <c r="C153" s="50">
        <f t="shared" ref="C153:F153" si="99">C1353</f>
        <v>0</v>
      </c>
      <c r="D153" s="50">
        <f t="shared" si="99"/>
        <v>0</v>
      </c>
      <c r="E153" s="50">
        <f t="shared" si="99"/>
        <v>0</v>
      </c>
      <c r="F153" s="50">
        <f t="shared" si="99"/>
        <v>0</v>
      </c>
      <c r="G153" s="50">
        <f>G1353</f>
        <v>0</v>
      </c>
      <c r="H153" s="50">
        <f>H1353</f>
        <v>22500</v>
      </c>
      <c r="I153" s="50">
        <f t="shared" ref="I153:R153" si="100">I1353</f>
        <v>23017.499999999996</v>
      </c>
      <c r="J153" s="50">
        <f t="shared" si="100"/>
        <v>23569.919999999998</v>
      </c>
      <c r="K153" s="50">
        <f t="shared" si="100"/>
        <v>24135.59808</v>
      </c>
      <c r="L153" s="50">
        <f t="shared" si="100"/>
        <v>24690.716835839998</v>
      </c>
      <c r="M153" s="50">
        <f t="shared" si="100"/>
        <v>25233.912606228478</v>
      </c>
      <c r="N153" s="50">
        <f t="shared" si="100"/>
        <v>25814.29259617173</v>
      </c>
      <c r="O153" s="50">
        <f t="shared" si="100"/>
        <v>26459.64991107602</v>
      </c>
      <c r="P153" s="50">
        <f t="shared" si="100"/>
        <v>27121.141158852919</v>
      </c>
      <c r="Q153" s="50">
        <f t="shared" si="100"/>
        <v>27772.048546665388</v>
      </c>
      <c r="R153" s="50">
        <f t="shared" si="100"/>
        <v>28438.577711785358</v>
      </c>
    </row>
    <row r="154" spans="1:18" x14ac:dyDescent="0.25">
      <c r="A154" s="41" t="s">
        <v>164</v>
      </c>
      <c r="B154" s="44"/>
      <c r="C154" s="51">
        <f t="shared" ref="C154:R154" si="101">SUM(C150:C153)</f>
        <v>2547520</v>
      </c>
      <c r="D154" s="51">
        <f t="shared" si="101"/>
        <v>2756842</v>
      </c>
      <c r="E154" s="51">
        <f t="shared" si="101"/>
        <v>2799931</v>
      </c>
      <c r="F154" s="51">
        <f t="shared" si="101"/>
        <v>2812851</v>
      </c>
      <c r="G154" s="51">
        <f t="shared" si="101"/>
        <v>2965970</v>
      </c>
      <c r="H154" s="51">
        <f t="shared" si="101"/>
        <v>3078100</v>
      </c>
      <c r="I154" s="51">
        <f t="shared" si="101"/>
        <v>3147520.8999999994</v>
      </c>
      <c r="J154" s="51">
        <f t="shared" si="101"/>
        <v>3221626.2016000007</v>
      </c>
      <c r="K154" s="51">
        <f t="shared" si="101"/>
        <v>3237710.0304384003</v>
      </c>
      <c r="L154" s="51">
        <f t="shared" si="101"/>
        <v>3312177.361138483</v>
      </c>
      <c r="M154" s="51">
        <f t="shared" si="101"/>
        <v>3385045.2630835297</v>
      </c>
      <c r="N154" s="51">
        <f t="shared" si="101"/>
        <v>3462901.3041344504</v>
      </c>
      <c r="O154" s="51">
        <f t="shared" si="101"/>
        <v>3549473.8367378111</v>
      </c>
      <c r="P154" s="51">
        <f t="shared" si="101"/>
        <v>3638210.682656256</v>
      </c>
      <c r="Q154" s="51">
        <f t="shared" si="101"/>
        <v>3725527.7390400064</v>
      </c>
      <c r="R154" s="51">
        <f t="shared" si="101"/>
        <v>3814940.4047769662</v>
      </c>
    </row>
    <row r="155" spans="1:18" x14ac:dyDescent="0.25">
      <c r="A155" s="48"/>
      <c r="B155" s="49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</row>
    <row r="156" spans="1:18" x14ac:dyDescent="0.25">
      <c r="A156" s="41" t="s">
        <v>165</v>
      </c>
      <c r="B156" s="44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</row>
    <row r="157" spans="1:18" x14ac:dyDescent="0.25">
      <c r="A157" s="41" t="s">
        <v>188</v>
      </c>
      <c r="B157" s="44"/>
      <c r="C157" s="50">
        <f t="shared" ref="C157:F157" si="102">C1153</f>
        <v>317999</v>
      </c>
      <c r="D157" s="50">
        <f t="shared" si="102"/>
        <v>320646</v>
      </c>
      <c r="E157" s="50">
        <f t="shared" si="102"/>
        <v>338439</v>
      </c>
      <c r="F157" s="50">
        <f t="shared" si="102"/>
        <v>384385</v>
      </c>
      <c r="G157" s="50">
        <f>G1153</f>
        <v>317355</v>
      </c>
      <c r="H157" s="50">
        <f>H1153</f>
        <v>366960</v>
      </c>
      <c r="I157" s="50">
        <f t="shared" ref="I157:R157" si="103">I1153</f>
        <v>375712.5</v>
      </c>
      <c r="J157" s="50">
        <f t="shared" si="103"/>
        <v>385719.00949999993</v>
      </c>
      <c r="K157" s="50">
        <f t="shared" si="103"/>
        <v>396989.7121704999</v>
      </c>
      <c r="L157" s="50">
        <f t="shared" si="103"/>
        <v>408637.49781644641</v>
      </c>
      <c r="M157" s="50">
        <f t="shared" si="103"/>
        <v>420225.27942121204</v>
      </c>
      <c r="N157" s="50">
        <f t="shared" si="103"/>
        <v>432205.50770028541</v>
      </c>
      <c r="O157" s="50">
        <f t="shared" si="103"/>
        <v>444855.03664074955</v>
      </c>
      <c r="P157" s="50">
        <f t="shared" si="103"/>
        <v>458502.24062977184</v>
      </c>
      <c r="Q157" s="50">
        <f t="shared" si="103"/>
        <v>473365.61332431494</v>
      </c>
      <c r="R157" s="50">
        <f t="shared" si="103"/>
        <v>487255.24510278768</v>
      </c>
    </row>
    <row r="158" spans="1:18" x14ac:dyDescent="0.25">
      <c r="A158" s="41" t="s">
        <v>189</v>
      </c>
      <c r="B158" s="44"/>
      <c r="C158" s="50">
        <f t="shared" ref="C158:F158" si="104">C1221</f>
        <v>2285668.4300000002</v>
      </c>
      <c r="D158" s="50">
        <f t="shared" si="104"/>
        <v>2469926</v>
      </c>
      <c r="E158" s="50">
        <f t="shared" si="104"/>
        <v>2580160</v>
      </c>
      <c r="F158" s="50">
        <f t="shared" si="104"/>
        <v>2491413</v>
      </c>
      <c r="G158" s="50">
        <f>G1221</f>
        <v>2625015</v>
      </c>
      <c r="H158" s="50">
        <f>H1221</f>
        <v>2909175</v>
      </c>
      <c r="I158" s="50">
        <f t="shared" ref="I158:R158" si="105">I1221</f>
        <v>2978738.1</v>
      </c>
      <c r="J158" s="50">
        <f t="shared" si="105"/>
        <v>3049503.4394000005</v>
      </c>
      <c r="K158" s="50">
        <f t="shared" si="105"/>
        <v>3062666.1815205999</v>
      </c>
      <c r="L158" s="50">
        <f t="shared" si="105"/>
        <v>3135146.4801553236</v>
      </c>
      <c r="M158" s="50">
        <f t="shared" si="105"/>
        <v>3207914.6798266633</v>
      </c>
      <c r="N158" s="50">
        <f t="shared" si="105"/>
        <v>3283045.8355974383</v>
      </c>
      <c r="O158" s="50">
        <f t="shared" si="105"/>
        <v>3366486.2705161795</v>
      </c>
      <c r="P158" s="50">
        <f t="shared" si="105"/>
        <v>3452616.4750647335</v>
      </c>
      <c r="Q158" s="50">
        <f t="shared" si="105"/>
        <v>3536971.548422243</v>
      </c>
      <c r="R158" s="50">
        <f t="shared" si="105"/>
        <v>3624327.5220308383</v>
      </c>
    </row>
    <row r="159" spans="1:18" x14ac:dyDescent="0.25">
      <c r="A159" s="41" t="s">
        <v>190</v>
      </c>
      <c r="B159" s="44"/>
      <c r="C159" s="50">
        <f t="shared" ref="C159:F159" si="106">C1312</f>
        <v>251315</v>
      </c>
      <c r="D159" s="50">
        <f t="shared" si="106"/>
        <v>308029</v>
      </c>
      <c r="E159" s="50">
        <f t="shared" si="106"/>
        <v>284023</v>
      </c>
      <c r="F159" s="50">
        <f t="shared" si="106"/>
        <v>304642</v>
      </c>
      <c r="G159" s="50">
        <f>G1312</f>
        <v>236439</v>
      </c>
      <c r="H159" s="50">
        <f>H1312</f>
        <v>220100</v>
      </c>
      <c r="I159" s="50">
        <f t="shared" ref="I159:R159" si="107">I1312</f>
        <v>225325.6</v>
      </c>
      <c r="J159" s="50">
        <f t="shared" si="107"/>
        <v>230982.63939999999</v>
      </c>
      <c r="K159" s="50">
        <f t="shared" si="107"/>
        <v>236927.92572059997</v>
      </c>
      <c r="L159" s="50">
        <f t="shared" si="107"/>
        <v>242917.70139392378</v>
      </c>
      <c r="M159" s="50">
        <f t="shared" si="107"/>
        <v>248883.04320793785</v>
      </c>
      <c r="N159" s="50">
        <f t="shared" si="107"/>
        <v>255072.73576345085</v>
      </c>
      <c r="O159" s="50">
        <f t="shared" si="107"/>
        <v>261895.03919611938</v>
      </c>
      <c r="P159" s="50">
        <f t="shared" si="107"/>
        <v>268950.19303864421</v>
      </c>
      <c r="Q159" s="50">
        <f t="shared" si="107"/>
        <v>276156.28912707273</v>
      </c>
      <c r="R159" s="50">
        <f t="shared" si="107"/>
        <v>280076.69143111055</v>
      </c>
    </row>
    <row r="160" spans="1:18" x14ac:dyDescent="0.25">
      <c r="A160" s="41" t="s">
        <v>184</v>
      </c>
      <c r="B160" s="44"/>
      <c r="C160" s="50">
        <f t="shared" ref="C160:F160" si="108">C1381</f>
        <v>174074</v>
      </c>
      <c r="D160" s="50">
        <f t="shared" si="108"/>
        <v>280123</v>
      </c>
      <c r="E160" s="50">
        <f t="shared" si="108"/>
        <v>248817</v>
      </c>
      <c r="F160" s="50">
        <f t="shared" si="108"/>
        <v>181671</v>
      </c>
      <c r="G160" s="50">
        <f>G1381</f>
        <v>195808</v>
      </c>
      <c r="H160" s="50">
        <f>H1381</f>
        <v>256230</v>
      </c>
      <c r="I160" s="50">
        <f t="shared" ref="I160:R160" si="109">I1381</f>
        <v>250849.5</v>
      </c>
      <c r="J160" s="50">
        <f t="shared" si="109"/>
        <v>263811.92249999999</v>
      </c>
      <c r="K160" s="50">
        <f t="shared" si="109"/>
        <v>283264.08089749998</v>
      </c>
      <c r="L160" s="50">
        <f t="shared" si="109"/>
        <v>272470.06694311748</v>
      </c>
      <c r="M160" s="50">
        <f t="shared" si="109"/>
        <v>285540.01848894521</v>
      </c>
      <c r="N160" s="50">
        <f t="shared" si="109"/>
        <v>299624.65151418338</v>
      </c>
      <c r="O160" s="50">
        <f t="shared" si="109"/>
        <v>294612.27370003005</v>
      </c>
      <c r="P160" s="50">
        <f t="shared" si="109"/>
        <v>316823.4952826096</v>
      </c>
      <c r="Q160" s="50">
        <f t="shared" si="109"/>
        <v>322866.27010021597</v>
      </c>
      <c r="R160" s="50">
        <f t="shared" si="109"/>
        <v>329100.03465300304</v>
      </c>
    </row>
    <row r="161" spans="1:18" x14ac:dyDescent="0.25">
      <c r="A161" s="41" t="s">
        <v>166</v>
      </c>
      <c r="B161" s="44"/>
      <c r="C161" s="51">
        <f t="shared" ref="C161:R161" si="110">SUM(C157:C160)</f>
        <v>3029056.43</v>
      </c>
      <c r="D161" s="51">
        <f t="shared" si="110"/>
        <v>3378724</v>
      </c>
      <c r="E161" s="51">
        <f t="shared" si="110"/>
        <v>3451439</v>
      </c>
      <c r="F161" s="51">
        <f t="shared" si="110"/>
        <v>3362111</v>
      </c>
      <c r="G161" s="51">
        <f t="shared" si="110"/>
        <v>3374617</v>
      </c>
      <c r="H161" s="51">
        <f t="shared" si="110"/>
        <v>3752465</v>
      </c>
      <c r="I161" s="51">
        <f t="shared" si="110"/>
        <v>3830625.7</v>
      </c>
      <c r="J161" s="51">
        <f t="shared" si="110"/>
        <v>3930017.0107999998</v>
      </c>
      <c r="K161" s="51">
        <f t="shared" si="110"/>
        <v>3979847.9003091995</v>
      </c>
      <c r="L161" s="51">
        <f t="shared" si="110"/>
        <v>4059171.746308811</v>
      </c>
      <c r="M161" s="51">
        <f t="shared" si="110"/>
        <v>4162563.0209447583</v>
      </c>
      <c r="N161" s="51">
        <f t="shared" si="110"/>
        <v>4269948.7305753585</v>
      </c>
      <c r="O161" s="51">
        <f t="shared" si="110"/>
        <v>4367848.620053078</v>
      </c>
      <c r="P161" s="51">
        <f t="shared" si="110"/>
        <v>4496892.404015759</v>
      </c>
      <c r="Q161" s="51">
        <f t="shared" si="110"/>
        <v>4609359.7209738465</v>
      </c>
      <c r="R161" s="51">
        <f t="shared" si="110"/>
        <v>4720759.4932177402</v>
      </c>
    </row>
    <row r="162" spans="1:18" x14ac:dyDescent="0.25">
      <c r="A162" s="48"/>
      <c r="B162" s="49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</row>
    <row r="163" spans="1:18" x14ac:dyDescent="0.25">
      <c r="A163" s="48" t="s">
        <v>167</v>
      </c>
      <c r="B163" s="49"/>
      <c r="C163" s="51">
        <f t="shared" ref="C163:R163" si="111">C154-C161</f>
        <v>-481536.43000000017</v>
      </c>
      <c r="D163" s="51">
        <f t="shared" si="111"/>
        <v>-621882</v>
      </c>
      <c r="E163" s="51">
        <f t="shared" si="111"/>
        <v>-651508</v>
      </c>
      <c r="F163" s="51">
        <f t="shared" si="111"/>
        <v>-549260</v>
      </c>
      <c r="G163" s="51">
        <f t="shared" si="111"/>
        <v>-408647</v>
      </c>
      <c r="H163" s="51">
        <f t="shared" si="111"/>
        <v>-674365</v>
      </c>
      <c r="I163" s="51">
        <f t="shared" si="111"/>
        <v>-683104.80000000075</v>
      </c>
      <c r="J163" s="51">
        <f t="shared" si="111"/>
        <v>-708390.80919999909</v>
      </c>
      <c r="K163" s="51">
        <f t="shared" si="111"/>
        <v>-742137.86987079913</v>
      </c>
      <c r="L163" s="51">
        <f t="shared" si="111"/>
        <v>-746994.38517032797</v>
      </c>
      <c r="M163" s="51">
        <f t="shared" si="111"/>
        <v>-777517.75786122866</v>
      </c>
      <c r="N163" s="51">
        <f t="shared" si="111"/>
        <v>-807047.42644090811</v>
      </c>
      <c r="O163" s="51">
        <f t="shared" si="111"/>
        <v>-818374.78331526695</v>
      </c>
      <c r="P163" s="51">
        <f t="shared" si="111"/>
        <v>-858681.72135950299</v>
      </c>
      <c r="Q163" s="51">
        <f t="shared" si="111"/>
        <v>-883831.98193384008</v>
      </c>
      <c r="R163" s="51">
        <f t="shared" si="111"/>
        <v>-905819.08844077401</v>
      </c>
    </row>
    <row r="164" spans="1:18" x14ac:dyDescent="0.25">
      <c r="A164" s="48"/>
      <c r="B164" s="49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</row>
    <row r="165" spans="1:18" x14ac:dyDescent="0.25">
      <c r="A165" s="48" t="s">
        <v>168</v>
      </c>
      <c r="B165" s="49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</row>
    <row r="166" spans="1:18" x14ac:dyDescent="0.25">
      <c r="A166" s="48"/>
      <c r="B166" s="49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</row>
    <row r="167" spans="1:18" x14ac:dyDescent="0.25">
      <c r="A167" s="48" t="s">
        <v>169</v>
      </c>
      <c r="B167" s="49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</row>
    <row r="168" spans="1:18" x14ac:dyDescent="0.25">
      <c r="A168" s="41" t="s">
        <v>188</v>
      </c>
      <c r="B168" s="44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</row>
    <row r="169" spans="1:18" x14ac:dyDescent="0.25">
      <c r="A169" s="41" t="s">
        <v>189</v>
      </c>
      <c r="B169" s="44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</row>
    <row r="170" spans="1:18" x14ac:dyDescent="0.25">
      <c r="A170" s="41" t="s">
        <v>190</v>
      </c>
      <c r="B170" s="44"/>
      <c r="C170" s="50">
        <f t="shared" ref="C170:F170" si="112">C1318</f>
        <v>0</v>
      </c>
      <c r="D170" s="50">
        <f t="shared" si="112"/>
        <v>0</v>
      </c>
      <c r="E170" s="50">
        <f t="shared" si="112"/>
        <v>0</v>
      </c>
      <c r="F170" s="50">
        <f t="shared" si="112"/>
        <v>0</v>
      </c>
      <c r="G170" s="50">
        <f>G1318</f>
        <v>0</v>
      </c>
      <c r="H170" s="50">
        <f>H1318</f>
        <v>0</v>
      </c>
      <c r="I170" s="50">
        <f t="shared" ref="I170:R170" si="113">I1318</f>
        <v>0</v>
      </c>
      <c r="J170" s="50">
        <f t="shared" si="113"/>
        <v>0</v>
      </c>
      <c r="K170" s="50">
        <f t="shared" si="113"/>
        <v>0</v>
      </c>
      <c r="L170" s="50">
        <f t="shared" si="113"/>
        <v>0</v>
      </c>
      <c r="M170" s="50">
        <f t="shared" si="113"/>
        <v>0</v>
      </c>
      <c r="N170" s="50">
        <f t="shared" si="113"/>
        <v>0</v>
      </c>
      <c r="O170" s="50">
        <f t="shared" si="113"/>
        <v>0</v>
      </c>
      <c r="P170" s="50">
        <f t="shared" si="113"/>
        <v>0</v>
      </c>
      <c r="Q170" s="50">
        <f t="shared" si="113"/>
        <v>0</v>
      </c>
      <c r="R170" s="50">
        <f t="shared" si="113"/>
        <v>0</v>
      </c>
    </row>
    <row r="171" spans="1:18" x14ac:dyDescent="0.25">
      <c r="A171" s="41" t="s">
        <v>184</v>
      </c>
      <c r="B171" s="44"/>
      <c r="C171" s="50"/>
      <c r="D171" s="50">
        <f t="shared" ref="D171" si="114">D1387</f>
        <v>34030</v>
      </c>
      <c r="E171" s="50">
        <f>E1387</f>
        <v>34802</v>
      </c>
      <c r="F171" s="50">
        <f t="shared" ref="F171" si="115">F1387</f>
        <v>0</v>
      </c>
      <c r="G171" s="50">
        <f>G1387</f>
        <v>0</v>
      </c>
      <c r="H171" s="50">
        <f>H1387</f>
        <v>0</v>
      </c>
      <c r="I171" s="50">
        <f t="shared" ref="I171:R171" si="116">I1387</f>
        <v>0</v>
      </c>
      <c r="J171" s="50">
        <f t="shared" si="116"/>
        <v>0</v>
      </c>
      <c r="K171" s="50">
        <f t="shared" si="116"/>
        <v>0</v>
      </c>
      <c r="L171" s="50">
        <f t="shared" si="116"/>
        <v>0</v>
      </c>
      <c r="M171" s="50">
        <f t="shared" si="116"/>
        <v>0</v>
      </c>
      <c r="N171" s="50">
        <f t="shared" si="116"/>
        <v>0</v>
      </c>
      <c r="O171" s="50">
        <f t="shared" si="116"/>
        <v>0</v>
      </c>
      <c r="P171" s="50">
        <f t="shared" si="116"/>
        <v>0</v>
      </c>
      <c r="Q171" s="50">
        <f t="shared" si="116"/>
        <v>0</v>
      </c>
      <c r="R171" s="50">
        <f t="shared" si="116"/>
        <v>0</v>
      </c>
    </row>
    <row r="172" spans="1:18" x14ac:dyDescent="0.25">
      <c r="A172" s="41" t="s">
        <v>170</v>
      </c>
      <c r="B172" s="44"/>
      <c r="C172" s="51">
        <f t="shared" ref="C172:R172" si="117">SUM(C167:C171)</f>
        <v>0</v>
      </c>
      <c r="D172" s="51">
        <f t="shared" si="117"/>
        <v>34030</v>
      </c>
      <c r="E172" s="51">
        <f t="shared" si="117"/>
        <v>34802</v>
      </c>
      <c r="F172" s="51">
        <f t="shared" si="117"/>
        <v>0</v>
      </c>
      <c r="G172" s="51">
        <f t="shared" si="117"/>
        <v>0</v>
      </c>
      <c r="H172" s="51">
        <f t="shared" si="117"/>
        <v>0</v>
      </c>
      <c r="I172" s="51">
        <f t="shared" si="117"/>
        <v>0</v>
      </c>
      <c r="J172" s="51">
        <f t="shared" si="117"/>
        <v>0</v>
      </c>
      <c r="K172" s="51">
        <f t="shared" si="117"/>
        <v>0</v>
      </c>
      <c r="L172" s="51">
        <f t="shared" si="117"/>
        <v>0</v>
      </c>
      <c r="M172" s="51">
        <f t="shared" si="117"/>
        <v>0</v>
      </c>
      <c r="N172" s="51">
        <f t="shared" si="117"/>
        <v>0</v>
      </c>
      <c r="O172" s="51">
        <f t="shared" si="117"/>
        <v>0</v>
      </c>
      <c r="P172" s="51">
        <f t="shared" si="117"/>
        <v>0</v>
      </c>
      <c r="Q172" s="51">
        <f t="shared" si="117"/>
        <v>0</v>
      </c>
      <c r="R172" s="51">
        <f t="shared" si="117"/>
        <v>0</v>
      </c>
    </row>
    <row r="173" spans="1:18" x14ac:dyDescent="0.25">
      <c r="A173" s="48"/>
      <c r="B173" s="49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</row>
    <row r="174" spans="1:18" x14ac:dyDescent="0.25">
      <c r="A174" s="41" t="s">
        <v>171</v>
      </c>
      <c r="B174" s="44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</row>
    <row r="175" spans="1:18" x14ac:dyDescent="0.25">
      <c r="A175" s="41" t="s">
        <v>188</v>
      </c>
      <c r="B175" s="44"/>
      <c r="C175" s="50"/>
      <c r="D175" s="50">
        <f>D168:N168</f>
        <v>0</v>
      </c>
      <c r="E175" s="50">
        <f>E168:N168</f>
        <v>0</v>
      </c>
      <c r="F175" s="50">
        <f>F168:N168</f>
        <v>0</v>
      </c>
      <c r="G175" s="50">
        <f>G168:V168</f>
        <v>0</v>
      </c>
      <c r="H175" s="50">
        <f t="shared" ref="H175" si="118">H168:Q168</f>
        <v>0</v>
      </c>
      <c r="I175" s="50">
        <f>I168:Q168</f>
        <v>0</v>
      </c>
      <c r="J175" s="50">
        <f>J168:Q168</f>
        <v>0</v>
      </c>
      <c r="K175" s="50">
        <f>K168:Q168</f>
        <v>0</v>
      </c>
      <c r="L175" s="50">
        <f>L168:Q168</f>
        <v>0</v>
      </c>
      <c r="M175" s="50">
        <f>M168:Q168</f>
        <v>0</v>
      </c>
      <c r="N175" s="50">
        <f>N168:Q168</f>
        <v>0</v>
      </c>
      <c r="O175" s="50">
        <f>O168:Q168</f>
        <v>0</v>
      </c>
      <c r="P175" s="50">
        <f>P168:Q168</f>
        <v>0</v>
      </c>
      <c r="Q175" s="50">
        <f>Q168:Q168</f>
        <v>0</v>
      </c>
      <c r="R175" s="50">
        <f>R168:R168</f>
        <v>0</v>
      </c>
    </row>
    <row r="176" spans="1:18" x14ac:dyDescent="0.25">
      <c r="A176" s="41" t="s">
        <v>189</v>
      </c>
      <c r="B176" s="44"/>
      <c r="C176" s="50"/>
      <c r="D176" s="50">
        <f>D1692</f>
        <v>51765</v>
      </c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</row>
    <row r="177" spans="1:18" x14ac:dyDescent="0.25">
      <c r="A177" s="41" t="s">
        <v>190</v>
      </c>
      <c r="B177" s="44"/>
      <c r="C177" s="50">
        <f t="shared" ref="C177:E177" si="119">C1342</f>
        <v>48770</v>
      </c>
      <c r="D177" s="50">
        <f t="shared" si="119"/>
        <v>109922</v>
      </c>
      <c r="E177" s="50">
        <f t="shared" si="119"/>
        <v>112783</v>
      </c>
      <c r="F177" s="50">
        <f>F1342+F1229</f>
        <v>86525</v>
      </c>
      <c r="G177" s="50">
        <f>G1342</f>
        <v>41616</v>
      </c>
      <c r="H177" s="50">
        <f>H1342</f>
        <v>46387</v>
      </c>
      <c r="I177" s="50">
        <f t="shared" ref="I177:R177" si="120">I1342</f>
        <v>103090</v>
      </c>
      <c r="J177" s="50">
        <f t="shared" si="120"/>
        <v>75504</v>
      </c>
      <c r="K177" s="50">
        <f t="shared" si="120"/>
        <v>112361</v>
      </c>
      <c r="L177" s="50">
        <f t="shared" si="120"/>
        <v>58925</v>
      </c>
      <c r="M177" s="50">
        <f t="shared" si="120"/>
        <v>121800</v>
      </c>
      <c r="N177" s="50">
        <f t="shared" si="120"/>
        <v>48628</v>
      </c>
      <c r="O177" s="50">
        <f t="shared" si="120"/>
        <v>48628</v>
      </c>
      <c r="P177" s="50">
        <f t="shared" si="120"/>
        <v>48628</v>
      </c>
      <c r="Q177" s="50">
        <f t="shared" si="120"/>
        <v>48628</v>
      </c>
      <c r="R177" s="50">
        <f t="shared" si="120"/>
        <v>48628</v>
      </c>
    </row>
    <row r="178" spans="1:18" x14ac:dyDescent="0.25">
      <c r="A178" s="41" t="s">
        <v>184</v>
      </c>
      <c r="B178" s="44"/>
      <c r="C178" s="50"/>
      <c r="D178" s="50">
        <f t="shared" ref="D178" si="121">D1393</f>
        <v>0</v>
      </c>
      <c r="E178" s="50">
        <f>E1393</f>
        <v>0</v>
      </c>
      <c r="F178" s="50">
        <f t="shared" ref="F178" si="122">F1393</f>
        <v>0</v>
      </c>
      <c r="G178" s="50">
        <f>G1393</f>
        <v>0</v>
      </c>
      <c r="H178" s="50">
        <f>H1393</f>
        <v>0</v>
      </c>
      <c r="I178" s="50">
        <f t="shared" ref="I178:R178" si="123">I1393</f>
        <v>0</v>
      </c>
      <c r="J178" s="50">
        <f t="shared" si="123"/>
        <v>0</v>
      </c>
      <c r="K178" s="50">
        <f t="shared" si="123"/>
        <v>0</v>
      </c>
      <c r="L178" s="50">
        <f t="shared" si="123"/>
        <v>0</v>
      </c>
      <c r="M178" s="50">
        <f t="shared" si="123"/>
        <v>0</v>
      </c>
      <c r="N178" s="50">
        <f t="shared" si="123"/>
        <v>0</v>
      </c>
      <c r="O178" s="50">
        <f t="shared" si="123"/>
        <v>0</v>
      </c>
      <c r="P178" s="50">
        <f t="shared" si="123"/>
        <v>0</v>
      </c>
      <c r="Q178" s="50">
        <f t="shared" si="123"/>
        <v>0</v>
      </c>
      <c r="R178" s="50">
        <f t="shared" si="123"/>
        <v>0</v>
      </c>
    </row>
    <row r="179" spans="1:18" x14ac:dyDescent="0.25">
      <c r="A179" s="41" t="s">
        <v>172</v>
      </c>
      <c r="B179" s="44"/>
      <c r="C179" s="51">
        <f t="shared" ref="C179:R179" si="124">SUM(C175:C178)</f>
        <v>48770</v>
      </c>
      <c r="D179" s="51">
        <f t="shared" si="124"/>
        <v>161687</v>
      </c>
      <c r="E179" s="51">
        <f t="shared" si="124"/>
        <v>112783</v>
      </c>
      <c r="F179" s="51">
        <f t="shared" si="124"/>
        <v>86525</v>
      </c>
      <c r="G179" s="51">
        <f t="shared" si="124"/>
        <v>41616</v>
      </c>
      <c r="H179" s="51">
        <f t="shared" si="124"/>
        <v>46387</v>
      </c>
      <c r="I179" s="51">
        <f t="shared" si="124"/>
        <v>103090</v>
      </c>
      <c r="J179" s="51">
        <f t="shared" si="124"/>
        <v>75504</v>
      </c>
      <c r="K179" s="51">
        <f t="shared" si="124"/>
        <v>112361</v>
      </c>
      <c r="L179" s="51">
        <f t="shared" si="124"/>
        <v>58925</v>
      </c>
      <c r="M179" s="51">
        <f t="shared" si="124"/>
        <v>121800</v>
      </c>
      <c r="N179" s="51">
        <f t="shared" si="124"/>
        <v>48628</v>
      </c>
      <c r="O179" s="51">
        <f t="shared" si="124"/>
        <v>48628</v>
      </c>
      <c r="P179" s="51">
        <f t="shared" si="124"/>
        <v>48628</v>
      </c>
      <c r="Q179" s="51">
        <f t="shared" si="124"/>
        <v>48628</v>
      </c>
      <c r="R179" s="51">
        <f t="shared" si="124"/>
        <v>48628</v>
      </c>
    </row>
    <row r="180" spans="1:18" x14ac:dyDescent="0.25">
      <c r="A180" s="48"/>
      <c r="B180" s="49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</row>
    <row r="181" spans="1:18" x14ac:dyDescent="0.25">
      <c r="A181" s="48" t="s">
        <v>173</v>
      </c>
      <c r="B181" s="49"/>
      <c r="C181" s="51">
        <f t="shared" ref="C181:R181" si="125">C172-C179</f>
        <v>-48770</v>
      </c>
      <c r="D181" s="51">
        <f t="shared" si="125"/>
        <v>-127657</v>
      </c>
      <c r="E181" s="51">
        <f t="shared" si="125"/>
        <v>-77981</v>
      </c>
      <c r="F181" s="51">
        <f t="shared" si="125"/>
        <v>-86525</v>
      </c>
      <c r="G181" s="51">
        <f t="shared" si="125"/>
        <v>-41616</v>
      </c>
      <c r="H181" s="51">
        <f t="shared" si="125"/>
        <v>-46387</v>
      </c>
      <c r="I181" s="51">
        <f t="shared" si="125"/>
        <v>-103090</v>
      </c>
      <c r="J181" s="51">
        <f t="shared" si="125"/>
        <v>-75504</v>
      </c>
      <c r="K181" s="51">
        <f t="shared" si="125"/>
        <v>-112361</v>
      </c>
      <c r="L181" s="51">
        <f t="shared" si="125"/>
        <v>-58925</v>
      </c>
      <c r="M181" s="51">
        <f t="shared" si="125"/>
        <v>-121800</v>
      </c>
      <c r="N181" s="51">
        <f t="shared" si="125"/>
        <v>-48628</v>
      </c>
      <c r="O181" s="51">
        <f t="shared" si="125"/>
        <v>-48628</v>
      </c>
      <c r="P181" s="51">
        <f t="shared" si="125"/>
        <v>-48628</v>
      </c>
      <c r="Q181" s="51">
        <f t="shared" si="125"/>
        <v>-48628</v>
      </c>
      <c r="R181" s="51">
        <f t="shared" si="125"/>
        <v>-48628</v>
      </c>
    </row>
    <row r="182" spans="1:18" x14ac:dyDescent="0.25">
      <c r="A182" s="48"/>
      <c r="B182" s="49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</row>
    <row r="183" spans="1:18" x14ac:dyDescent="0.25">
      <c r="A183" s="41" t="s">
        <v>191</v>
      </c>
      <c r="B183" s="44"/>
      <c r="C183" s="51">
        <f t="shared" ref="C183:R183" si="126">C181+C163</f>
        <v>-530306.43000000017</v>
      </c>
      <c r="D183" s="51">
        <f t="shared" si="126"/>
        <v>-749539</v>
      </c>
      <c r="E183" s="51">
        <f t="shared" si="126"/>
        <v>-729489</v>
      </c>
      <c r="F183" s="51">
        <f t="shared" si="126"/>
        <v>-635785</v>
      </c>
      <c r="G183" s="51">
        <f t="shared" si="126"/>
        <v>-450263</v>
      </c>
      <c r="H183" s="51">
        <f t="shared" si="126"/>
        <v>-720752</v>
      </c>
      <c r="I183" s="51">
        <f>I181+I163</f>
        <v>-786194.80000000075</v>
      </c>
      <c r="J183" s="51">
        <f t="shared" si="126"/>
        <v>-783894.80919999909</v>
      </c>
      <c r="K183" s="51">
        <f t="shared" si="126"/>
        <v>-854498.86987079913</v>
      </c>
      <c r="L183" s="51">
        <f t="shared" si="126"/>
        <v>-805919.38517032797</v>
      </c>
      <c r="M183" s="51">
        <f t="shared" si="126"/>
        <v>-899317.75786122866</v>
      </c>
      <c r="N183" s="51">
        <f t="shared" si="126"/>
        <v>-855675.42644090811</v>
      </c>
      <c r="O183" s="51">
        <f t="shared" si="126"/>
        <v>-867002.78331526695</v>
      </c>
      <c r="P183" s="51">
        <f t="shared" si="126"/>
        <v>-907309.72135950299</v>
      </c>
      <c r="Q183" s="51">
        <f t="shared" si="126"/>
        <v>-932459.98193384008</v>
      </c>
      <c r="R183" s="51">
        <f t="shared" si="126"/>
        <v>-954447.08844077401</v>
      </c>
    </row>
    <row r="184" spans="1:18" x14ac:dyDescent="0.25">
      <c r="A184" s="41"/>
      <c r="B184" s="44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</row>
    <row r="185" spans="1:18" x14ac:dyDescent="0.25">
      <c r="A185" s="41" t="s">
        <v>162</v>
      </c>
      <c r="B185" s="44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</row>
    <row r="186" spans="1:18" x14ac:dyDescent="0.25">
      <c r="A186" s="48"/>
      <c r="B186" s="44"/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</row>
    <row r="187" spans="1:18" x14ac:dyDescent="0.25">
      <c r="A187" s="48" t="s">
        <v>157</v>
      </c>
      <c r="B187" s="44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</row>
    <row r="188" spans="1:18" x14ac:dyDescent="0.25">
      <c r="A188" s="48"/>
      <c r="B188" s="44"/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</row>
    <row r="189" spans="1:18" x14ac:dyDescent="0.25">
      <c r="A189" s="48" t="s">
        <v>158</v>
      </c>
      <c r="B189" s="44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</row>
    <row r="190" spans="1:18" x14ac:dyDescent="0.25">
      <c r="A190" s="41" t="s">
        <v>190</v>
      </c>
      <c r="B190" s="44"/>
      <c r="C190" s="50">
        <f t="shared" ref="C190:F190" si="127">C1433</f>
        <v>845357</v>
      </c>
      <c r="D190" s="50">
        <f t="shared" si="127"/>
        <v>1206700</v>
      </c>
      <c r="E190" s="50">
        <f t="shared" si="127"/>
        <v>745323</v>
      </c>
      <c r="F190" s="50">
        <f t="shared" si="127"/>
        <v>772689</v>
      </c>
      <c r="G190" s="50">
        <f>G1433</f>
        <v>780640</v>
      </c>
      <c r="H190" s="50">
        <f>H1433</f>
        <v>1719400</v>
      </c>
      <c r="I190" s="50">
        <f t="shared" ref="I190:R190" si="128">I1433</f>
        <v>846473.2</v>
      </c>
      <c r="J190" s="50">
        <f t="shared" si="128"/>
        <v>866428.55680000002</v>
      </c>
      <c r="K190" s="50">
        <f t="shared" si="128"/>
        <v>886862.84216319979</v>
      </c>
      <c r="L190" s="50">
        <f t="shared" si="128"/>
        <v>906915.68753295345</v>
      </c>
      <c r="M190" s="50">
        <f t="shared" si="128"/>
        <v>926537.83265867829</v>
      </c>
      <c r="N190" s="50">
        <f t="shared" si="128"/>
        <v>947503.20280982798</v>
      </c>
      <c r="O190" s="50">
        <f t="shared" si="128"/>
        <v>970815.78288007365</v>
      </c>
      <c r="P190" s="50">
        <f t="shared" si="128"/>
        <v>994711.17745207553</v>
      </c>
      <c r="Q190" s="50">
        <f t="shared" si="128"/>
        <v>1018224.2457109254</v>
      </c>
      <c r="R190" s="50">
        <f t="shared" si="128"/>
        <v>1042301.6276079874</v>
      </c>
    </row>
    <row r="191" spans="1:18" x14ac:dyDescent="0.25">
      <c r="A191" s="41" t="s">
        <v>192</v>
      </c>
      <c r="B191" s="44"/>
      <c r="C191" s="50">
        <f t="shared" ref="C191:F191" si="129">C1565</f>
        <v>766247</v>
      </c>
      <c r="D191" s="50">
        <f t="shared" si="129"/>
        <v>663214</v>
      </c>
      <c r="E191" s="50">
        <f t="shared" si="129"/>
        <v>527097</v>
      </c>
      <c r="F191" s="50">
        <f t="shared" si="129"/>
        <v>376452</v>
      </c>
      <c r="G191" s="50">
        <f>G1565</f>
        <v>451799</v>
      </c>
      <c r="H191" s="50">
        <f>H1565</f>
        <v>623500</v>
      </c>
      <c r="I191" s="50">
        <f t="shared" ref="I191:R191" si="130">I1565</f>
        <v>637840.5</v>
      </c>
      <c r="J191" s="50">
        <f t="shared" si="130"/>
        <v>653148.67200000002</v>
      </c>
      <c r="K191" s="50">
        <f t="shared" si="130"/>
        <v>668824.24012800003</v>
      </c>
      <c r="L191" s="50">
        <f t="shared" si="130"/>
        <v>684207.197650944</v>
      </c>
      <c r="M191" s="50">
        <f t="shared" si="130"/>
        <v>699259.75599926477</v>
      </c>
      <c r="N191" s="50">
        <f t="shared" si="130"/>
        <v>715342.73038724775</v>
      </c>
      <c r="O191" s="50">
        <f t="shared" si="130"/>
        <v>733226.29864692898</v>
      </c>
      <c r="P191" s="50">
        <f t="shared" si="130"/>
        <v>751556.95611310215</v>
      </c>
      <c r="Q191" s="50">
        <f t="shared" si="130"/>
        <v>769594.3230598165</v>
      </c>
      <c r="R191" s="50">
        <f t="shared" si="130"/>
        <v>788064.58681325219</v>
      </c>
    </row>
    <row r="192" spans="1:18" x14ac:dyDescent="0.25">
      <c r="A192" s="41" t="s">
        <v>164</v>
      </c>
      <c r="B192" s="44"/>
      <c r="C192" s="51">
        <f t="shared" ref="C192:R192" si="131">SUM(C190:C191)</f>
        <v>1611604</v>
      </c>
      <c r="D192" s="51">
        <f t="shared" si="131"/>
        <v>1869914</v>
      </c>
      <c r="E192" s="51">
        <f t="shared" si="131"/>
        <v>1272420</v>
      </c>
      <c r="F192" s="51">
        <f t="shared" si="131"/>
        <v>1149141</v>
      </c>
      <c r="G192" s="51">
        <f t="shared" si="131"/>
        <v>1232439</v>
      </c>
      <c r="H192" s="51">
        <f t="shared" si="131"/>
        <v>2342900</v>
      </c>
      <c r="I192" s="51">
        <f t="shared" si="131"/>
        <v>1484313.7</v>
      </c>
      <c r="J192" s="51">
        <f t="shared" si="131"/>
        <v>1519577.2288000002</v>
      </c>
      <c r="K192" s="51">
        <f t="shared" si="131"/>
        <v>1555687.0822911998</v>
      </c>
      <c r="L192" s="51">
        <f t="shared" si="131"/>
        <v>1591122.8851838973</v>
      </c>
      <c r="M192" s="51">
        <f t="shared" si="131"/>
        <v>1625797.5886579431</v>
      </c>
      <c r="N192" s="51">
        <f t="shared" si="131"/>
        <v>1662845.9331970757</v>
      </c>
      <c r="O192" s="51">
        <f t="shared" si="131"/>
        <v>1704042.0815270026</v>
      </c>
      <c r="P192" s="51">
        <f t="shared" si="131"/>
        <v>1746268.1335651777</v>
      </c>
      <c r="Q192" s="51">
        <f t="shared" si="131"/>
        <v>1787818.568770742</v>
      </c>
      <c r="R192" s="51">
        <f t="shared" si="131"/>
        <v>1830366.2144212397</v>
      </c>
    </row>
    <row r="193" spans="1:18" x14ac:dyDescent="0.25">
      <c r="A193" s="48"/>
      <c r="B193" s="44"/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</row>
    <row r="194" spans="1:18" x14ac:dyDescent="0.25">
      <c r="A194" s="41" t="s">
        <v>165</v>
      </c>
      <c r="B194" s="44"/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</row>
    <row r="195" spans="1:18" x14ac:dyDescent="0.25">
      <c r="A195" s="41" t="s">
        <v>190</v>
      </c>
      <c r="B195" s="44"/>
      <c r="C195" s="50">
        <f t="shared" ref="C195:F195" si="132">C1484</f>
        <v>3100277</v>
      </c>
      <c r="D195" s="50">
        <f t="shared" si="132"/>
        <v>3169484</v>
      </c>
      <c r="E195" s="50">
        <f t="shared" si="132"/>
        <v>3054354</v>
      </c>
      <c r="F195" s="50">
        <f t="shared" si="132"/>
        <v>3415433</v>
      </c>
      <c r="G195" s="50">
        <f>G1484</f>
        <v>3139179</v>
      </c>
      <c r="H195" s="50">
        <f>H1484</f>
        <v>3308383</v>
      </c>
      <c r="I195" s="50">
        <f t="shared" ref="I195:R195" si="133">I1484</f>
        <v>3385917.1850000001</v>
      </c>
      <c r="J195" s="50">
        <f t="shared" si="133"/>
        <v>3479047.55914</v>
      </c>
      <c r="K195" s="50">
        <f t="shared" si="133"/>
        <v>3520440.59508686</v>
      </c>
      <c r="L195" s="50">
        <f t="shared" si="133"/>
        <v>3606394.796380633</v>
      </c>
      <c r="M195" s="50">
        <f t="shared" si="133"/>
        <v>3697192.2965648244</v>
      </c>
      <c r="N195" s="50">
        <f t="shared" si="133"/>
        <v>3791942.9474234413</v>
      </c>
      <c r="O195" s="50">
        <f t="shared" si="133"/>
        <v>3895733.8077036315</v>
      </c>
      <c r="P195" s="50">
        <f t="shared" si="133"/>
        <v>4004963.029583971</v>
      </c>
      <c r="Q195" s="50">
        <f t="shared" si="133"/>
        <v>4114678.878302115</v>
      </c>
      <c r="R195" s="50">
        <f t="shared" si="133"/>
        <v>4213640.4646887388</v>
      </c>
    </row>
    <row r="196" spans="1:18" x14ac:dyDescent="0.25">
      <c r="A196" s="41" t="s">
        <v>192</v>
      </c>
      <c r="B196" s="44"/>
      <c r="C196" s="50">
        <f t="shared" ref="C196:F196" si="134">C1585</f>
        <v>128763</v>
      </c>
      <c r="D196" s="50">
        <f t="shared" si="134"/>
        <v>158216</v>
      </c>
      <c r="E196" s="50">
        <f t="shared" si="134"/>
        <v>153923</v>
      </c>
      <c r="F196" s="50">
        <f t="shared" si="134"/>
        <v>141429</v>
      </c>
      <c r="G196" s="50">
        <f>G1585</f>
        <v>142697</v>
      </c>
      <c r="H196" s="50">
        <f>H1585</f>
        <v>148380</v>
      </c>
      <c r="I196" s="50">
        <f t="shared" ref="I196:R196" si="135">I1585</f>
        <v>151883.74999999997</v>
      </c>
      <c r="J196" s="50">
        <f t="shared" si="135"/>
        <v>155698.22574999998</v>
      </c>
      <c r="K196" s="50">
        <f t="shared" si="135"/>
        <v>159456.81247675003</v>
      </c>
      <c r="L196" s="50">
        <f t="shared" si="135"/>
        <v>163314.76084885272</v>
      </c>
      <c r="M196" s="50">
        <f t="shared" si="135"/>
        <v>166989.14498452347</v>
      </c>
      <c r="N196" s="50">
        <f t="shared" si="135"/>
        <v>170973.8809268153</v>
      </c>
      <c r="O196" s="50">
        <f t="shared" si="135"/>
        <v>175411.91377543012</v>
      </c>
      <c r="P196" s="50">
        <f t="shared" si="135"/>
        <v>179938.59211662115</v>
      </c>
      <c r="Q196" s="50">
        <f t="shared" si="135"/>
        <v>184402.14123860162</v>
      </c>
      <c r="R196" s="50">
        <f t="shared" si="135"/>
        <v>187177.57645977859</v>
      </c>
    </row>
    <row r="197" spans="1:18" x14ac:dyDescent="0.25">
      <c r="A197" s="41" t="s">
        <v>166</v>
      </c>
      <c r="B197" s="44"/>
      <c r="C197" s="51">
        <f t="shared" ref="C197:R197" si="136">SUM(C195:C196)</f>
        <v>3229040</v>
      </c>
      <c r="D197" s="51">
        <f t="shared" si="136"/>
        <v>3327700</v>
      </c>
      <c r="E197" s="51">
        <f t="shared" si="136"/>
        <v>3208277</v>
      </c>
      <c r="F197" s="51">
        <f t="shared" si="136"/>
        <v>3556862</v>
      </c>
      <c r="G197" s="51">
        <f t="shared" si="136"/>
        <v>3281876</v>
      </c>
      <c r="H197" s="51">
        <f t="shared" si="136"/>
        <v>3456763</v>
      </c>
      <c r="I197" s="51">
        <f t="shared" si="136"/>
        <v>3537800.9350000001</v>
      </c>
      <c r="J197" s="51">
        <f t="shared" si="136"/>
        <v>3634745.7848899998</v>
      </c>
      <c r="K197" s="51">
        <f t="shared" si="136"/>
        <v>3679897.40756361</v>
      </c>
      <c r="L197" s="51">
        <f t="shared" si="136"/>
        <v>3769709.5572294858</v>
      </c>
      <c r="M197" s="51">
        <f t="shared" si="136"/>
        <v>3864181.4415493477</v>
      </c>
      <c r="N197" s="51">
        <f t="shared" si="136"/>
        <v>3962916.8283502567</v>
      </c>
      <c r="O197" s="51">
        <f t="shared" si="136"/>
        <v>4071145.7214790615</v>
      </c>
      <c r="P197" s="51">
        <f t="shared" si="136"/>
        <v>4184901.6217005923</v>
      </c>
      <c r="Q197" s="51">
        <f t="shared" si="136"/>
        <v>4299081.0195407169</v>
      </c>
      <c r="R197" s="51">
        <f t="shared" si="136"/>
        <v>4400818.0411485173</v>
      </c>
    </row>
    <row r="198" spans="1:18" x14ac:dyDescent="0.25">
      <c r="A198" s="48"/>
      <c r="B198" s="44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</row>
    <row r="199" spans="1:18" x14ac:dyDescent="0.25">
      <c r="A199" s="48" t="s">
        <v>167</v>
      </c>
      <c r="B199" s="44"/>
      <c r="C199" s="51">
        <f t="shared" ref="C199:R199" si="137">C192-C197</f>
        <v>-1617436</v>
      </c>
      <c r="D199" s="51">
        <f t="shared" si="137"/>
        <v>-1457786</v>
      </c>
      <c r="E199" s="51">
        <f t="shared" si="137"/>
        <v>-1935857</v>
      </c>
      <c r="F199" s="51">
        <f t="shared" si="137"/>
        <v>-2407721</v>
      </c>
      <c r="G199" s="51">
        <f t="shared" si="137"/>
        <v>-2049437</v>
      </c>
      <c r="H199" s="51">
        <f t="shared" si="137"/>
        <v>-1113863</v>
      </c>
      <c r="I199" s="51">
        <f t="shared" si="137"/>
        <v>-2053487.2350000001</v>
      </c>
      <c r="J199" s="51">
        <f t="shared" si="137"/>
        <v>-2115168.5560899996</v>
      </c>
      <c r="K199" s="51">
        <f t="shared" si="137"/>
        <v>-2124210.3252724102</v>
      </c>
      <c r="L199" s="51">
        <f t="shared" si="137"/>
        <v>-2178586.6720455885</v>
      </c>
      <c r="M199" s="51">
        <f t="shared" si="137"/>
        <v>-2238383.8528914046</v>
      </c>
      <c r="N199" s="51">
        <f t="shared" si="137"/>
        <v>-2300070.8951531807</v>
      </c>
      <c r="O199" s="51">
        <f t="shared" si="137"/>
        <v>-2367103.6399520589</v>
      </c>
      <c r="P199" s="51">
        <f t="shared" si="137"/>
        <v>-2438633.4881354147</v>
      </c>
      <c r="Q199" s="51">
        <f t="shared" si="137"/>
        <v>-2511262.4507699749</v>
      </c>
      <c r="R199" s="51">
        <f t="shared" si="137"/>
        <v>-2570451.8267272776</v>
      </c>
    </row>
    <row r="200" spans="1:18" x14ac:dyDescent="0.25">
      <c r="A200" s="48"/>
      <c r="B200" s="44"/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</row>
    <row r="201" spans="1:18" x14ac:dyDescent="0.25">
      <c r="A201" s="48" t="s">
        <v>168</v>
      </c>
      <c r="B201" s="44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</row>
    <row r="202" spans="1:18" x14ac:dyDescent="0.25">
      <c r="A202" s="48"/>
      <c r="B202" s="44"/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</row>
    <row r="203" spans="1:18" x14ac:dyDescent="0.25">
      <c r="A203" s="48" t="s">
        <v>169</v>
      </c>
      <c r="B203" s="44"/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</row>
    <row r="204" spans="1:18" x14ac:dyDescent="0.25">
      <c r="A204" s="41" t="s">
        <v>190</v>
      </c>
      <c r="B204" s="44"/>
      <c r="C204" s="50">
        <f t="shared" ref="C204:F204" si="138">C1493</f>
        <v>0</v>
      </c>
      <c r="D204" s="50">
        <f t="shared" si="138"/>
        <v>62487</v>
      </c>
      <c r="E204" s="50">
        <f t="shared" si="138"/>
        <v>119337</v>
      </c>
      <c r="F204" s="50">
        <f t="shared" si="138"/>
        <v>25497</v>
      </c>
      <c r="G204" s="50">
        <f>G1493</f>
        <v>15979</v>
      </c>
      <c r="H204" s="50">
        <f>H1493</f>
        <v>0</v>
      </c>
      <c r="I204" s="50">
        <f t="shared" ref="I204:R204" si="139">I1493</f>
        <v>0</v>
      </c>
      <c r="J204" s="50">
        <f t="shared" si="139"/>
        <v>0</v>
      </c>
      <c r="K204" s="50">
        <f t="shared" si="139"/>
        <v>0</v>
      </c>
      <c r="L204" s="50">
        <f t="shared" si="139"/>
        <v>0</v>
      </c>
      <c r="M204" s="50">
        <f t="shared" si="139"/>
        <v>0</v>
      </c>
      <c r="N204" s="50">
        <f t="shared" si="139"/>
        <v>0</v>
      </c>
      <c r="O204" s="50">
        <f t="shared" si="139"/>
        <v>0</v>
      </c>
      <c r="P204" s="50">
        <f t="shared" si="139"/>
        <v>0</v>
      </c>
      <c r="Q204" s="50">
        <f t="shared" si="139"/>
        <v>0</v>
      </c>
      <c r="R204" s="50">
        <f t="shared" si="139"/>
        <v>0</v>
      </c>
    </row>
    <row r="205" spans="1:18" x14ac:dyDescent="0.25">
      <c r="A205" s="41" t="s">
        <v>192</v>
      </c>
      <c r="B205" s="44"/>
      <c r="C205" s="50">
        <f t="shared" ref="C205:F205" si="140">C1592</f>
        <v>0</v>
      </c>
      <c r="D205" s="50">
        <f t="shared" si="140"/>
        <v>0</v>
      </c>
      <c r="E205" s="50">
        <f t="shared" si="140"/>
        <v>0</v>
      </c>
      <c r="F205" s="50">
        <f t="shared" si="140"/>
        <v>0</v>
      </c>
      <c r="G205" s="50">
        <f>G1592</f>
        <v>0</v>
      </c>
      <c r="H205" s="50">
        <f>H1592</f>
        <v>0</v>
      </c>
      <c r="I205" s="50">
        <f t="shared" ref="I205:R205" si="141">I1592</f>
        <v>0</v>
      </c>
      <c r="J205" s="50">
        <f t="shared" si="141"/>
        <v>0</v>
      </c>
      <c r="K205" s="50">
        <f t="shared" si="141"/>
        <v>0</v>
      </c>
      <c r="L205" s="50">
        <f t="shared" si="141"/>
        <v>0</v>
      </c>
      <c r="M205" s="50">
        <f t="shared" si="141"/>
        <v>0</v>
      </c>
      <c r="N205" s="50">
        <f t="shared" si="141"/>
        <v>0</v>
      </c>
      <c r="O205" s="50">
        <f t="shared" si="141"/>
        <v>0</v>
      </c>
      <c r="P205" s="50">
        <f t="shared" si="141"/>
        <v>0</v>
      </c>
      <c r="Q205" s="50">
        <f t="shared" si="141"/>
        <v>0</v>
      </c>
      <c r="R205" s="50">
        <f t="shared" si="141"/>
        <v>0</v>
      </c>
    </row>
    <row r="206" spans="1:18" x14ac:dyDescent="0.25">
      <c r="A206" s="41" t="s">
        <v>170</v>
      </c>
      <c r="B206" s="44"/>
      <c r="C206" s="51">
        <f t="shared" ref="C206:R206" si="142">SUM(C204:C205)</f>
        <v>0</v>
      </c>
      <c r="D206" s="51">
        <f t="shared" si="142"/>
        <v>62487</v>
      </c>
      <c r="E206" s="51">
        <f t="shared" si="142"/>
        <v>119337</v>
      </c>
      <c r="F206" s="51">
        <f t="shared" si="142"/>
        <v>25497</v>
      </c>
      <c r="G206" s="51">
        <f t="shared" si="142"/>
        <v>15979</v>
      </c>
      <c r="H206" s="51">
        <f t="shared" si="142"/>
        <v>0</v>
      </c>
      <c r="I206" s="51">
        <f t="shared" si="142"/>
        <v>0</v>
      </c>
      <c r="J206" s="51">
        <f t="shared" si="142"/>
        <v>0</v>
      </c>
      <c r="K206" s="51">
        <f t="shared" si="142"/>
        <v>0</v>
      </c>
      <c r="L206" s="51">
        <f t="shared" si="142"/>
        <v>0</v>
      </c>
      <c r="M206" s="51">
        <f t="shared" si="142"/>
        <v>0</v>
      </c>
      <c r="N206" s="51">
        <f t="shared" si="142"/>
        <v>0</v>
      </c>
      <c r="O206" s="51">
        <f t="shared" si="142"/>
        <v>0</v>
      </c>
      <c r="P206" s="51">
        <f t="shared" si="142"/>
        <v>0</v>
      </c>
      <c r="Q206" s="51">
        <f t="shared" si="142"/>
        <v>0</v>
      </c>
      <c r="R206" s="51">
        <f t="shared" si="142"/>
        <v>0</v>
      </c>
    </row>
    <row r="207" spans="1:18" x14ac:dyDescent="0.25">
      <c r="A207" s="48"/>
      <c r="B207" s="44"/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</row>
    <row r="208" spans="1:18" x14ac:dyDescent="0.25">
      <c r="A208" s="41" t="s">
        <v>171</v>
      </c>
      <c r="B208" s="44"/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</row>
    <row r="209" spans="1:18" x14ac:dyDescent="0.25">
      <c r="A209" s="41" t="s">
        <v>190</v>
      </c>
      <c r="B209" s="44"/>
      <c r="C209" s="50">
        <f t="shared" ref="C209:F209" si="143">C1540</f>
        <v>775840</v>
      </c>
      <c r="D209" s="50">
        <f t="shared" si="143"/>
        <v>1113814</v>
      </c>
      <c r="E209" s="50">
        <f t="shared" si="143"/>
        <v>1639125</v>
      </c>
      <c r="F209" s="50">
        <f t="shared" si="143"/>
        <v>864155</v>
      </c>
      <c r="G209" s="50">
        <f>G1540</f>
        <v>769540</v>
      </c>
      <c r="H209" s="50">
        <f>H1540</f>
        <v>1244971</v>
      </c>
      <c r="I209" s="50">
        <f t="shared" ref="I209:R209" si="144">I1540</f>
        <v>1185190</v>
      </c>
      <c r="J209" s="50">
        <f t="shared" si="144"/>
        <v>1305357.76</v>
      </c>
      <c r="K209" s="50">
        <f t="shared" si="144"/>
        <v>1162288.46624</v>
      </c>
      <c r="L209" s="50">
        <f t="shared" si="144"/>
        <v>1164046.82596352</v>
      </c>
      <c r="M209" s="50">
        <f t="shared" si="144"/>
        <v>1246854.5361347175</v>
      </c>
      <c r="N209" s="50">
        <f t="shared" si="144"/>
        <v>1490173.509465816</v>
      </c>
      <c r="O209" s="50">
        <f t="shared" si="144"/>
        <v>1198866.9222024614</v>
      </c>
      <c r="P209" s="50">
        <f t="shared" si="144"/>
        <v>1469563.9202575227</v>
      </c>
      <c r="Q209" s="50">
        <f t="shared" si="144"/>
        <v>1419233.5663437033</v>
      </c>
      <c r="R209" s="50">
        <f t="shared" si="144"/>
        <v>1419381.6839359524</v>
      </c>
    </row>
    <row r="210" spans="1:18" x14ac:dyDescent="0.25">
      <c r="A210" s="41" t="s">
        <v>192</v>
      </c>
      <c r="B210" s="44"/>
      <c r="C210" s="50">
        <f t="shared" ref="C210:F210" si="145">C1613</f>
        <v>470939</v>
      </c>
      <c r="D210" s="50">
        <f t="shared" si="145"/>
        <v>368552</v>
      </c>
      <c r="E210" s="50">
        <f t="shared" si="145"/>
        <v>125576</v>
      </c>
      <c r="F210" s="50">
        <f t="shared" si="145"/>
        <v>32917</v>
      </c>
      <c r="G210" s="50">
        <f>G1613</f>
        <v>22252</v>
      </c>
      <c r="H210" s="50">
        <f>H1613</f>
        <v>48285</v>
      </c>
      <c r="I210" s="50">
        <f t="shared" ref="I210:R210" si="146">I1613</f>
        <v>28965</v>
      </c>
      <c r="J210" s="50">
        <f t="shared" si="146"/>
        <v>29775</v>
      </c>
      <c r="K210" s="50">
        <f t="shared" si="146"/>
        <v>30549</v>
      </c>
      <c r="L210" s="50">
        <f t="shared" si="146"/>
        <v>31343</v>
      </c>
      <c r="M210" s="50">
        <f t="shared" si="146"/>
        <v>26931</v>
      </c>
      <c r="N210" s="50">
        <f t="shared" si="146"/>
        <v>26286</v>
      </c>
      <c r="O210" s="50">
        <f t="shared" si="146"/>
        <v>26286</v>
      </c>
      <c r="P210" s="50">
        <f t="shared" si="146"/>
        <v>26286</v>
      </c>
      <c r="Q210" s="50">
        <f t="shared" si="146"/>
        <v>26286</v>
      </c>
      <c r="R210" s="50">
        <f t="shared" si="146"/>
        <v>26286</v>
      </c>
    </row>
    <row r="211" spans="1:18" x14ac:dyDescent="0.25">
      <c r="A211" s="41" t="s">
        <v>172</v>
      </c>
      <c r="B211" s="44"/>
      <c r="C211" s="51">
        <f t="shared" ref="C211:R211" si="147">SUM(C209:C210)</f>
        <v>1246779</v>
      </c>
      <c r="D211" s="51">
        <f t="shared" si="147"/>
        <v>1482366</v>
      </c>
      <c r="E211" s="51">
        <f t="shared" si="147"/>
        <v>1764701</v>
      </c>
      <c r="F211" s="51">
        <f t="shared" si="147"/>
        <v>897072</v>
      </c>
      <c r="G211" s="51">
        <f t="shared" si="147"/>
        <v>791792</v>
      </c>
      <c r="H211" s="51">
        <f t="shared" si="147"/>
        <v>1293256</v>
      </c>
      <c r="I211" s="51">
        <f t="shared" si="147"/>
        <v>1214155</v>
      </c>
      <c r="J211" s="51">
        <f t="shared" si="147"/>
        <v>1335132.76</v>
      </c>
      <c r="K211" s="51">
        <f t="shared" si="147"/>
        <v>1192837.46624</v>
      </c>
      <c r="L211" s="51">
        <f t="shared" si="147"/>
        <v>1195389.82596352</v>
      </c>
      <c r="M211" s="51">
        <f t="shared" si="147"/>
        <v>1273785.5361347175</v>
      </c>
      <c r="N211" s="51">
        <f t="shared" si="147"/>
        <v>1516459.509465816</v>
      </c>
      <c r="O211" s="51">
        <f t="shared" si="147"/>
        <v>1225152.9222024614</v>
      </c>
      <c r="P211" s="51">
        <f t="shared" si="147"/>
        <v>1495849.9202575227</v>
      </c>
      <c r="Q211" s="51">
        <f t="shared" si="147"/>
        <v>1445519.5663437033</v>
      </c>
      <c r="R211" s="51">
        <f t="shared" si="147"/>
        <v>1445667.6839359524</v>
      </c>
    </row>
    <row r="212" spans="1:18" x14ac:dyDescent="0.25">
      <c r="A212" s="48"/>
      <c r="B212" s="44"/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</row>
    <row r="213" spans="1:18" x14ac:dyDescent="0.25">
      <c r="A213" s="48" t="s">
        <v>173</v>
      </c>
      <c r="B213" s="44"/>
      <c r="C213" s="51">
        <f t="shared" ref="C213:R213" si="148">C206-C211</f>
        <v>-1246779</v>
      </c>
      <c r="D213" s="51">
        <f t="shared" si="148"/>
        <v>-1419879</v>
      </c>
      <c r="E213" s="51">
        <f t="shared" si="148"/>
        <v>-1645364</v>
      </c>
      <c r="F213" s="51">
        <f t="shared" si="148"/>
        <v>-871575</v>
      </c>
      <c r="G213" s="51">
        <f t="shared" si="148"/>
        <v>-775813</v>
      </c>
      <c r="H213" s="51">
        <f t="shared" si="148"/>
        <v>-1293256</v>
      </c>
      <c r="I213" s="51">
        <f t="shared" si="148"/>
        <v>-1214155</v>
      </c>
      <c r="J213" s="51">
        <f t="shared" si="148"/>
        <v>-1335132.76</v>
      </c>
      <c r="K213" s="51">
        <f t="shared" si="148"/>
        <v>-1192837.46624</v>
      </c>
      <c r="L213" s="51">
        <f t="shared" si="148"/>
        <v>-1195389.82596352</v>
      </c>
      <c r="M213" s="51">
        <f t="shared" si="148"/>
        <v>-1273785.5361347175</v>
      </c>
      <c r="N213" s="51">
        <f t="shared" si="148"/>
        <v>-1516459.509465816</v>
      </c>
      <c r="O213" s="51">
        <f t="shared" si="148"/>
        <v>-1225152.9222024614</v>
      </c>
      <c r="P213" s="51">
        <f t="shared" si="148"/>
        <v>-1495849.9202575227</v>
      </c>
      <c r="Q213" s="51">
        <f t="shared" si="148"/>
        <v>-1445519.5663437033</v>
      </c>
      <c r="R213" s="51">
        <f t="shared" si="148"/>
        <v>-1445667.6839359524</v>
      </c>
    </row>
    <row r="214" spans="1:18" x14ac:dyDescent="0.25">
      <c r="A214" s="48"/>
      <c r="B214" s="44"/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</row>
    <row r="215" spans="1:18" x14ac:dyDescent="0.25">
      <c r="A215" s="41" t="s">
        <v>193</v>
      </c>
      <c r="B215" s="44"/>
      <c r="C215" s="51">
        <f t="shared" ref="C215:R215" si="149">C199+C213</f>
        <v>-2864215</v>
      </c>
      <c r="D215" s="51">
        <f t="shared" si="149"/>
        <v>-2877665</v>
      </c>
      <c r="E215" s="51">
        <f t="shared" si="149"/>
        <v>-3581221</v>
      </c>
      <c r="F215" s="51">
        <f t="shared" si="149"/>
        <v>-3279296</v>
      </c>
      <c r="G215" s="51">
        <f t="shared" si="149"/>
        <v>-2825250</v>
      </c>
      <c r="H215" s="51">
        <f t="shared" si="149"/>
        <v>-2407119</v>
      </c>
      <c r="I215" s="51">
        <f t="shared" si="149"/>
        <v>-3267642.2350000003</v>
      </c>
      <c r="J215" s="51">
        <f t="shared" si="149"/>
        <v>-3450301.3160899999</v>
      </c>
      <c r="K215" s="51">
        <f t="shared" si="149"/>
        <v>-3317047.7915124102</v>
      </c>
      <c r="L215" s="51">
        <f t="shared" si="149"/>
        <v>-3373976.4980091085</v>
      </c>
      <c r="M215" s="51">
        <f t="shared" si="149"/>
        <v>-3512169.3890261222</v>
      </c>
      <c r="N215" s="51">
        <f t="shared" si="149"/>
        <v>-3816530.4046189967</v>
      </c>
      <c r="O215" s="51">
        <f t="shared" si="149"/>
        <v>-3592256.5621545203</v>
      </c>
      <c r="P215" s="51">
        <f t="shared" si="149"/>
        <v>-3934483.4083929374</v>
      </c>
      <c r="Q215" s="51">
        <f t="shared" si="149"/>
        <v>-3956782.0171136782</v>
      </c>
      <c r="R215" s="51">
        <f t="shared" si="149"/>
        <v>-4016119.51066323</v>
      </c>
    </row>
    <row r="216" spans="1:18" x14ac:dyDescent="0.25">
      <c r="A216" s="41"/>
      <c r="B216" s="44"/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</row>
    <row r="217" spans="1:18" x14ac:dyDescent="0.25">
      <c r="A217" s="41" t="s">
        <v>163</v>
      </c>
      <c r="B217" s="44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</row>
    <row r="218" spans="1:18" x14ac:dyDescent="0.25">
      <c r="A218" s="48"/>
      <c r="B218" s="49"/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</row>
    <row r="219" spans="1:18" x14ac:dyDescent="0.25">
      <c r="A219" s="48" t="s">
        <v>157</v>
      </c>
      <c r="B219" s="49"/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</row>
    <row r="220" spans="1:18" x14ac:dyDescent="0.25">
      <c r="A220" s="48"/>
      <c r="B220" s="49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</row>
    <row r="221" spans="1:18" x14ac:dyDescent="0.25">
      <c r="A221" s="48" t="s">
        <v>158</v>
      </c>
      <c r="B221" s="49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</row>
    <row r="222" spans="1:18" x14ac:dyDescent="0.25">
      <c r="A222" s="41" t="s">
        <v>194</v>
      </c>
      <c r="B222" s="44"/>
      <c r="C222" s="50">
        <f t="shared" ref="C222:F222" si="150">C1635</f>
        <v>1000</v>
      </c>
      <c r="D222" s="50">
        <f t="shared" si="150"/>
        <v>18432</v>
      </c>
      <c r="E222" s="50">
        <f t="shared" si="150"/>
        <v>0</v>
      </c>
      <c r="F222" s="50">
        <f t="shared" si="150"/>
        <v>66455</v>
      </c>
      <c r="G222" s="50">
        <f>G1635</f>
        <v>71690</v>
      </c>
      <c r="H222" s="50">
        <f>H1635</f>
        <v>272500</v>
      </c>
      <c r="I222" s="50">
        <f t="shared" ref="I222:R222" si="151">I1635</f>
        <v>0</v>
      </c>
      <c r="J222" s="50">
        <f t="shared" si="151"/>
        <v>0</v>
      </c>
      <c r="K222" s="50">
        <f t="shared" si="151"/>
        <v>0</v>
      </c>
      <c r="L222" s="50">
        <f t="shared" si="151"/>
        <v>0</v>
      </c>
      <c r="M222" s="50">
        <f t="shared" si="151"/>
        <v>0</v>
      </c>
      <c r="N222" s="50">
        <f t="shared" si="151"/>
        <v>0</v>
      </c>
      <c r="O222" s="50">
        <f t="shared" si="151"/>
        <v>0</v>
      </c>
      <c r="P222" s="50">
        <f t="shared" si="151"/>
        <v>0</v>
      </c>
      <c r="Q222" s="50">
        <f t="shared" si="151"/>
        <v>0</v>
      </c>
      <c r="R222" s="50">
        <f t="shared" si="151"/>
        <v>0</v>
      </c>
    </row>
    <row r="223" spans="1:18" x14ac:dyDescent="0.25">
      <c r="A223" s="41" t="s">
        <v>195</v>
      </c>
      <c r="B223" s="44"/>
      <c r="C223" s="50"/>
      <c r="D223" s="50"/>
      <c r="E223" s="50"/>
      <c r="F223" s="50">
        <f>F1703</f>
        <v>294703</v>
      </c>
      <c r="G223" s="50">
        <f>G1703</f>
        <v>251</v>
      </c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</row>
    <row r="224" spans="1:18" x14ac:dyDescent="0.25">
      <c r="A224" s="41" t="s">
        <v>196</v>
      </c>
      <c r="B224" s="44"/>
      <c r="C224" s="50">
        <f t="shared" ref="C224:F224" si="152">C1750</f>
        <v>25209</v>
      </c>
      <c r="D224" s="50">
        <f t="shared" si="152"/>
        <v>18037</v>
      </c>
      <c r="E224" s="50">
        <f t="shared" si="152"/>
        <v>16866</v>
      </c>
      <c r="F224" s="50">
        <f t="shared" si="152"/>
        <v>38801</v>
      </c>
      <c r="G224" s="50">
        <f>G1750</f>
        <v>15240</v>
      </c>
      <c r="H224" s="50">
        <f>H1750</f>
        <v>15500</v>
      </c>
      <c r="I224" s="50">
        <f t="shared" ref="I224:R224" si="153">I1750</f>
        <v>15856.499999999998</v>
      </c>
      <c r="J224" s="50">
        <f t="shared" si="153"/>
        <v>16237.055999999999</v>
      </c>
      <c r="K224" s="50">
        <f t="shared" si="153"/>
        <v>16626.745343999999</v>
      </c>
      <c r="L224" s="50">
        <f t="shared" si="153"/>
        <v>17009.160486911998</v>
      </c>
      <c r="M224" s="50">
        <f t="shared" si="153"/>
        <v>17383.362017624062</v>
      </c>
      <c r="N224" s="50">
        <f t="shared" si="153"/>
        <v>17783.179344029413</v>
      </c>
      <c r="O224" s="50">
        <f t="shared" si="153"/>
        <v>18227.758827630147</v>
      </c>
      <c r="P224" s="50">
        <f t="shared" si="153"/>
        <v>18683.452798320897</v>
      </c>
      <c r="Q224" s="50">
        <f t="shared" si="153"/>
        <v>19131.855665480598</v>
      </c>
      <c r="R224" s="50">
        <f t="shared" si="153"/>
        <v>19591.020201452131</v>
      </c>
    </row>
    <row r="225" spans="1:18" x14ac:dyDescent="0.25">
      <c r="A225" s="41" t="s">
        <v>197</v>
      </c>
      <c r="B225" s="44"/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</row>
    <row r="226" spans="1:18" x14ac:dyDescent="0.25">
      <c r="A226" s="41" t="s">
        <v>198</v>
      </c>
      <c r="B226" s="44"/>
      <c r="C226" s="50">
        <f t="shared" ref="C226:F226" si="154">C2142</f>
        <v>8660164</v>
      </c>
      <c r="D226" s="50">
        <f t="shared" si="154"/>
        <v>8957727</v>
      </c>
      <c r="E226" s="50">
        <f t="shared" si="154"/>
        <v>13240813</v>
      </c>
      <c r="F226" s="50">
        <f t="shared" si="154"/>
        <v>9770239</v>
      </c>
      <c r="G226" s="50">
        <f>G2142</f>
        <v>9319067</v>
      </c>
      <c r="H226" s="50">
        <f>H2142</f>
        <v>9565100</v>
      </c>
      <c r="I226" s="50">
        <f t="shared" ref="I226:R226" si="155">I2142</f>
        <v>9895871.1999999993</v>
      </c>
      <c r="J226" s="50">
        <f t="shared" si="155"/>
        <v>10171891.8938</v>
      </c>
      <c r="K226" s="50">
        <f t="shared" si="155"/>
        <v>10403110.798876198</v>
      </c>
      <c r="L226" s="50">
        <f t="shared" si="155"/>
        <v>10607292.588578371</v>
      </c>
      <c r="M226" s="50">
        <f t="shared" si="155"/>
        <v>10855207.217738288</v>
      </c>
      <c r="N226" s="50">
        <f t="shared" si="155"/>
        <v>11191627.344660476</v>
      </c>
      <c r="O226" s="50">
        <f t="shared" si="155"/>
        <v>11513841.254083442</v>
      </c>
      <c r="P226" s="50">
        <f t="shared" si="155"/>
        <v>11848458.01124198</v>
      </c>
      <c r="Q226" s="50">
        <f t="shared" si="155"/>
        <v>12039560.692423178</v>
      </c>
      <c r="R226" s="50">
        <f t="shared" si="155"/>
        <v>12322504.78953035</v>
      </c>
    </row>
    <row r="227" spans="1:18" x14ac:dyDescent="0.25">
      <c r="A227" s="41" t="s">
        <v>199</v>
      </c>
      <c r="B227" s="44"/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</row>
    <row r="228" spans="1:18" x14ac:dyDescent="0.25">
      <c r="A228" s="41" t="s">
        <v>185</v>
      </c>
      <c r="B228" s="44"/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</row>
    <row r="229" spans="1:18" x14ac:dyDescent="0.25">
      <c r="A229" s="41" t="s">
        <v>164</v>
      </c>
      <c r="B229" s="44"/>
      <c r="C229" s="51">
        <f t="shared" ref="C229:F229" si="156">SUM(C222:C228)</f>
        <v>8686373</v>
      </c>
      <c r="D229" s="51">
        <f t="shared" si="156"/>
        <v>8994196</v>
      </c>
      <c r="E229" s="51">
        <f t="shared" si="156"/>
        <v>13257679</v>
      </c>
      <c r="F229" s="51">
        <f t="shared" si="156"/>
        <v>10170198</v>
      </c>
      <c r="G229" s="51">
        <f>SUM(G222:G228)</f>
        <v>9406248</v>
      </c>
      <c r="H229" s="51">
        <f t="shared" ref="H229:R229" si="157">SUM(H222:H228)</f>
        <v>9853100</v>
      </c>
      <c r="I229" s="51">
        <f t="shared" si="157"/>
        <v>9911727.6999999993</v>
      </c>
      <c r="J229" s="51">
        <f t="shared" si="157"/>
        <v>10188128.9498</v>
      </c>
      <c r="K229" s="51">
        <f t="shared" si="157"/>
        <v>10419737.544220198</v>
      </c>
      <c r="L229" s="51">
        <f t="shared" si="157"/>
        <v>10624301.749065284</v>
      </c>
      <c r="M229" s="51">
        <f t="shared" si="157"/>
        <v>10872590.579755912</v>
      </c>
      <c r="N229" s="51">
        <f t="shared" si="157"/>
        <v>11209410.524004506</v>
      </c>
      <c r="O229" s="51">
        <f t="shared" si="157"/>
        <v>11532069.012911072</v>
      </c>
      <c r="P229" s="51">
        <f t="shared" si="157"/>
        <v>11867141.4640403</v>
      </c>
      <c r="Q229" s="51">
        <f t="shared" si="157"/>
        <v>12058692.548088659</v>
      </c>
      <c r="R229" s="51">
        <f t="shared" si="157"/>
        <v>12342095.809731802</v>
      </c>
    </row>
    <row r="230" spans="1:18" x14ac:dyDescent="0.25">
      <c r="A230" s="41"/>
      <c r="B230" s="44"/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</row>
    <row r="231" spans="1:18" x14ac:dyDescent="0.25">
      <c r="A231" s="41" t="s">
        <v>165</v>
      </c>
      <c r="B231" s="44"/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</row>
    <row r="232" spans="1:18" x14ac:dyDescent="0.25">
      <c r="A232" s="41" t="s">
        <v>194</v>
      </c>
      <c r="B232" s="44"/>
      <c r="C232" s="50">
        <f t="shared" ref="C232:F232" si="158">C1685</f>
        <v>861055</v>
      </c>
      <c r="D232" s="50">
        <f t="shared" si="158"/>
        <v>1022002</v>
      </c>
      <c r="E232" s="50">
        <f t="shared" si="158"/>
        <v>1202209.47</v>
      </c>
      <c r="F232" s="50">
        <f t="shared" si="158"/>
        <v>1190465</v>
      </c>
      <c r="G232" s="50">
        <f>G1685</f>
        <v>1302652</v>
      </c>
      <c r="H232" s="50">
        <f>H1685</f>
        <v>1273080</v>
      </c>
      <c r="I232" s="50">
        <f t="shared" ref="I232:R232" si="159">I1685</f>
        <v>1304409.8399999999</v>
      </c>
      <c r="J232" s="50">
        <f t="shared" si="159"/>
        <v>1430630.1810600003</v>
      </c>
      <c r="K232" s="50">
        <f t="shared" si="159"/>
        <v>1376597.6202979397</v>
      </c>
      <c r="L232" s="50">
        <f t="shared" si="159"/>
        <v>1415277.6281759676</v>
      </c>
      <c r="M232" s="50">
        <f t="shared" si="159"/>
        <v>1453706.5581045782</v>
      </c>
      <c r="N232" s="50">
        <f t="shared" si="159"/>
        <v>1593111.4297320067</v>
      </c>
      <c r="O232" s="50">
        <f t="shared" si="159"/>
        <v>1535911.7315253904</v>
      </c>
      <c r="P232" s="50">
        <f t="shared" si="159"/>
        <v>1581492.9281470871</v>
      </c>
      <c r="Q232" s="50">
        <f t="shared" si="159"/>
        <v>1628311.2323646026</v>
      </c>
      <c r="R232" s="50">
        <f t="shared" si="159"/>
        <v>1675936.9396939399</v>
      </c>
    </row>
    <row r="233" spans="1:18" x14ac:dyDescent="0.25">
      <c r="A233" s="41" t="s">
        <v>195</v>
      </c>
      <c r="B233" s="44"/>
      <c r="C233" s="50">
        <f t="shared" ref="C233:F233" si="160">C1717</f>
        <v>439465</v>
      </c>
      <c r="D233" s="50">
        <f t="shared" si="160"/>
        <v>459766</v>
      </c>
      <c r="E233" s="50">
        <f t="shared" si="160"/>
        <v>479098</v>
      </c>
      <c r="F233" s="50">
        <f t="shared" si="160"/>
        <v>762057</v>
      </c>
      <c r="G233" s="50">
        <f>G1717</f>
        <v>504027</v>
      </c>
      <c r="H233" s="50">
        <f>H1717</f>
        <v>666800</v>
      </c>
      <c r="I233" s="50">
        <f t="shared" ref="I233:R233" si="161">I1717</f>
        <v>682953.79999999993</v>
      </c>
      <c r="J233" s="50">
        <f t="shared" si="161"/>
        <v>701439.27869999991</v>
      </c>
      <c r="K233" s="50">
        <f t="shared" si="161"/>
        <v>721291.28414129978</v>
      </c>
      <c r="L233" s="50">
        <f t="shared" si="161"/>
        <v>742325.27524487476</v>
      </c>
      <c r="M233" s="50">
        <f t="shared" si="161"/>
        <v>763247.38449034176</v>
      </c>
      <c r="N233" s="50">
        <f t="shared" si="161"/>
        <v>784118.57891813328</v>
      </c>
      <c r="O233" s="50">
        <f t="shared" si="161"/>
        <v>807137.54311313538</v>
      </c>
      <c r="P233" s="50">
        <f t="shared" si="161"/>
        <v>831848.52532216266</v>
      </c>
      <c r="Q233" s="50">
        <f t="shared" si="161"/>
        <v>857020.27894618292</v>
      </c>
      <c r="R233" s="50">
        <f t="shared" si="161"/>
        <v>882973.20588373346</v>
      </c>
    </row>
    <row r="234" spans="1:18" x14ac:dyDescent="0.25">
      <c r="A234" s="41" t="s">
        <v>196</v>
      </c>
      <c r="B234" s="44"/>
      <c r="C234" s="50">
        <f t="shared" ref="C234:F234" si="162">C1774</f>
        <v>968506</v>
      </c>
      <c r="D234" s="50">
        <f t="shared" si="162"/>
        <v>1033439</v>
      </c>
      <c r="E234" s="50">
        <f t="shared" si="162"/>
        <v>1098586.06</v>
      </c>
      <c r="F234" s="50">
        <f t="shared" si="162"/>
        <v>1039621</v>
      </c>
      <c r="G234" s="50">
        <f>G1774</f>
        <v>1107528</v>
      </c>
      <c r="H234" s="50">
        <f>H1774</f>
        <v>1187700</v>
      </c>
      <c r="I234" s="50">
        <f t="shared" ref="I234:R234" si="163">I1774</f>
        <v>1217161.7</v>
      </c>
      <c r="J234" s="50">
        <f t="shared" si="163"/>
        <v>1251869.1182999997</v>
      </c>
      <c r="K234" s="50">
        <f t="shared" si="163"/>
        <v>1322493.4667891997</v>
      </c>
      <c r="L234" s="50">
        <f t="shared" si="163"/>
        <v>1398300.012493551</v>
      </c>
      <c r="M234" s="50">
        <f t="shared" si="163"/>
        <v>1476506.8000540256</v>
      </c>
      <c r="N234" s="50">
        <f t="shared" si="163"/>
        <v>1555057.691443196</v>
      </c>
      <c r="O234" s="50">
        <f t="shared" si="163"/>
        <v>1640011.5660285268</v>
      </c>
      <c r="P234" s="50">
        <f t="shared" si="163"/>
        <v>1694550.5818336019</v>
      </c>
      <c r="Q234" s="50">
        <f t="shared" si="163"/>
        <v>1750774.2884205082</v>
      </c>
      <c r="R234" s="50">
        <f t="shared" si="163"/>
        <v>1808876.2167146783</v>
      </c>
    </row>
    <row r="235" spans="1:18" x14ac:dyDescent="0.25">
      <c r="A235" s="41" t="s">
        <v>197</v>
      </c>
      <c r="B235" s="44"/>
      <c r="C235" s="50">
        <f t="shared" ref="C235:F235" si="164">C1796</f>
        <v>248591</v>
      </c>
      <c r="D235" s="50">
        <f t="shared" si="164"/>
        <v>273111</v>
      </c>
      <c r="E235" s="50">
        <f t="shared" si="164"/>
        <v>224826</v>
      </c>
      <c r="F235" s="50">
        <f t="shared" si="164"/>
        <v>271187</v>
      </c>
      <c r="G235" s="50">
        <f>G1796</f>
        <v>275679</v>
      </c>
      <c r="H235" s="50">
        <f>H1796</f>
        <v>286200</v>
      </c>
      <c r="I235" s="50">
        <f t="shared" ref="I235:R235" si="165">I1796</f>
        <v>334422.5</v>
      </c>
      <c r="J235" s="50">
        <f t="shared" si="165"/>
        <v>309961.72750000004</v>
      </c>
      <c r="K235" s="50">
        <f t="shared" si="165"/>
        <v>318130.91097249999</v>
      </c>
      <c r="L235" s="50">
        <f t="shared" si="165"/>
        <v>376730.71388899244</v>
      </c>
      <c r="M235" s="50">
        <f t="shared" si="165"/>
        <v>335773.46489349147</v>
      </c>
      <c r="N235" s="50">
        <f t="shared" si="165"/>
        <v>385343.97106199677</v>
      </c>
      <c r="O235" s="50">
        <f t="shared" si="165"/>
        <v>354803.05530878046</v>
      </c>
      <c r="P235" s="50">
        <f t="shared" si="165"/>
        <v>365417.96946343285</v>
      </c>
      <c r="Q235" s="50">
        <f t="shared" si="165"/>
        <v>375592.59768186492</v>
      </c>
      <c r="R235" s="50">
        <f t="shared" si="165"/>
        <v>386180.31407388387</v>
      </c>
    </row>
    <row r="236" spans="1:18" x14ac:dyDescent="0.25">
      <c r="A236" s="41" t="s">
        <v>198</v>
      </c>
      <c r="B236" s="44"/>
      <c r="C236" s="50">
        <f t="shared" ref="C236:F236" si="166">C2160</f>
        <v>381743</v>
      </c>
      <c r="D236" s="50">
        <f t="shared" si="166"/>
        <v>407943</v>
      </c>
      <c r="E236" s="50">
        <f t="shared" si="166"/>
        <v>432985</v>
      </c>
      <c r="F236" s="50">
        <f t="shared" si="166"/>
        <v>448506</v>
      </c>
      <c r="G236" s="50">
        <f>G2160</f>
        <v>433719</v>
      </c>
      <c r="H236" s="50">
        <f>H2160</f>
        <v>465900</v>
      </c>
      <c r="I236" s="50">
        <f t="shared" ref="I236:R236" si="167">I2160</f>
        <v>477295.49999999994</v>
      </c>
      <c r="J236" s="50">
        <f t="shared" si="167"/>
        <v>491825.34199999989</v>
      </c>
      <c r="K236" s="50">
        <f t="shared" si="167"/>
        <v>510141.29777799983</v>
      </c>
      <c r="L236" s="50">
        <f t="shared" si="167"/>
        <v>533943.49640499381</v>
      </c>
      <c r="M236" s="50">
        <f t="shared" si="167"/>
        <v>538127.45661368093</v>
      </c>
      <c r="N236" s="50">
        <f t="shared" si="167"/>
        <v>553493.01209088601</v>
      </c>
      <c r="O236" s="50">
        <f t="shared" si="167"/>
        <v>570401.5460875011</v>
      </c>
      <c r="P236" s="50">
        <f t="shared" si="167"/>
        <v>589180.76564726827</v>
      </c>
      <c r="Q236" s="50">
        <f t="shared" si="167"/>
        <v>608069.48519884446</v>
      </c>
      <c r="R236" s="50">
        <f t="shared" si="167"/>
        <v>627577.71177964367</v>
      </c>
    </row>
    <row r="237" spans="1:18" x14ac:dyDescent="0.25">
      <c r="A237" s="41" t="s">
        <v>199</v>
      </c>
      <c r="B237" s="44"/>
      <c r="C237" s="50">
        <f t="shared" ref="C237:F237" si="168">C2173</f>
        <v>269657</v>
      </c>
      <c r="D237" s="50">
        <f t="shared" si="168"/>
        <v>302291</v>
      </c>
      <c r="E237" s="50">
        <f t="shared" si="168"/>
        <v>269637</v>
      </c>
      <c r="F237" s="50">
        <f t="shared" si="168"/>
        <v>271635</v>
      </c>
      <c r="G237" s="50">
        <f>G2173</f>
        <v>283827</v>
      </c>
      <c r="H237" s="50">
        <f>H2173</f>
        <v>310000</v>
      </c>
      <c r="I237" s="50">
        <f t="shared" ref="I237:R237" si="169">I2173</f>
        <v>317748</v>
      </c>
      <c r="J237" s="50">
        <f t="shared" si="169"/>
        <v>326957.57699999999</v>
      </c>
      <c r="K237" s="50">
        <f t="shared" si="169"/>
        <v>337085.92902299995</v>
      </c>
      <c r="L237" s="50">
        <f t="shared" si="169"/>
        <v>348199.03774827899</v>
      </c>
      <c r="M237" s="50">
        <f t="shared" si="169"/>
        <v>359330.43330429686</v>
      </c>
      <c r="N237" s="50">
        <f t="shared" si="169"/>
        <v>370102.49575283722</v>
      </c>
      <c r="O237" s="50">
        <f t="shared" si="169"/>
        <v>381937.7445036759</v>
      </c>
      <c r="P237" s="50">
        <f t="shared" si="169"/>
        <v>394913.04395683645</v>
      </c>
      <c r="Q237" s="50">
        <f t="shared" si="169"/>
        <v>408328.03361085383</v>
      </c>
      <c r="R237" s="50">
        <f t="shared" si="169"/>
        <v>422198.84362093545</v>
      </c>
    </row>
    <row r="238" spans="1:18" x14ac:dyDescent="0.25">
      <c r="A238" s="41" t="s">
        <v>185</v>
      </c>
      <c r="B238" s="44"/>
      <c r="C238" s="50">
        <f t="shared" ref="C238:F238" si="170">C2188</f>
        <v>217522</v>
      </c>
      <c r="D238" s="50">
        <f t="shared" si="170"/>
        <v>204507</v>
      </c>
      <c r="E238" s="50">
        <f t="shared" si="170"/>
        <v>179307</v>
      </c>
      <c r="F238" s="50">
        <f t="shared" si="170"/>
        <v>147670</v>
      </c>
      <c r="G238" s="50">
        <f>G2188</f>
        <v>146755</v>
      </c>
      <c r="H238" s="50">
        <f>H2188</f>
        <v>151790</v>
      </c>
      <c r="I238" s="50">
        <f t="shared" ref="I238:R238" si="171">I2188</f>
        <v>155276</v>
      </c>
      <c r="J238" s="50">
        <f t="shared" si="171"/>
        <v>156621.144</v>
      </c>
      <c r="K238" s="50">
        <f t="shared" si="171"/>
        <v>160214.251456</v>
      </c>
      <c r="L238" s="50">
        <f t="shared" si="171"/>
        <v>166562.03423948801</v>
      </c>
      <c r="M238" s="50">
        <f t="shared" si="171"/>
        <v>170233.15899275671</v>
      </c>
      <c r="N238" s="50">
        <f t="shared" si="171"/>
        <v>174140.64164959016</v>
      </c>
      <c r="O238" s="50">
        <f t="shared" si="171"/>
        <v>178501.65769082989</v>
      </c>
      <c r="P238" s="50">
        <f t="shared" si="171"/>
        <v>182958.44913310063</v>
      </c>
      <c r="Q238" s="50">
        <f t="shared" si="171"/>
        <v>187344.89191229502</v>
      </c>
      <c r="R238" s="50">
        <f t="shared" si="171"/>
        <v>187996.60931819014</v>
      </c>
    </row>
    <row r="239" spans="1:18" x14ac:dyDescent="0.25">
      <c r="A239" s="41" t="s">
        <v>166</v>
      </c>
      <c r="B239" s="44"/>
      <c r="C239" s="51">
        <f t="shared" ref="C239:R239" si="172">SUM(C232:C238)</f>
        <v>3386539</v>
      </c>
      <c r="D239" s="51">
        <f t="shared" si="172"/>
        <v>3703059</v>
      </c>
      <c r="E239" s="51">
        <f t="shared" si="172"/>
        <v>3886648.5300000003</v>
      </c>
      <c r="F239" s="51">
        <f t="shared" si="172"/>
        <v>4131141</v>
      </c>
      <c r="G239" s="51">
        <f t="shared" si="172"/>
        <v>4054187</v>
      </c>
      <c r="H239" s="51">
        <f t="shared" si="172"/>
        <v>4341470</v>
      </c>
      <c r="I239" s="51">
        <f t="shared" si="172"/>
        <v>4489267.34</v>
      </c>
      <c r="J239" s="51">
        <f t="shared" si="172"/>
        <v>4669304.3685599994</v>
      </c>
      <c r="K239" s="51">
        <f t="shared" si="172"/>
        <v>4745954.7604579404</v>
      </c>
      <c r="L239" s="51">
        <f t="shared" si="172"/>
        <v>4981338.1981961466</v>
      </c>
      <c r="M239" s="51">
        <f t="shared" si="172"/>
        <v>5096925.2564531714</v>
      </c>
      <c r="N239" s="51">
        <f t="shared" si="172"/>
        <v>5415367.820648646</v>
      </c>
      <c r="O239" s="51">
        <f t="shared" si="172"/>
        <v>5468704.844257839</v>
      </c>
      <c r="P239" s="51">
        <f t="shared" si="172"/>
        <v>5640362.26350349</v>
      </c>
      <c r="Q239" s="51">
        <f t="shared" si="172"/>
        <v>5815440.8081351519</v>
      </c>
      <c r="R239" s="51">
        <f t="shared" si="172"/>
        <v>5991739.8410850046</v>
      </c>
    </row>
    <row r="240" spans="1:18" x14ac:dyDescent="0.25">
      <c r="A240" s="48"/>
      <c r="B240" s="49"/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</row>
    <row r="241" spans="1:18" x14ac:dyDescent="0.25">
      <c r="A241" s="48" t="s">
        <v>167</v>
      </c>
      <c r="B241" s="49"/>
      <c r="C241" s="51">
        <f t="shared" ref="C241:R241" si="173">C229-C239</f>
        <v>5299834</v>
      </c>
      <c r="D241" s="51">
        <f t="shared" si="173"/>
        <v>5291137</v>
      </c>
      <c r="E241" s="51">
        <f t="shared" si="173"/>
        <v>9371030.4699999988</v>
      </c>
      <c r="F241" s="51">
        <f t="shared" si="173"/>
        <v>6039057</v>
      </c>
      <c r="G241" s="51">
        <f t="shared" si="173"/>
        <v>5352061</v>
      </c>
      <c r="H241" s="51">
        <f t="shared" si="173"/>
        <v>5511630</v>
      </c>
      <c r="I241" s="51">
        <f t="shared" si="173"/>
        <v>5422460.3599999994</v>
      </c>
      <c r="J241" s="51">
        <f t="shared" si="173"/>
        <v>5518824.5812400002</v>
      </c>
      <c r="K241" s="51">
        <f t="shared" si="173"/>
        <v>5673782.7837622575</v>
      </c>
      <c r="L241" s="51">
        <f t="shared" si="173"/>
        <v>5642963.550869137</v>
      </c>
      <c r="M241" s="51">
        <f t="shared" si="173"/>
        <v>5775665.3233027402</v>
      </c>
      <c r="N241" s="51">
        <f t="shared" si="173"/>
        <v>5794042.70335586</v>
      </c>
      <c r="O241" s="51">
        <f t="shared" si="173"/>
        <v>6063364.168653233</v>
      </c>
      <c r="P241" s="51">
        <f t="shared" si="173"/>
        <v>6226779.2005368099</v>
      </c>
      <c r="Q241" s="51">
        <f t="shared" si="173"/>
        <v>6243251.7399535067</v>
      </c>
      <c r="R241" s="51">
        <f t="shared" si="173"/>
        <v>6350355.9686467974</v>
      </c>
    </row>
    <row r="242" spans="1:18" x14ac:dyDescent="0.25">
      <c r="A242" s="48"/>
      <c r="B242" s="49"/>
      <c r="C242" s="50"/>
      <c r="D242" s="50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</row>
    <row r="243" spans="1:18" x14ac:dyDescent="0.25">
      <c r="A243" s="48" t="s">
        <v>168</v>
      </c>
      <c r="B243" s="49"/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</row>
    <row r="244" spans="1:18" x14ac:dyDescent="0.25">
      <c r="A244" s="48"/>
      <c r="B244" s="49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</row>
    <row r="245" spans="1:18" x14ac:dyDescent="0.25">
      <c r="A245" s="48" t="s">
        <v>169</v>
      </c>
      <c r="B245" s="49"/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</row>
    <row r="246" spans="1:18" x14ac:dyDescent="0.25">
      <c r="A246" s="41" t="s">
        <v>194</v>
      </c>
      <c r="B246" s="44"/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</row>
    <row r="247" spans="1:18" x14ac:dyDescent="0.25">
      <c r="A247" s="41" t="s">
        <v>195</v>
      </c>
      <c r="B247" s="44"/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</row>
    <row r="248" spans="1:18" x14ac:dyDescent="0.25">
      <c r="A248" s="41" t="s">
        <v>196</v>
      </c>
      <c r="B248" s="44"/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</row>
    <row r="249" spans="1:18" x14ac:dyDescent="0.25">
      <c r="A249" s="41" t="s">
        <v>197</v>
      </c>
      <c r="B249" s="44"/>
      <c r="C249" s="50">
        <f t="shared" ref="C249:G249" si="174">C2023</f>
        <v>3125054.42</v>
      </c>
      <c r="D249" s="50">
        <f t="shared" si="174"/>
        <v>4018888</v>
      </c>
      <c r="E249" s="50">
        <f t="shared" si="174"/>
        <v>3789725</v>
      </c>
      <c r="F249" s="50">
        <f t="shared" si="174"/>
        <v>3547253</v>
      </c>
      <c r="G249" s="50">
        <f t="shared" si="174"/>
        <v>2852540.36</v>
      </c>
      <c r="H249" s="50">
        <f>H2023</f>
        <v>3668076.9569942858</v>
      </c>
      <c r="I249" s="50">
        <f t="shared" ref="I249:R249" si="175">I2023</f>
        <v>3178563.6236609523</v>
      </c>
      <c r="J249" s="50">
        <f t="shared" si="175"/>
        <v>3365144.2636609524</v>
      </c>
      <c r="K249" s="50">
        <f t="shared" si="175"/>
        <v>3293922.2184209526</v>
      </c>
      <c r="L249" s="50">
        <f t="shared" si="175"/>
        <v>3360720.6660080329</v>
      </c>
      <c r="M249" s="50">
        <f t="shared" si="175"/>
        <v>3456516.8871640987</v>
      </c>
      <c r="N249" s="50">
        <f t="shared" si="175"/>
        <v>3694756.0608455935</v>
      </c>
      <c r="O249" s="50">
        <f t="shared" si="175"/>
        <v>3490607.766987469</v>
      </c>
      <c r="P249" s="50">
        <f t="shared" si="175"/>
        <v>3766470.6508279061</v>
      </c>
      <c r="Q249" s="50">
        <f t="shared" si="175"/>
        <v>3765573.5190351889</v>
      </c>
      <c r="R249" s="50">
        <f t="shared" si="175"/>
        <v>3819615.6616525617</v>
      </c>
    </row>
    <row r="250" spans="1:18" x14ac:dyDescent="0.25">
      <c r="A250" s="41" t="s">
        <v>198</v>
      </c>
      <c r="B250" s="44"/>
      <c r="C250" s="50"/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</row>
    <row r="251" spans="1:18" x14ac:dyDescent="0.25">
      <c r="A251" s="41" t="s">
        <v>199</v>
      </c>
      <c r="B251" s="44"/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</row>
    <row r="252" spans="1:18" x14ac:dyDescent="0.25">
      <c r="A252" s="41" t="s">
        <v>185</v>
      </c>
      <c r="B252" s="44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</row>
    <row r="253" spans="1:18" x14ac:dyDescent="0.25">
      <c r="A253" s="41" t="s">
        <v>170</v>
      </c>
      <c r="B253" s="44"/>
      <c r="C253" s="51">
        <f t="shared" ref="C253:R253" si="176">SUM(C246:C252)</f>
        <v>3125054.42</v>
      </c>
      <c r="D253" s="51">
        <f t="shared" si="176"/>
        <v>4018888</v>
      </c>
      <c r="E253" s="51">
        <f t="shared" si="176"/>
        <v>3789725</v>
      </c>
      <c r="F253" s="51">
        <f t="shared" si="176"/>
        <v>3547253</v>
      </c>
      <c r="G253" s="51">
        <f t="shared" si="176"/>
        <v>2852540.36</v>
      </c>
      <c r="H253" s="51">
        <f t="shared" si="176"/>
        <v>3668076.9569942858</v>
      </c>
      <c r="I253" s="51">
        <f t="shared" si="176"/>
        <v>3178563.6236609523</v>
      </c>
      <c r="J253" s="51">
        <f t="shared" si="176"/>
        <v>3365144.2636609524</v>
      </c>
      <c r="K253" s="51">
        <f t="shared" si="176"/>
        <v>3293922.2184209526</v>
      </c>
      <c r="L253" s="51">
        <f t="shared" si="176"/>
        <v>3360720.6660080329</v>
      </c>
      <c r="M253" s="51">
        <f t="shared" si="176"/>
        <v>3456516.8871640987</v>
      </c>
      <c r="N253" s="51">
        <f t="shared" si="176"/>
        <v>3694756.0608455935</v>
      </c>
      <c r="O253" s="51">
        <f t="shared" si="176"/>
        <v>3490607.766987469</v>
      </c>
      <c r="P253" s="51">
        <f t="shared" si="176"/>
        <v>3766470.6508279061</v>
      </c>
      <c r="Q253" s="51">
        <f t="shared" si="176"/>
        <v>3765573.5190351889</v>
      </c>
      <c r="R253" s="51">
        <f t="shared" si="176"/>
        <v>3819615.6616525617</v>
      </c>
    </row>
    <row r="254" spans="1:18" x14ac:dyDescent="0.25">
      <c r="A254" s="48"/>
      <c r="B254" s="49"/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</row>
    <row r="255" spans="1:18" x14ac:dyDescent="0.25">
      <c r="A255" s="41" t="s">
        <v>171</v>
      </c>
      <c r="B255" s="44"/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</row>
    <row r="256" spans="1:18" x14ac:dyDescent="0.25">
      <c r="A256" s="41" t="s">
        <v>194</v>
      </c>
      <c r="B256" s="44"/>
      <c r="C256" s="50">
        <v>0</v>
      </c>
      <c r="D256" s="50">
        <f t="shared" ref="D256" si="177">D1692</f>
        <v>51765</v>
      </c>
      <c r="E256" s="50">
        <f>E1692</f>
        <v>0</v>
      </c>
      <c r="F256" s="50">
        <f t="shared" ref="F256" si="178">F1692</f>
        <v>1529</v>
      </c>
      <c r="G256" s="50">
        <f>G1692</f>
        <v>7572</v>
      </c>
      <c r="H256" s="50">
        <f>H1692</f>
        <v>0</v>
      </c>
      <c r="I256" s="50">
        <f t="shared" ref="I256:R256" si="179">I1692</f>
        <v>0</v>
      </c>
      <c r="J256" s="50">
        <f t="shared" si="179"/>
        <v>0</v>
      </c>
      <c r="K256" s="50">
        <f t="shared" si="179"/>
        <v>0</v>
      </c>
      <c r="L256" s="50">
        <f t="shared" si="179"/>
        <v>0</v>
      </c>
      <c r="M256" s="50">
        <f t="shared" si="179"/>
        <v>0</v>
      </c>
      <c r="N256" s="50">
        <f t="shared" si="179"/>
        <v>0</v>
      </c>
      <c r="O256" s="50">
        <f t="shared" si="179"/>
        <v>0</v>
      </c>
      <c r="P256" s="50">
        <f t="shared" si="179"/>
        <v>0</v>
      </c>
      <c r="Q256" s="50">
        <f t="shared" si="179"/>
        <v>0</v>
      </c>
      <c r="R256" s="50">
        <f t="shared" si="179"/>
        <v>0</v>
      </c>
    </row>
    <row r="257" spans="1:18" x14ac:dyDescent="0.25">
      <c r="A257" s="41" t="s">
        <v>195</v>
      </c>
      <c r="B257" s="44"/>
      <c r="C257" s="50">
        <f t="shared" ref="C257:F257" si="180">C1738</f>
        <v>134571</v>
      </c>
      <c r="D257" s="50">
        <f t="shared" si="180"/>
        <v>67472</v>
      </c>
      <c r="E257" s="50">
        <f t="shared" si="180"/>
        <v>41432</v>
      </c>
      <c r="F257" s="50">
        <f t="shared" si="180"/>
        <v>13990</v>
      </c>
      <c r="G257" s="50">
        <f>G1738</f>
        <v>88225.5</v>
      </c>
      <c r="H257" s="50">
        <f>H1738</f>
        <v>581000</v>
      </c>
      <c r="I257" s="50">
        <f t="shared" ref="I257:R257" si="181">I1738</f>
        <v>92000</v>
      </c>
      <c r="J257" s="50">
        <f t="shared" si="181"/>
        <v>55000</v>
      </c>
      <c r="K257" s="50">
        <f t="shared" si="181"/>
        <v>100000</v>
      </c>
      <c r="L257" s="50">
        <f t="shared" si="181"/>
        <v>94000</v>
      </c>
      <c r="M257" s="50">
        <f t="shared" si="181"/>
        <v>55000</v>
      </c>
      <c r="N257" s="50">
        <f t="shared" si="181"/>
        <v>90000</v>
      </c>
      <c r="O257" s="50">
        <f t="shared" si="181"/>
        <v>55000</v>
      </c>
      <c r="P257" s="50">
        <f t="shared" si="181"/>
        <v>55000</v>
      </c>
      <c r="Q257" s="50">
        <f t="shared" si="181"/>
        <v>55000</v>
      </c>
      <c r="R257" s="50">
        <f t="shared" si="181"/>
        <v>55000</v>
      </c>
    </row>
    <row r="258" spans="1:18" x14ac:dyDescent="0.25">
      <c r="A258" s="41" t="s">
        <v>196</v>
      </c>
      <c r="B258" s="44"/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</row>
    <row r="259" spans="1:18" x14ac:dyDescent="0.25">
      <c r="A259" s="41" t="s">
        <v>197</v>
      </c>
      <c r="B259" s="44"/>
      <c r="C259" s="50">
        <f t="shared" ref="C259:F259" si="182">C2106</f>
        <v>1173095</v>
      </c>
      <c r="D259" s="50">
        <f t="shared" si="182"/>
        <v>961606</v>
      </c>
      <c r="E259" s="50">
        <f t="shared" si="182"/>
        <v>1078717</v>
      </c>
      <c r="F259" s="50">
        <f t="shared" si="182"/>
        <v>1033081</v>
      </c>
      <c r="G259" s="50">
        <f>G2106</f>
        <v>2826400.77</v>
      </c>
      <c r="H259" s="50">
        <f>H2106</f>
        <v>1772919.9569942858</v>
      </c>
      <c r="I259" s="50">
        <f t="shared" ref="I259:R259" si="183">I2106</f>
        <v>1165752.6236609523</v>
      </c>
      <c r="J259" s="50">
        <f t="shared" si="183"/>
        <v>1132901.4636609524</v>
      </c>
      <c r="K259" s="50">
        <f t="shared" si="183"/>
        <v>1149484.1155009523</v>
      </c>
      <c r="L259" s="50">
        <f t="shared" si="183"/>
        <v>1174016.2939732724</v>
      </c>
      <c r="M259" s="50">
        <f t="shared" si="183"/>
        <v>1162026.1120883033</v>
      </c>
      <c r="N259" s="50">
        <f t="shared" si="183"/>
        <v>1203097.7851852844</v>
      </c>
      <c r="O259" s="50">
        <f t="shared" si="183"/>
        <v>1210505.3897951494</v>
      </c>
      <c r="P259" s="50">
        <f t="shared" si="183"/>
        <v>1277111.2135456367</v>
      </c>
      <c r="Q259" s="50">
        <f t="shared" si="183"/>
        <v>1305838.1417219378</v>
      </c>
      <c r="R259" s="50">
        <f t="shared" si="183"/>
        <v>1341064.0410393537</v>
      </c>
    </row>
    <row r="260" spans="1:18" x14ac:dyDescent="0.25">
      <c r="A260" s="41" t="s">
        <v>198</v>
      </c>
      <c r="B260" s="44"/>
      <c r="C260" s="50"/>
      <c r="D260" s="50"/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</row>
    <row r="261" spans="1:18" x14ac:dyDescent="0.25">
      <c r="A261" s="41" t="s">
        <v>199</v>
      </c>
      <c r="B261" s="44"/>
      <c r="C261" s="50"/>
      <c r="D261" s="50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</row>
    <row r="262" spans="1:18" x14ac:dyDescent="0.25">
      <c r="A262" s="41" t="s">
        <v>185</v>
      </c>
      <c r="B262" s="44"/>
      <c r="C262" s="50"/>
      <c r="D262" s="50"/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</row>
    <row r="263" spans="1:18" x14ac:dyDescent="0.25">
      <c r="A263" s="41" t="s">
        <v>172</v>
      </c>
      <c r="B263" s="44"/>
      <c r="C263" s="51">
        <f t="shared" ref="C263:R263" si="184">SUM(C256:C262)</f>
        <v>1307666</v>
      </c>
      <c r="D263" s="51">
        <f t="shared" si="184"/>
        <v>1080843</v>
      </c>
      <c r="E263" s="51">
        <f t="shared" si="184"/>
        <v>1120149</v>
      </c>
      <c r="F263" s="51">
        <f t="shared" si="184"/>
        <v>1048600</v>
      </c>
      <c r="G263" s="51">
        <f t="shared" si="184"/>
        <v>2922198.27</v>
      </c>
      <c r="H263" s="51">
        <f t="shared" si="184"/>
        <v>2353919.9569942858</v>
      </c>
      <c r="I263" s="51">
        <f t="shared" si="184"/>
        <v>1257752.6236609523</v>
      </c>
      <c r="J263" s="51">
        <f t="shared" si="184"/>
        <v>1187901.4636609524</v>
      </c>
      <c r="K263" s="51">
        <f t="shared" si="184"/>
        <v>1249484.1155009523</v>
      </c>
      <c r="L263" s="51">
        <f t="shared" si="184"/>
        <v>1268016.2939732724</v>
      </c>
      <c r="M263" s="51">
        <f t="shared" si="184"/>
        <v>1217026.1120883033</v>
      </c>
      <c r="N263" s="51">
        <f t="shared" si="184"/>
        <v>1293097.7851852844</v>
      </c>
      <c r="O263" s="51">
        <f t="shared" si="184"/>
        <v>1265505.3897951494</v>
      </c>
      <c r="P263" s="51">
        <f t="shared" si="184"/>
        <v>1332111.2135456367</v>
      </c>
      <c r="Q263" s="51">
        <f t="shared" si="184"/>
        <v>1360838.1417219378</v>
      </c>
      <c r="R263" s="51">
        <f t="shared" si="184"/>
        <v>1396064.0410393537</v>
      </c>
    </row>
    <row r="264" spans="1:18" x14ac:dyDescent="0.25">
      <c r="A264" s="48"/>
      <c r="B264" s="49"/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</row>
    <row r="265" spans="1:18" x14ac:dyDescent="0.25">
      <c r="A265" s="48" t="s">
        <v>173</v>
      </c>
      <c r="B265" s="49"/>
      <c r="C265" s="51">
        <f t="shared" ref="C265:R265" si="185">C253-C263</f>
        <v>1817388.42</v>
      </c>
      <c r="D265" s="51">
        <f t="shared" si="185"/>
        <v>2938045</v>
      </c>
      <c r="E265" s="51">
        <f t="shared" si="185"/>
        <v>2669576</v>
      </c>
      <c r="F265" s="51">
        <f t="shared" si="185"/>
        <v>2498653</v>
      </c>
      <c r="G265" s="51">
        <f t="shared" si="185"/>
        <v>-69657.910000000149</v>
      </c>
      <c r="H265" s="51">
        <f t="shared" si="185"/>
        <v>1314157</v>
      </c>
      <c r="I265" s="51">
        <f t="shared" si="185"/>
        <v>1920811</v>
      </c>
      <c r="J265" s="51">
        <f t="shared" si="185"/>
        <v>2177242.7999999998</v>
      </c>
      <c r="K265" s="51">
        <f t="shared" si="185"/>
        <v>2044438.1029200002</v>
      </c>
      <c r="L265" s="51">
        <f t="shared" si="185"/>
        <v>2092704.3720347604</v>
      </c>
      <c r="M265" s="51">
        <f t="shared" si="185"/>
        <v>2239490.7750757951</v>
      </c>
      <c r="N265" s="51">
        <f t="shared" si="185"/>
        <v>2401658.275660309</v>
      </c>
      <c r="O265" s="51">
        <f t="shared" si="185"/>
        <v>2225102.3771923194</v>
      </c>
      <c r="P265" s="51">
        <f t="shared" si="185"/>
        <v>2434359.4372822694</v>
      </c>
      <c r="Q265" s="51">
        <f t="shared" si="185"/>
        <v>2404735.3773132511</v>
      </c>
      <c r="R265" s="51">
        <f t="shared" si="185"/>
        <v>2423551.620613208</v>
      </c>
    </row>
    <row r="266" spans="1:18" x14ac:dyDescent="0.25">
      <c r="A266" s="48"/>
      <c r="B266" s="49"/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</row>
    <row r="267" spans="1:18" x14ac:dyDescent="0.25">
      <c r="A267" s="41" t="s">
        <v>200</v>
      </c>
      <c r="B267" s="44"/>
      <c r="C267" s="51">
        <f t="shared" ref="C267:R267" si="186">C265+C241</f>
        <v>7117222.4199999999</v>
      </c>
      <c r="D267" s="51">
        <f t="shared" si="186"/>
        <v>8229182</v>
      </c>
      <c r="E267" s="51">
        <f t="shared" si="186"/>
        <v>12040606.469999999</v>
      </c>
      <c r="F267" s="51">
        <f t="shared" si="186"/>
        <v>8537710</v>
      </c>
      <c r="G267" s="51">
        <f t="shared" si="186"/>
        <v>5282403.09</v>
      </c>
      <c r="H267" s="51">
        <f t="shared" si="186"/>
        <v>6825787</v>
      </c>
      <c r="I267" s="51">
        <f t="shared" si="186"/>
        <v>7343271.3599999994</v>
      </c>
      <c r="J267" s="51">
        <f t="shared" si="186"/>
        <v>7696067.38124</v>
      </c>
      <c r="K267" s="51">
        <f t="shared" si="186"/>
        <v>7718220.886682258</v>
      </c>
      <c r="L267" s="51">
        <f t="shared" si="186"/>
        <v>7735667.9229038972</v>
      </c>
      <c r="M267" s="51">
        <f t="shared" si="186"/>
        <v>8015156.0983785354</v>
      </c>
      <c r="N267" s="51">
        <f t="shared" si="186"/>
        <v>8195700.979016169</v>
      </c>
      <c r="O267" s="51">
        <f t="shared" si="186"/>
        <v>8288466.5458455523</v>
      </c>
      <c r="P267" s="51">
        <f t="shared" si="186"/>
        <v>8661138.6378190797</v>
      </c>
      <c r="Q267" s="51">
        <f t="shared" si="186"/>
        <v>8647987.1172667574</v>
      </c>
      <c r="R267" s="51">
        <f t="shared" si="186"/>
        <v>8773907.5892600045</v>
      </c>
    </row>
    <row r="268" spans="1:18" x14ac:dyDescent="0.25"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</row>
    <row r="269" spans="1:18" x14ac:dyDescent="0.25">
      <c r="C269" s="50"/>
      <c r="D269" s="50"/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</row>
    <row r="270" spans="1:18" x14ac:dyDescent="0.25">
      <c r="C270" s="50"/>
      <c r="D270" s="50"/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</row>
    <row r="271" spans="1:18" x14ac:dyDescent="0.25">
      <c r="A271" s="48" t="s">
        <v>159</v>
      </c>
      <c r="B271" s="44"/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</row>
    <row r="272" spans="1:18" x14ac:dyDescent="0.25">
      <c r="A272" s="41"/>
      <c r="B272" s="44"/>
      <c r="C272" s="50"/>
      <c r="D272" s="50"/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</row>
    <row r="273" spans="1:18" x14ac:dyDescent="0.25">
      <c r="A273" s="41" t="s">
        <v>201</v>
      </c>
      <c r="B273" s="44"/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</row>
    <row r="274" spans="1:18" x14ac:dyDescent="0.25">
      <c r="A274" s="41"/>
      <c r="B274" s="44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</row>
    <row r="275" spans="1:18" x14ac:dyDescent="0.25">
      <c r="A275" s="41" t="s">
        <v>202</v>
      </c>
      <c r="B275" s="44"/>
      <c r="C275" s="50"/>
      <c r="D275" s="50"/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</row>
    <row r="276" spans="1:18" x14ac:dyDescent="0.25"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</row>
    <row r="277" spans="1:18" x14ac:dyDescent="0.25">
      <c r="A277" s="52" t="s">
        <v>203</v>
      </c>
      <c r="B277" s="53"/>
      <c r="C277" s="54">
        <v>148507</v>
      </c>
      <c r="D277" s="54">
        <v>145345</v>
      </c>
      <c r="E277" s="50">
        <f>162122-100-90.91-90.91</f>
        <v>161840.18</v>
      </c>
      <c r="F277" s="50">
        <v>208684</v>
      </c>
      <c r="G277" s="50">
        <v>209826</v>
      </c>
      <c r="H277" s="50">
        <v>223800</v>
      </c>
      <c r="I277" s="54">
        <f>H277*1.023</f>
        <v>228947.4</v>
      </c>
      <c r="J277" s="54">
        <f>I277*1.024</f>
        <v>234442.13759999999</v>
      </c>
      <c r="K277" s="54">
        <f>J277*1.024</f>
        <v>240068.7489024</v>
      </c>
      <c r="L277" s="54">
        <f>K277*1.023</f>
        <v>245590.33012715518</v>
      </c>
      <c r="M277" s="54">
        <f>L277*1.022</f>
        <v>250993.3173899526</v>
      </c>
      <c r="N277" s="54">
        <f>M277*1.023</f>
        <v>256766.16368992149</v>
      </c>
      <c r="O277" s="54">
        <f>N277*1.025</f>
        <v>263185.3177821695</v>
      </c>
      <c r="P277" s="54">
        <f>O277*1.025</f>
        <v>269764.95072672371</v>
      </c>
      <c r="Q277" s="54">
        <f>P277*1.024</f>
        <v>276239.30954416509</v>
      </c>
      <c r="R277" s="54">
        <f>Q277*1.024</f>
        <v>282869.05297322507</v>
      </c>
    </row>
    <row r="278" spans="1:18" x14ac:dyDescent="0.25">
      <c r="A278" s="52" t="s">
        <v>204</v>
      </c>
      <c r="B278" s="53"/>
      <c r="C278" s="54">
        <v>827</v>
      </c>
      <c r="D278" s="54">
        <v>550</v>
      </c>
      <c r="E278" s="43">
        <v>2875</v>
      </c>
      <c r="F278" s="52">
        <v>1229</v>
      </c>
      <c r="G278" s="50">
        <v>1476</v>
      </c>
      <c r="H278" s="50">
        <v>1600</v>
      </c>
      <c r="I278" s="54">
        <f t="shared" ref="I278:I290" si="187">H278*1.023</f>
        <v>1636.8</v>
      </c>
      <c r="J278" s="54">
        <f t="shared" ref="J278:K290" si="188">I278*1.024</f>
        <v>1676.0832</v>
      </c>
      <c r="K278" s="54">
        <f t="shared" si="188"/>
        <v>1716.3091968000001</v>
      </c>
      <c r="L278" s="54">
        <f t="shared" ref="L278:L290" si="189">K278*1.023</f>
        <v>1755.7843083263999</v>
      </c>
      <c r="M278" s="54">
        <f t="shared" ref="M278:M290" si="190">L278*1.022</f>
        <v>1794.4115631095808</v>
      </c>
      <c r="N278" s="54">
        <f t="shared" ref="N278:N290" si="191">M278*1.023</f>
        <v>1835.683029061101</v>
      </c>
      <c r="O278" s="54">
        <f t="shared" ref="O278:P290" si="192">N278*1.025</f>
        <v>1881.5751047876283</v>
      </c>
      <c r="P278" s="54">
        <f t="shared" si="192"/>
        <v>1928.614482407319</v>
      </c>
      <c r="Q278" s="54">
        <f t="shared" ref="Q278:R290" si="193">P278*1.024</f>
        <v>1974.9012299850947</v>
      </c>
      <c r="R278" s="54">
        <f t="shared" si="193"/>
        <v>2022.298859504737</v>
      </c>
    </row>
    <row r="279" spans="1:18" x14ac:dyDescent="0.25">
      <c r="A279" s="52" t="s">
        <v>205</v>
      </c>
      <c r="B279" s="53"/>
      <c r="C279" s="54">
        <v>20077</v>
      </c>
      <c r="D279" s="54">
        <v>22648</v>
      </c>
      <c r="E279" s="43">
        <v>24583</v>
      </c>
      <c r="F279" s="43">
        <v>24284</v>
      </c>
      <c r="G279" s="50">
        <v>21865</v>
      </c>
      <c r="H279" s="50">
        <v>25000</v>
      </c>
      <c r="I279" s="54">
        <f t="shared" si="187"/>
        <v>25574.999999999996</v>
      </c>
      <c r="J279" s="54">
        <f t="shared" si="188"/>
        <v>26188.799999999996</v>
      </c>
      <c r="K279" s="54">
        <f t="shared" si="188"/>
        <v>26817.331199999997</v>
      </c>
      <c r="L279" s="54">
        <f t="shared" si="189"/>
        <v>27434.129817599995</v>
      </c>
      <c r="M279" s="54">
        <f t="shared" si="190"/>
        <v>28037.680673587194</v>
      </c>
      <c r="N279" s="54">
        <f t="shared" si="191"/>
        <v>28682.547329079698</v>
      </c>
      <c r="O279" s="54">
        <f t="shared" si="192"/>
        <v>29399.611012306686</v>
      </c>
      <c r="P279" s="54">
        <f t="shared" si="192"/>
        <v>30134.60128761435</v>
      </c>
      <c r="Q279" s="54">
        <f t="shared" si="193"/>
        <v>30857.831718517096</v>
      </c>
      <c r="R279" s="54">
        <f t="shared" si="193"/>
        <v>31598.419679761508</v>
      </c>
    </row>
    <row r="280" spans="1:18" x14ac:dyDescent="0.25">
      <c r="A280" s="52" t="s">
        <v>206</v>
      </c>
      <c r="B280" s="53"/>
      <c r="C280" s="54">
        <v>8750</v>
      </c>
      <c r="D280" s="54">
        <v>3350</v>
      </c>
      <c r="E280" s="43">
        <v>5745</v>
      </c>
      <c r="F280" s="43">
        <v>4500</v>
      </c>
      <c r="G280" s="50">
        <v>1700</v>
      </c>
      <c r="H280" s="50">
        <v>5000</v>
      </c>
      <c r="I280" s="54">
        <f t="shared" si="187"/>
        <v>5115</v>
      </c>
      <c r="J280" s="54">
        <f t="shared" si="188"/>
        <v>5237.76</v>
      </c>
      <c r="K280" s="54">
        <f t="shared" si="188"/>
        <v>5363.4662400000007</v>
      </c>
      <c r="L280" s="54">
        <f t="shared" si="189"/>
        <v>5486.8259635200002</v>
      </c>
      <c r="M280" s="54">
        <f t="shared" si="190"/>
        <v>5607.5361347174403</v>
      </c>
      <c r="N280" s="54">
        <f t="shared" si="191"/>
        <v>5736.5094658159405</v>
      </c>
      <c r="O280" s="54">
        <f t="shared" si="192"/>
        <v>5879.9222024613382</v>
      </c>
      <c r="P280" s="54">
        <f t="shared" si="192"/>
        <v>6026.920257522871</v>
      </c>
      <c r="Q280" s="54">
        <f t="shared" si="193"/>
        <v>6171.56634370342</v>
      </c>
      <c r="R280" s="54">
        <f t="shared" si="193"/>
        <v>6319.6839359523019</v>
      </c>
    </row>
    <row r="281" spans="1:18" x14ac:dyDescent="0.25">
      <c r="A281" s="52" t="s">
        <v>207</v>
      </c>
      <c r="B281" s="53"/>
      <c r="C281" s="54">
        <v>49716</v>
      </c>
      <c r="D281" s="54">
        <v>50327</v>
      </c>
      <c r="E281" s="43">
        <v>43972</v>
      </c>
      <c r="F281" s="43">
        <v>44315</v>
      </c>
      <c r="G281" s="50">
        <v>42603</v>
      </c>
      <c r="H281" s="50">
        <v>45000</v>
      </c>
      <c r="I281" s="54">
        <f t="shared" si="187"/>
        <v>46034.999999999993</v>
      </c>
      <c r="J281" s="54">
        <f t="shared" si="188"/>
        <v>47139.839999999997</v>
      </c>
      <c r="K281" s="54">
        <f t="shared" si="188"/>
        <v>48271.19616</v>
      </c>
      <c r="L281" s="54">
        <f t="shared" si="189"/>
        <v>49381.433671679995</v>
      </c>
      <c r="M281" s="54">
        <f t="shared" si="190"/>
        <v>50467.825212456955</v>
      </c>
      <c r="N281" s="54">
        <f t="shared" si="191"/>
        <v>51628.58519234346</v>
      </c>
      <c r="O281" s="54">
        <f t="shared" si="192"/>
        <v>52919.299822152039</v>
      </c>
      <c r="P281" s="54">
        <f t="shared" si="192"/>
        <v>54242.282317705838</v>
      </c>
      <c r="Q281" s="54">
        <f t="shared" si="193"/>
        <v>55544.097093330776</v>
      </c>
      <c r="R281" s="54">
        <f t="shared" si="193"/>
        <v>56877.155423570715</v>
      </c>
    </row>
    <row r="282" spans="1:18" x14ac:dyDescent="0.25">
      <c r="A282" s="52" t="s">
        <v>208</v>
      </c>
      <c r="B282" s="53"/>
      <c r="C282" s="54">
        <v>15695</v>
      </c>
      <c r="D282" s="54">
        <v>16040</v>
      </c>
      <c r="E282" s="43">
        <v>21510</v>
      </c>
      <c r="F282" s="43">
        <v>24335</v>
      </c>
      <c r="G282" s="50">
        <v>25004</v>
      </c>
      <c r="H282" s="50">
        <v>24000</v>
      </c>
      <c r="I282" s="54">
        <f t="shared" si="187"/>
        <v>24551.999999999996</v>
      </c>
      <c r="J282" s="54">
        <f t="shared" si="188"/>
        <v>25141.247999999996</v>
      </c>
      <c r="K282" s="54">
        <f t="shared" si="188"/>
        <v>25744.637951999997</v>
      </c>
      <c r="L282" s="54">
        <f t="shared" si="189"/>
        <v>26336.764624895994</v>
      </c>
      <c r="M282" s="54">
        <f t="shared" si="190"/>
        <v>26916.173446643705</v>
      </c>
      <c r="N282" s="54">
        <f t="shared" si="191"/>
        <v>27535.245435916506</v>
      </c>
      <c r="O282" s="54">
        <f t="shared" si="192"/>
        <v>28223.626571814417</v>
      </c>
      <c r="P282" s="54">
        <f t="shared" si="192"/>
        <v>28929.217236109776</v>
      </c>
      <c r="Q282" s="54">
        <f t="shared" si="193"/>
        <v>29623.518449776413</v>
      </c>
      <c r="R282" s="54">
        <f t="shared" si="193"/>
        <v>30334.482892571046</v>
      </c>
    </row>
    <row r="283" spans="1:18" x14ac:dyDescent="0.25">
      <c r="A283" s="52" t="s">
        <v>23</v>
      </c>
      <c r="B283" s="53"/>
      <c r="C283" s="54">
        <f>9691+90+2883+90+4091+1430+12153</f>
        <v>30428</v>
      </c>
      <c r="D283" s="54">
        <v>25145</v>
      </c>
      <c r="E283" s="50">
        <f>10473+10132+210+3273+2870+6040+31.82</f>
        <v>33029.82</v>
      </c>
      <c r="F283" s="50">
        <v>24028</v>
      </c>
      <c r="G283" s="50">
        <v>25029</v>
      </c>
      <c r="H283" s="50">
        <v>26000</v>
      </c>
      <c r="I283" s="54">
        <f t="shared" si="187"/>
        <v>26597.999999999996</v>
      </c>
      <c r="J283" s="54">
        <f t="shared" si="188"/>
        <v>27236.351999999995</v>
      </c>
      <c r="K283" s="54">
        <f t="shared" si="188"/>
        <v>27890.024447999996</v>
      </c>
      <c r="L283" s="54">
        <f t="shared" si="189"/>
        <v>28531.495010303996</v>
      </c>
      <c r="M283" s="54">
        <f t="shared" si="190"/>
        <v>29159.187900530684</v>
      </c>
      <c r="N283" s="54">
        <f t="shared" si="191"/>
        <v>29829.849222242887</v>
      </c>
      <c r="O283" s="54">
        <f t="shared" si="192"/>
        <v>30575.595452798956</v>
      </c>
      <c r="P283" s="54">
        <f t="shared" si="192"/>
        <v>31339.985339118928</v>
      </c>
      <c r="Q283" s="54">
        <f t="shared" si="193"/>
        <v>32092.144987257783</v>
      </c>
      <c r="R283" s="54">
        <f t="shared" si="193"/>
        <v>32862.356466951969</v>
      </c>
    </row>
    <row r="284" spans="1:18" x14ac:dyDescent="0.25">
      <c r="A284" s="52" t="s">
        <v>209</v>
      </c>
      <c r="B284" s="53"/>
      <c r="C284" s="54">
        <f>11851+8208</f>
        <v>20059</v>
      </c>
      <c r="D284" s="54">
        <v>13835</v>
      </c>
      <c r="E284" s="50">
        <f>4280+8407-337.5</f>
        <v>12349.5</v>
      </c>
      <c r="F284" s="50">
        <v>9505</v>
      </c>
      <c r="G284" s="50">
        <v>13446</v>
      </c>
      <c r="H284" s="50">
        <v>13300</v>
      </c>
      <c r="I284" s="54">
        <f t="shared" si="187"/>
        <v>13605.9</v>
      </c>
      <c r="J284" s="54">
        <f t="shared" si="188"/>
        <v>13932.4416</v>
      </c>
      <c r="K284" s="54">
        <f t="shared" si="188"/>
        <v>14266.820198400001</v>
      </c>
      <c r="L284" s="54">
        <f t="shared" si="189"/>
        <v>14594.9570629632</v>
      </c>
      <c r="M284" s="54">
        <f t="shared" si="190"/>
        <v>14916.046118348391</v>
      </c>
      <c r="N284" s="54">
        <f t="shared" si="191"/>
        <v>15259.115179070403</v>
      </c>
      <c r="O284" s="54">
        <f t="shared" si="192"/>
        <v>15640.593058547161</v>
      </c>
      <c r="P284" s="54">
        <f t="shared" si="192"/>
        <v>16031.607885010839</v>
      </c>
      <c r="Q284" s="54">
        <f t="shared" si="193"/>
        <v>16416.366474251099</v>
      </c>
      <c r="R284" s="54">
        <f t="shared" si="193"/>
        <v>16810.359269633125</v>
      </c>
    </row>
    <row r="285" spans="1:18" x14ac:dyDescent="0.25">
      <c r="A285" s="52" t="s">
        <v>210</v>
      </c>
      <c r="B285" s="53"/>
      <c r="C285" s="54">
        <v>2041</v>
      </c>
      <c r="D285" s="54">
        <v>1246</v>
      </c>
      <c r="E285" s="43">
        <v>2506</v>
      </c>
      <c r="F285" s="50">
        <v>741</v>
      </c>
      <c r="G285" s="50">
        <v>0</v>
      </c>
      <c r="H285" s="50">
        <v>2000</v>
      </c>
      <c r="I285" s="54">
        <f t="shared" si="187"/>
        <v>2045.9999999999998</v>
      </c>
      <c r="J285" s="54">
        <f t="shared" si="188"/>
        <v>2095.1039999999998</v>
      </c>
      <c r="K285" s="54">
        <f t="shared" si="188"/>
        <v>2145.3864960000001</v>
      </c>
      <c r="L285" s="54">
        <f t="shared" si="189"/>
        <v>2194.7303854080001</v>
      </c>
      <c r="M285" s="54">
        <f t="shared" si="190"/>
        <v>2243.0144538869763</v>
      </c>
      <c r="N285" s="54">
        <f t="shared" si="191"/>
        <v>2294.6037863263764</v>
      </c>
      <c r="O285" s="54">
        <f t="shared" si="192"/>
        <v>2351.9688809845356</v>
      </c>
      <c r="P285" s="54">
        <f t="shared" si="192"/>
        <v>2410.7681030091489</v>
      </c>
      <c r="Q285" s="54">
        <f t="shared" si="193"/>
        <v>2468.6265374813684</v>
      </c>
      <c r="R285" s="54">
        <f t="shared" si="193"/>
        <v>2527.8735743809211</v>
      </c>
    </row>
    <row r="286" spans="1:18" x14ac:dyDescent="0.25">
      <c r="A286" s="52" t="s">
        <v>211</v>
      </c>
      <c r="B286" s="53"/>
      <c r="C286" s="54">
        <v>2230</v>
      </c>
      <c r="D286" s="50">
        <f>2250+370+18</f>
        <v>2638</v>
      </c>
      <c r="E286" s="43">
        <v>2595</v>
      </c>
      <c r="F286" s="50">
        <v>5627</v>
      </c>
      <c r="G286" s="50">
        <v>1220</v>
      </c>
      <c r="H286" s="50">
        <v>4100</v>
      </c>
      <c r="I286" s="54">
        <f t="shared" si="187"/>
        <v>4194.2999999999993</v>
      </c>
      <c r="J286" s="54">
        <f t="shared" si="188"/>
        <v>4294.9631999999992</v>
      </c>
      <c r="K286" s="54">
        <f t="shared" si="188"/>
        <v>4398.0423167999998</v>
      </c>
      <c r="L286" s="54">
        <f t="shared" si="189"/>
        <v>4499.1972900863993</v>
      </c>
      <c r="M286" s="54">
        <f t="shared" si="190"/>
        <v>4598.1796304683003</v>
      </c>
      <c r="N286" s="54">
        <f t="shared" si="191"/>
        <v>4703.9377619690704</v>
      </c>
      <c r="O286" s="54">
        <f t="shared" si="192"/>
        <v>4821.536206018297</v>
      </c>
      <c r="P286" s="54">
        <f t="shared" si="192"/>
        <v>4942.074611168754</v>
      </c>
      <c r="Q286" s="54">
        <f t="shared" si="193"/>
        <v>5060.6844018368038</v>
      </c>
      <c r="R286" s="54">
        <f t="shared" si="193"/>
        <v>5182.1408274808873</v>
      </c>
    </row>
    <row r="287" spans="1:18" x14ac:dyDescent="0.25">
      <c r="A287" s="52" t="s">
        <v>212</v>
      </c>
      <c r="B287" s="53"/>
      <c r="C287" s="54">
        <v>3808</v>
      </c>
      <c r="D287" s="54">
        <v>1250</v>
      </c>
      <c r="E287" s="43">
        <v>5749</v>
      </c>
      <c r="F287" s="50">
        <v>6438</v>
      </c>
      <c r="G287" s="50">
        <v>8640</v>
      </c>
      <c r="H287" s="50">
        <v>5500</v>
      </c>
      <c r="I287" s="54">
        <f t="shared" si="187"/>
        <v>5626.4999999999991</v>
      </c>
      <c r="J287" s="54">
        <f t="shared" si="188"/>
        <v>5761.5359999999991</v>
      </c>
      <c r="K287" s="54">
        <f t="shared" si="188"/>
        <v>5899.8128639999995</v>
      </c>
      <c r="L287" s="54">
        <f t="shared" si="189"/>
        <v>6035.5085598719988</v>
      </c>
      <c r="M287" s="54">
        <f t="shared" si="190"/>
        <v>6168.2897481891832</v>
      </c>
      <c r="N287" s="54">
        <f t="shared" si="191"/>
        <v>6310.1604123975339</v>
      </c>
      <c r="O287" s="54">
        <f t="shared" si="192"/>
        <v>6467.9144227074721</v>
      </c>
      <c r="P287" s="54">
        <f t="shared" si="192"/>
        <v>6629.612283275158</v>
      </c>
      <c r="Q287" s="54">
        <f t="shared" si="193"/>
        <v>6788.7229780737616</v>
      </c>
      <c r="R287" s="54">
        <f t="shared" si="193"/>
        <v>6951.6523295475317</v>
      </c>
    </row>
    <row r="288" spans="1:18" x14ac:dyDescent="0.25">
      <c r="A288" s="52" t="s">
        <v>213</v>
      </c>
      <c r="B288" s="53"/>
      <c r="C288" s="54">
        <v>8164</v>
      </c>
      <c r="D288" s="54">
        <v>936</v>
      </c>
      <c r="E288" s="50">
        <f>3712-321.75</f>
        <v>3390.25</v>
      </c>
      <c r="F288" s="50">
        <v>227</v>
      </c>
      <c r="G288" s="50">
        <v>221</v>
      </c>
      <c r="H288" s="50">
        <v>500</v>
      </c>
      <c r="I288" s="54">
        <f t="shared" si="187"/>
        <v>511.49999999999994</v>
      </c>
      <c r="J288" s="54">
        <f t="shared" si="188"/>
        <v>523.77599999999995</v>
      </c>
      <c r="K288" s="54">
        <f t="shared" si="188"/>
        <v>536.34662400000002</v>
      </c>
      <c r="L288" s="54">
        <f t="shared" si="189"/>
        <v>548.68259635200002</v>
      </c>
      <c r="M288" s="54">
        <f t="shared" si="190"/>
        <v>560.75361347174407</v>
      </c>
      <c r="N288" s="54">
        <f t="shared" si="191"/>
        <v>573.6509465815941</v>
      </c>
      <c r="O288" s="54">
        <f t="shared" si="192"/>
        <v>587.99222024613391</v>
      </c>
      <c r="P288" s="54">
        <f t="shared" si="192"/>
        <v>602.69202575228724</v>
      </c>
      <c r="Q288" s="54">
        <f t="shared" si="193"/>
        <v>617.15663437034209</v>
      </c>
      <c r="R288" s="54">
        <f t="shared" si="193"/>
        <v>631.96839359523028</v>
      </c>
    </row>
    <row r="289" spans="1:18" x14ac:dyDescent="0.25">
      <c r="A289" s="52" t="s">
        <v>214</v>
      </c>
      <c r="B289" s="53"/>
      <c r="C289" s="54">
        <v>1242</v>
      </c>
      <c r="D289" s="54">
        <v>1314</v>
      </c>
      <c r="E289" s="43">
        <f>882+72</f>
        <v>954</v>
      </c>
      <c r="F289" s="50">
        <v>972</v>
      </c>
      <c r="G289" s="50">
        <v>1206</v>
      </c>
      <c r="H289" s="50">
        <v>1200</v>
      </c>
      <c r="I289" s="54">
        <f t="shared" si="187"/>
        <v>1227.5999999999999</v>
      </c>
      <c r="J289" s="54">
        <f t="shared" si="188"/>
        <v>1257.0624</v>
      </c>
      <c r="K289" s="54">
        <f t="shared" si="188"/>
        <v>1287.2318976000001</v>
      </c>
      <c r="L289" s="54">
        <f t="shared" si="189"/>
        <v>1316.8382312448</v>
      </c>
      <c r="M289" s="54">
        <f t="shared" si="190"/>
        <v>1345.8086723321856</v>
      </c>
      <c r="N289" s="54">
        <f t="shared" si="191"/>
        <v>1376.7622717958257</v>
      </c>
      <c r="O289" s="54">
        <f t="shared" si="192"/>
        <v>1411.1813285907213</v>
      </c>
      <c r="P289" s="54">
        <f t="shared" si="192"/>
        <v>1446.4608618054892</v>
      </c>
      <c r="Q289" s="54">
        <f t="shared" si="193"/>
        <v>1481.175922488821</v>
      </c>
      <c r="R289" s="54">
        <f t="shared" si="193"/>
        <v>1516.7241446285527</v>
      </c>
    </row>
    <row r="290" spans="1:18" x14ac:dyDescent="0.25">
      <c r="A290" s="52" t="s">
        <v>215</v>
      </c>
      <c r="B290" s="53"/>
      <c r="C290" s="54"/>
      <c r="D290" s="50">
        <v>2000</v>
      </c>
      <c r="E290" s="50">
        <v>0</v>
      </c>
      <c r="F290" s="50">
        <v>0</v>
      </c>
      <c r="G290" s="50">
        <v>0</v>
      </c>
      <c r="H290" s="50">
        <v>0</v>
      </c>
      <c r="I290" s="54">
        <f t="shared" si="187"/>
        <v>0</v>
      </c>
      <c r="J290" s="54">
        <f t="shared" si="188"/>
        <v>0</v>
      </c>
      <c r="K290" s="54">
        <f t="shared" si="188"/>
        <v>0</v>
      </c>
      <c r="L290" s="54">
        <f t="shared" si="189"/>
        <v>0</v>
      </c>
      <c r="M290" s="54">
        <f t="shared" si="190"/>
        <v>0</v>
      </c>
      <c r="N290" s="54">
        <f t="shared" si="191"/>
        <v>0</v>
      </c>
      <c r="O290" s="54">
        <f t="shared" si="192"/>
        <v>0</v>
      </c>
      <c r="P290" s="54">
        <f t="shared" si="192"/>
        <v>0</v>
      </c>
      <c r="Q290" s="54">
        <f t="shared" si="193"/>
        <v>0</v>
      </c>
      <c r="R290" s="54">
        <f t="shared" si="193"/>
        <v>0</v>
      </c>
    </row>
    <row r="291" spans="1:18" x14ac:dyDescent="0.25">
      <c r="A291" s="41"/>
      <c r="B291" s="44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</row>
    <row r="292" spans="1:18" x14ac:dyDescent="0.25">
      <c r="A292" s="41" t="s">
        <v>216</v>
      </c>
      <c r="B292" s="44"/>
      <c r="C292" s="51">
        <f t="shared" ref="C292:Q292" si="194">SUM(C277:C291)</f>
        <v>311544</v>
      </c>
      <c r="D292" s="51">
        <f t="shared" si="194"/>
        <v>286624</v>
      </c>
      <c r="E292" s="51">
        <f t="shared" si="194"/>
        <v>321098.75</v>
      </c>
      <c r="F292" s="51">
        <f t="shared" ref="F292:G292" si="195">SUM(F277:F291)</f>
        <v>354885</v>
      </c>
      <c r="G292" s="51">
        <f t="shared" si="195"/>
        <v>352236</v>
      </c>
      <c r="H292" s="51">
        <f t="shared" si="194"/>
        <v>377000</v>
      </c>
      <c r="I292" s="51">
        <f t="shared" si="194"/>
        <v>385670.99999999994</v>
      </c>
      <c r="J292" s="51">
        <f t="shared" si="194"/>
        <v>394927.10400000011</v>
      </c>
      <c r="K292" s="51">
        <f t="shared" si="194"/>
        <v>404405.35449599993</v>
      </c>
      <c r="L292" s="51">
        <f t="shared" si="194"/>
        <v>413706.67764940794</v>
      </c>
      <c r="M292" s="51">
        <f t="shared" si="194"/>
        <v>422808.22455769486</v>
      </c>
      <c r="N292" s="51">
        <f t="shared" si="194"/>
        <v>432532.81372252188</v>
      </c>
      <c r="O292" s="51">
        <f t="shared" si="194"/>
        <v>443346.13406558486</v>
      </c>
      <c r="P292" s="51">
        <f t="shared" si="194"/>
        <v>454429.78741722455</v>
      </c>
      <c r="Q292" s="51">
        <f t="shared" si="194"/>
        <v>465336.10231523786</v>
      </c>
      <c r="R292" s="51">
        <f t="shared" ref="R292" si="196">SUM(R277:R291)</f>
        <v>476504.16877080366</v>
      </c>
    </row>
    <row r="293" spans="1:18" x14ac:dyDescent="0.25">
      <c r="C293" s="50"/>
      <c r="D293" s="50"/>
      <c r="E293" s="50"/>
      <c r="F293" s="50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</row>
    <row r="294" spans="1:18" x14ac:dyDescent="0.25">
      <c r="A294" s="41" t="s">
        <v>165</v>
      </c>
      <c r="B294" s="44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</row>
    <row r="295" spans="1:18" x14ac:dyDescent="0.25">
      <c r="C295" s="50"/>
      <c r="D295" s="50"/>
      <c r="E295" s="55"/>
      <c r="F295" s="55"/>
      <c r="G295" s="56"/>
      <c r="H295" s="55"/>
      <c r="I295" s="50"/>
      <c r="J295" s="50"/>
      <c r="K295" s="50"/>
      <c r="L295" s="50"/>
      <c r="M295" s="50"/>
      <c r="N295" s="50"/>
      <c r="O295" s="50"/>
      <c r="P295" s="50"/>
      <c r="Q295" s="50"/>
      <c r="R295" s="50"/>
    </row>
    <row r="296" spans="1:18" x14ac:dyDescent="0.25">
      <c r="A296" s="43" t="s">
        <v>217</v>
      </c>
      <c r="C296" s="54">
        <f>433291+39852</f>
        <v>473143</v>
      </c>
      <c r="D296" s="54">
        <f>461082+16151</f>
        <v>477233</v>
      </c>
      <c r="E296" s="50">
        <f>451852+5022.08-1320-1380-1460-1461.76+862.06+574.71+862.06</f>
        <v>453551.15</v>
      </c>
      <c r="F296" s="43">
        <v>429350</v>
      </c>
      <c r="G296" s="43">
        <v>502442</v>
      </c>
      <c r="H296" s="43">
        <v>552800</v>
      </c>
      <c r="I296" s="50">
        <f>H296*1.025</f>
        <v>566620</v>
      </c>
      <c r="J296" s="50">
        <f>I296*1.029</f>
        <v>583051.98</v>
      </c>
      <c r="K296" s="54">
        <f>J296*1.031</f>
        <v>601126.59137999988</v>
      </c>
      <c r="L296" s="54">
        <f>K296*1.033</f>
        <v>620963.7688955398</v>
      </c>
      <c r="M296" s="54">
        <f>L296*1.032</f>
        <v>640834.60950019711</v>
      </c>
      <c r="N296" s="54">
        <f>M296*1.03</f>
        <v>660059.64778520307</v>
      </c>
      <c r="O296" s="54">
        <f>N296*1.032</f>
        <v>681181.55651432963</v>
      </c>
      <c r="P296" s="54">
        <f>O296*1.034</f>
        <v>704341.72943581687</v>
      </c>
      <c r="Q296" s="54">
        <f>P296*1.034</f>
        <v>728289.34823663463</v>
      </c>
      <c r="R296" s="54">
        <f>Q296*1.034</f>
        <v>753051.1860766802</v>
      </c>
    </row>
    <row r="297" spans="1:18" x14ac:dyDescent="0.25">
      <c r="A297" s="43" t="s">
        <v>218</v>
      </c>
      <c r="C297" s="54"/>
      <c r="D297" s="54"/>
      <c r="E297" s="50"/>
      <c r="F297" s="43">
        <v>68971</v>
      </c>
      <c r="G297" s="43">
        <v>0</v>
      </c>
      <c r="I297" s="50"/>
      <c r="J297" s="50"/>
      <c r="K297" s="54"/>
      <c r="L297" s="54"/>
      <c r="M297" s="54"/>
      <c r="N297" s="54"/>
      <c r="O297" s="54"/>
      <c r="P297" s="54"/>
      <c r="Q297" s="54"/>
      <c r="R297" s="54"/>
    </row>
    <row r="298" spans="1:18" x14ac:dyDescent="0.25">
      <c r="A298" s="43" t="s">
        <v>219</v>
      </c>
      <c r="C298" s="54">
        <v>19030</v>
      </c>
      <c r="D298" s="50">
        <v>22079</v>
      </c>
      <c r="E298" s="43">
        <v>16318</v>
      </c>
      <c r="F298" s="50">
        <v>17902</v>
      </c>
      <c r="G298" s="50">
        <v>15525</v>
      </c>
      <c r="H298" s="50">
        <v>15200</v>
      </c>
      <c r="I298" s="54">
        <f t="shared" ref="I298" si="197">H298*1.023</f>
        <v>15549.599999999999</v>
      </c>
      <c r="J298" s="54">
        <f t="shared" ref="J298:K298" si="198">I298*1.024</f>
        <v>15922.790399999998</v>
      </c>
      <c r="K298" s="54">
        <f t="shared" si="198"/>
        <v>16304.937369599998</v>
      </c>
      <c r="L298" s="54">
        <f t="shared" ref="L298" si="199">K298*1.023</f>
        <v>16679.950929100796</v>
      </c>
      <c r="M298" s="54">
        <f t="shared" ref="M298" si="200">L298*1.022</f>
        <v>17046.909849541014</v>
      </c>
      <c r="N298" s="54">
        <f t="shared" ref="N298" si="201">M298*1.023</f>
        <v>17438.988776080456</v>
      </c>
      <c r="O298" s="54">
        <f t="shared" ref="O298:P298" si="202">N298*1.025</f>
        <v>17874.963495482465</v>
      </c>
      <c r="P298" s="54">
        <f t="shared" si="202"/>
        <v>18321.837582869524</v>
      </c>
      <c r="Q298" s="54">
        <f t="shared" ref="Q298:R298" si="203">P298*1.024</f>
        <v>18761.561684858392</v>
      </c>
      <c r="R298" s="54">
        <f t="shared" si="203"/>
        <v>19211.839165294994</v>
      </c>
    </row>
    <row r="299" spans="1:18" x14ac:dyDescent="0.25">
      <c r="A299" s="43" t="s">
        <v>220</v>
      </c>
      <c r="C299" s="50">
        <v>45226</v>
      </c>
      <c r="D299" s="50">
        <v>57080</v>
      </c>
      <c r="E299" s="50">
        <v>64651.77</v>
      </c>
      <c r="F299" s="50">
        <v>51001</v>
      </c>
      <c r="G299" s="50">
        <v>53523</v>
      </c>
      <c r="H299" s="50">
        <v>68500</v>
      </c>
      <c r="I299" s="50">
        <f>H299*1.025</f>
        <v>70212.5</v>
      </c>
      <c r="J299" s="50">
        <f>I299*1.029</f>
        <v>72248.662499999991</v>
      </c>
      <c r="K299" s="54">
        <f>J299*1.031</f>
        <v>74488.371037499979</v>
      </c>
      <c r="L299" s="54">
        <f>K299*1.033</f>
        <v>76946.487281737471</v>
      </c>
      <c r="M299" s="54">
        <f>L299*1.032</f>
        <v>79408.774874753071</v>
      </c>
      <c r="N299" s="54">
        <f>M299*1.03</f>
        <v>81791.038120995669</v>
      </c>
      <c r="O299" s="54">
        <f>N299*1.032</f>
        <v>84408.351340867535</v>
      </c>
      <c r="P299" s="54">
        <f>O299*1.034</f>
        <v>87278.235286457028</v>
      </c>
      <c r="Q299" s="54">
        <f>P299*1.034</f>
        <v>90245.695286196569</v>
      </c>
      <c r="R299" s="54">
        <f>Q299*1.034</f>
        <v>93314.048925927258</v>
      </c>
    </row>
    <row r="300" spans="1:18" x14ac:dyDescent="0.25">
      <c r="A300" s="43" t="s">
        <v>220</v>
      </c>
      <c r="B300" s="53"/>
      <c r="C300" s="52"/>
      <c r="D300" s="50"/>
      <c r="E300" s="50"/>
      <c r="F300" s="50"/>
      <c r="G300" s="50">
        <v>0</v>
      </c>
      <c r="H300" s="50"/>
      <c r="I300" s="54"/>
      <c r="J300" s="54"/>
      <c r="K300" s="54"/>
      <c r="L300" s="54"/>
      <c r="M300" s="54"/>
      <c r="N300" s="54"/>
      <c r="O300" s="54"/>
      <c r="P300" s="54"/>
      <c r="Q300" s="54"/>
      <c r="R300" s="54"/>
    </row>
    <row r="301" spans="1:18" x14ac:dyDescent="0.25">
      <c r="A301" s="43" t="s">
        <v>221</v>
      </c>
      <c r="C301" s="57">
        <v>18273</v>
      </c>
      <c r="D301" s="57">
        <v>14739</v>
      </c>
      <c r="E301" s="58">
        <v>19246.77</v>
      </c>
      <c r="F301" s="57">
        <v>15474</v>
      </c>
      <c r="G301" s="57">
        <v>16078</v>
      </c>
      <c r="H301" s="57">
        <v>16370</v>
      </c>
      <c r="I301" s="57">
        <v>16580</v>
      </c>
      <c r="J301" s="57">
        <v>17480</v>
      </c>
      <c r="K301" s="57">
        <v>18140</v>
      </c>
      <c r="L301" s="57">
        <v>18350</v>
      </c>
      <c r="M301" s="57">
        <v>19850</v>
      </c>
      <c r="N301" s="57">
        <v>19420</v>
      </c>
      <c r="O301" s="57">
        <v>19630</v>
      </c>
      <c r="P301" s="57">
        <v>21290</v>
      </c>
      <c r="Q301" s="57">
        <v>21140</v>
      </c>
      <c r="R301" s="57">
        <v>21140</v>
      </c>
    </row>
    <row r="302" spans="1:18" x14ac:dyDescent="0.25">
      <c r="A302" s="43" t="s">
        <v>222</v>
      </c>
      <c r="C302" s="54">
        <v>53024</v>
      </c>
      <c r="D302" s="50">
        <v>54032</v>
      </c>
      <c r="E302" s="43">
        <v>55382</v>
      </c>
      <c r="F302" s="50">
        <v>56905</v>
      </c>
      <c r="G302" s="50">
        <v>58186</v>
      </c>
      <c r="H302" s="50">
        <v>59600</v>
      </c>
      <c r="I302" s="54">
        <f t="shared" ref="I302:I309" si="204">H302*1.023</f>
        <v>60970.799999999996</v>
      </c>
      <c r="J302" s="54">
        <f t="shared" ref="J302:K304" si="205">I302*1.024</f>
        <v>62434.099199999997</v>
      </c>
      <c r="K302" s="54">
        <f t="shared" si="205"/>
        <v>63932.517580799999</v>
      </c>
      <c r="L302" s="54">
        <f t="shared" ref="L302:L309" si="206">K302*1.023</f>
        <v>65402.965485158391</v>
      </c>
      <c r="M302" s="54">
        <f t="shared" ref="M302:M309" si="207">L302*1.022</f>
        <v>66841.830725831882</v>
      </c>
      <c r="N302" s="54">
        <f t="shared" ref="N302:N309" si="208">M302*1.023</f>
        <v>68379.192832526009</v>
      </c>
      <c r="O302" s="54">
        <f t="shared" ref="O302:P309" si="209">N302*1.025</f>
        <v>70088.672653339148</v>
      </c>
      <c r="P302" s="54">
        <f t="shared" si="209"/>
        <v>71840.88946967262</v>
      </c>
      <c r="Q302" s="54">
        <f t="shared" ref="Q302:R309" si="210">P302*1.024</f>
        <v>73565.070816944761</v>
      </c>
      <c r="R302" s="54">
        <f t="shared" si="210"/>
        <v>75330.632516551443</v>
      </c>
    </row>
    <row r="303" spans="1:18" x14ac:dyDescent="0.25">
      <c r="A303" s="43" t="s">
        <v>223</v>
      </c>
      <c r="C303" s="54">
        <v>53260</v>
      </c>
      <c r="D303" s="50">
        <v>23226</v>
      </c>
      <c r="E303" s="50">
        <f>43429+2357.25</f>
        <v>45786.25</v>
      </c>
      <c r="F303" s="50">
        <v>25965</v>
      </c>
      <c r="G303" s="50">
        <v>56302</v>
      </c>
      <c r="H303" s="50">
        <v>50000</v>
      </c>
      <c r="I303" s="54">
        <f t="shared" si="204"/>
        <v>51149.999999999993</v>
      </c>
      <c r="J303" s="54">
        <f t="shared" si="205"/>
        <v>52377.599999999991</v>
      </c>
      <c r="K303" s="54">
        <f t="shared" si="205"/>
        <v>53634.662399999994</v>
      </c>
      <c r="L303" s="54">
        <f t="shared" si="206"/>
        <v>54868.259635199989</v>
      </c>
      <c r="M303" s="54">
        <f t="shared" si="207"/>
        <v>56075.361347174388</v>
      </c>
      <c r="N303" s="54">
        <f t="shared" si="208"/>
        <v>57365.094658159396</v>
      </c>
      <c r="O303" s="54">
        <f t="shared" si="209"/>
        <v>58799.222024613373</v>
      </c>
      <c r="P303" s="54">
        <f t="shared" si="209"/>
        <v>60269.202575228701</v>
      </c>
      <c r="Q303" s="54">
        <f t="shared" si="210"/>
        <v>61715.663437034193</v>
      </c>
      <c r="R303" s="54">
        <f t="shared" si="210"/>
        <v>63196.839359523015</v>
      </c>
    </row>
    <row r="304" spans="1:18" x14ac:dyDescent="0.25">
      <c r="A304" s="52" t="s">
        <v>224</v>
      </c>
      <c r="B304" s="53"/>
      <c r="C304" s="52"/>
      <c r="D304" s="50">
        <v>19053</v>
      </c>
      <c r="E304" s="43">
        <f>36591+21280</f>
        <v>57871</v>
      </c>
      <c r="F304" s="50">
        <v>0</v>
      </c>
      <c r="G304" s="50">
        <v>15988</v>
      </c>
      <c r="H304" s="50">
        <v>30000</v>
      </c>
      <c r="I304" s="54">
        <v>0</v>
      </c>
      <c r="J304" s="54">
        <v>0</v>
      </c>
      <c r="K304" s="54">
        <f t="shared" si="205"/>
        <v>0</v>
      </c>
      <c r="L304" s="54">
        <f t="shared" si="206"/>
        <v>0</v>
      </c>
      <c r="M304" s="54">
        <f t="shared" si="207"/>
        <v>0</v>
      </c>
      <c r="N304" s="54">
        <f t="shared" si="208"/>
        <v>0</v>
      </c>
      <c r="O304" s="54">
        <f t="shared" si="209"/>
        <v>0</v>
      </c>
      <c r="P304" s="54">
        <f t="shared" si="209"/>
        <v>0</v>
      </c>
      <c r="Q304" s="54">
        <f t="shared" si="210"/>
        <v>0</v>
      </c>
      <c r="R304" s="54">
        <f t="shared" si="210"/>
        <v>0</v>
      </c>
    </row>
    <row r="305" spans="1:18" x14ac:dyDescent="0.25">
      <c r="A305" s="52" t="s">
        <v>225</v>
      </c>
      <c r="B305" s="53"/>
      <c r="C305" s="54">
        <v>4800</v>
      </c>
      <c r="D305" s="54">
        <v>6600</v>
      </c>
      <c r="E305" s="43">
        <f>1700+1700+1700+1700</f>
        <v>6800</v>
      </c>
      <c r="F305" s="50">
        <v>7000</v>
      </c>
      <c r="G305" s="50">
        <v>7000</v>
      </c>
      <c r="H305" s="50">
        <v>7200</v>
      </c>
      <c r="I305" s="54">
        <f t="shared" si="204"/>
        <v>7365.5999999999995</v>
      </c>
      <c r="J305" s="54">
        <f t="shared" ref="J305:K309" si="211">I305*1.024</f>
        <v>7542.3743999999997</v>
      </c>
      <c r="K305" s="54">
        <f t="shared" si="211"/>
        <v>7723.3913855999999</v>
      </c>
      <c r="L305" s="54">
        <f t="shared" si="206"/>
        <v>7901.0293874687995</v>
      </c>
      <c r="M305" s="54">
        <f t="shared" si="207"/>
        <v>8074.8520339931129</v>
      </c>
      <c r="N305" s="54">
        <f t="shared" si="208"/>
        <v>8260.5736307749539</v>
      </c>
      <c r="O305" s="54">
        <f t="shared" si="209"/>
        <v>8467.0879715443261</v>
      </c>
      <c r="P305" s="54">
        <f t="shared" si="209"/>
        <v>8678.765170832934</v>
      </c>
      <c r="Q305" s="54">
        <f t="shared" si="210"/>
        <v>8887.0555349329243</v>
      </c>
      <c r="R305" s="54">
        <f t="shared" si="210"/>
        <v>9100.344867771315</v>
      </c>
    </row>
    <row r="306" spans="1:18" x14ac:dyDescent="0.25">
      <c r="A306" s="52" t="s">
        <v>226</v>
      </c>
      <c r="B306" s="53"/>
      <c r="C306" s="54">
        <v>6013</v>
      </c>
      <c r="D306" s="54">
        <v>8075</v>
      </c>
      <c r="E306" s="50">
        <f>6784+150.45</f>
        <v>6934.45</v>
      </c>
      <c r="F306" s="50">
        <f>5018-755</f>
        <v>4263</v>
      </c>
      <c r="G306" s="50">
        <v>6219</v>
      </c>
      <c r="H306" s="50">
        <v>7000</v>
      </c>
      <c r="I306" s="54">
        <f t="shared" si="204"/>
        <v>7160.9999999999991</v>
      </c>
      <c r="J306" s="54">
        <f t="shared" si="211"/>
        <v>7332.8639999999996</v>
      </c>
      <c r="K306" s="54">
        <f t="shared" si="211"/>
        <v>7508.8527359999998</v>
      </c>
      <c r="L306" s="54">
        <f t="shared" si="206"/>
        <v>7681.5563489279994</v>
      </c>
      <c r="M306" s="54">
        <f t="shared" si="207"/>
        <v>7850.5505886044157</v>
      </c>
      <c r="N306" s="54">
        <f t="shared" si="208"/>
        <v>8031.1132521423169</v>
      </c>
      <c r="O306" s="54">
        <f t="shared" si="209"/>
        <v>8231.8910834458748</v>
      </c>
      <c r="P306" s="54">
        <f t="shared" si="209"/>
        <v>8437.6883605320218</v>
      </c>
      <c r="Q306" s="54">
        <f t="shared" si="210"/>
        <v>8640.1928811847902</v>
      </c>
      <c r="R306" s="54">
        <f t="shared" si="210"/>
        <v>8847.5575103332249</v>
      </c>
    </row>
    <row r="307" spans="1:18" x14ac:dyDescent="0.25">
      <c r="A307" s="52" t="s">
        <v>227</v>
      </c>
      <c r="C307" s="54">
        <v>2400</v>
      </c>
      <c r="D307" s="54">
        <v>0</v>
      </c>
      <c r="E307" s="43">
        <v>0</v>
      </c>
      <c r="F307" s="50">
        <v>1241</v>
      </c>
      <c r="G307" s="50">
        <v>0</v>
      </c>
      <c r="H307" s="50">
        <v>5000</v>
      </c>
      <c r="I307" s="54">
        <f t="shared" si="204"/>
        <v>5115</v>
      </c>
      <c r="J307" s="54">
        <f t="shared" si="211"/>
        <v>5237.76</v>
      </c>
      <c r="K307" s="54">
        <f t="shared" si="211"/>
        <v>5363.4662400000007</v>
      </c>
      <c r="L307" s="54">
        <f t="shared" si="206"/>
        <v>5486.8259635200002</v>
      </c>
      <c r="M307" s="54">
        <f t="shared" si="207"/>
        <v>5607.5361347174403</v>
      </c>
      <c r="N307" s="54">
        <f t="shared" si="208"/>
        <v>5736.5094658159405</v>
      </c>
      <c r="O307" s="54">
        <f t="shared" si="209"/>
        <v>5879.9222024613382</v>
      </c>
      <c r="P307" s="54">
        <f t="shared" si="209"/>
        <v>6026.920257522871</v>
      </c>
      <c r="Q307" s="54">
        <f t="shared" si="210"/>
        <v>6171.56634370342</v>
      </c>
      <c r="R307" s="54">
        <f t="shared" si="210"/>
        <v>6319.6839359523019</v>
      </c>
    </row>
    <row r="308" spans="1:18" x14ac:dyDescent="0.25">
      <c r="A308" s="52" t="s">
        <v>228</v>
      </c>
      <c r="C308" s="54"/>
      <c r="D308" s="54"/>
      <c r="F308" s="50"/>
      <c r="G308" s="50"/>
      <c r="H308" s="50">
        <v>46400</v>
      </c>
      <c r="I308" s="54">
        <f t="shared" si="204"/>
        <v>47467.199999999997</v>
      </c>
      <c r="J308" s="54">
        <f t="shared" si="211"/>
        <v>48606.412799999998</v>
      </c>
      <c r="K308" s="54">
        <f t="shared" si="211"/>
        <v>49772.966707200001</v>
      </c>
      <c r="L308" s="54">
        <f t="shared" si="206"/>
        <v>50917.744941465593</v>
      </c>
      <c r="M308" s="54">
        <f t="shared" si="207"/>
        <v>52037.935330177839</v>
      </c>
      <c r="N308" s="54">
        <f t="shared" si="208"/>
        <v>53234.807842771923</v>
      </c>
      <c r="O308" s="54">
        <f t="shared" si="209"/>
        <v>54565.678038841215</v>
      </c>
      <c r="P308" s="54">
        <f t="shared" si="209"/>
        <v>55929.81998981224</v>
      </c>
      <c r="Q308" s="54">
        <f t="shared" si="210"/>
        <v>57272.135669567739</v>
      </c>
      <c r="R308" s="54">
        <f t="shared" si="210"/>
        <v>58646.666925637364</v>
      </c>
    </row>
    <row r="309" spans="1:18" x14ac:dyDescent="0.25">
      <c r="A309" s="52" t="s">
        <v>229</v>
      </c>
      <c r="B309" s="53"/>
      <c r="C309" s="54">
        <v>222043</v>
      </c>
      <c r="D309" s="54">
        <v>231851</v>
      </c>
      <c r="E309" s="43">
        <v>458679</v>
      </c>
      <c r="F309" s="50">
        <v>853040</v>
      </c>
      <c r="G309" s="50">
        <v>449017</v>
      </c>
      <c r="H309" s="50">
        <v>250000</v>
      </c>
      <c r="I309" s="54">
        <f t="shared" si="204"/>
        <v>255749.99999999997</v>
      </c>
      <c r="J309" s="54">
        <f t="shared" si="211"/>
        <v>261887.99999999997</v>
      </c>
      <c r="K309" s="54">
        <f t="shared" si="211"/>
        <v>268173.31199999998</v>
      </c>
      <c r="L309" s="54">
        <f t="shared" si="206"/>
        <v>274341.29817599995</v>
      </c>
      <c r="M309" s="54">
        <f t="shared" si="207"/>
        <v>280376.80673587194</v>
      </c>
      <c r="N309" s="54">
        <f t="shared" si="208"/>
        <v>286825.47329079697</v>
      </c>
      <c r="O309" s="54">
        <f t="shared" si="209"/>
        <v>293996.11012306687</v>
      </c>
      <c r="P309" s="54">
        <f t="shared" si="209"/>
        <v>301346.0128761435</v>
      </c>
      <c r="Q309" s="54">
        <f t="shared" si="210"/>
        <v>308578.31718517095</v>
      </c>
      <c r="R309" s="54">
        <f t="shared" si="210"/>
        <v>315984.19679761503</v>
      </c>
    </row>
    <row r="310" spans="1:18" x14ac:dyDescent="0.25">
      <c r="A310" s="52"/>
      <c r="B310" s="53"/>
      <c r="C310" s="54"/>
      <c r="D310" s="50"/>
      <c r="E310" s="50"/>
      <c r="F310" s="50"/>
      <c r="G310" s="50"/>
      <c r="H310" s="50"/>
      <c r="I310" s="54"/>
      <c r="J310" s="54"/>
      <c r="K310" s="54"/>
      <c r="L310" s="54"/>
      <c r="M310" s="54"/>
      <c r="N310" s="54"/>
      <c r="O310" s="54"/>
      <c r="P310" s="54"/>
      <c r="Q310" s="54"/>
      <c r="R310" s="54"/>
    </row>
    <row r="311" spans="1:18" x14ac:dyDescent="0.25">
      <c r="C311" s="50"/>
      <c r="D311" s="50"/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</row>
    <row r="312" spans="1:18" x14ac:dyDescent="0.25">
      <c r="A312" s="41" t="s">
        <v>230</v>
      </c>
      <c r="B312" s="44"/>
      <c r="C312" s="51">
        <f t="shared" ref="C312:Q312" si="212">SUM(C296:C311)</f>
        <v>897212</v>
      </c>
      <c r="D312" s="51">
        <f t="shared" si="212"/>
        <v>913968</v>
      </c>
      <c r="E312" s="51">
        <f t="shared" si="212"/>
        <v>1185220.3900000001</v>
      </c>
      <c r="F312" s="51">
        <f t="shared" si="212"/>
        <v>1531112</v>
      </c>
      <c r="G312" s="51">
        <f t="shared" si="212"/>
        <v>1180280</v>
      </c>
      <c r="H312" s="51">
        <f>SUM(H296:H311)</f>
        <v>1108070</v>
      </c>
      <c r="I312" s="51">
        <f t="shared" si="212"/>
        <v>1103941.7</v>
      </c>
      <c r="J312" s="51">
        <f t="shared" si="212"/>
        <v>1134122.5432999998</v>
      </c>
      <c r="K312" s="51">
        <f t="shared" si="212"/>
        <v>1166169.0688366999</v>
      </c>
      <c r="L312" s="51">
        <f t="shared" si="212"/>
        <v>1199539.8870441187</v>
      </c>
      <c r="M312" s="51">
        <f t="shared" si="212"/>
        <v>1234005.1671208623</v>
      </c>
      <c r="N312" s="51">
        <f t="shared" si="212"/>
        <v>1266542.4396552667</v>
      </c>
      <c r="O312" s="51">
        <f t="shared" si="212"/>
        <v>1303123.4554479918</v>
      </c>
      <c r="P312" s="51">
        <f t="shared" si="212"/>
        <v>1343761.1010048883</v>
      </c>
      <c r="Q312" s="51">
        <f t="shared" si="212"/>
        <v>1383266.6070762284</v>
      </c>
      <c r="R312" s="51">
        <f t="shared" ref="R312" si="213">SUM(R296:R311)</f>
        <v>1424142.9960812861</v>
      </c>
    </row>
    <row r="313" spans="1:18" x14ac:dyDescent="0.25"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</row>
    <row r="314" spans="1:18" x14ac:dyDescent="0.25">
      <c r="A314" s="41" t="s">
        <v>231</v>
      </c>
      <c r="B314" s="44"/>
      <c r="C314" s="51">
        <f t="shared" ref="C314:R314" si="214">C312-C292</f>
        <v>585668</v>
      </c>
      <c r="D314" s="51">
        <f t="shared" si="214"/>
        <v>627344</v>
      </c>
      <c r="E314" s="51">
        <f t="shared" si="214"/>
        <v>864121.64000000013</v>
      </c>
      <c r="F314" s="51">
        <f t="shared" si="214"/>
        <v>1176227</v>
      </c>
      <c r="G314" s="51">
        <f t="shared" si="214"/>
        <v>828044</v>
      </c>
      <c r="H314" s="51">
        <f t="shared" si="214"/>
        <v>731070</v>
      </c>
      <c r="I314" s="51">
        <f t="shared" si="214"/>
        <v>718270.7</v>
      </c>
      <c r="J314" s="51">
        <f t="shared" si="214"/>
        <v>739195.43929999974</v>
      </c>
      <c r="K314" s="51">
        <f t="shared" si="214"/>
        <v>761763.71434070007</v>
      </c>
      <c r="L314" s="51">
        <f t="shared" si="214"/>
        <v>785833.20939471084</v>
      </c>
      <c r="M314" s="51">
        <f t="shared" si="214"/>
        <v>811196.94256316742</v>
      </c>
      <c r="N314" s="51">
        <f t="shared" si="214"/>
        <v>834009.62593274482</v>
      </c>
      <c r="O314" s="51">
        <f t="shared" si="214"/>
        <v>859777.32138240698</v>
      </c>
      <c r="P314" s="51">
        <f t="shared" si="214"/>
        <v>889331.3135876637</v>
      </c>
      <c r="Q314" s="51">
        <f t="shared" si="214"/>
        <v>917930.5047609905</v>
      </c>
      <c r="R314" s="51">
        <f t="shared" si="214"/>
        <v>947638.82731048251</v>
      </c>
    </row>
    <row r="315" spans="1:18" x14ac:dyDescent="0.25">
      <c r="A315" s="41"/>
      <c r="B315" s="44"/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</row>
    <row r="316" spans="1:18" x14ac:dyDescent="0.25">
      <c r="A316" s="41"/>
      <c r="B316" s="44"/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</row>
    <row r="317" spans="1:18" x14ac:dyDescent="0.25">
      <c r="A317" s="41" t="s">
        <v>232</v>
      </c>
      <c r="B317" s="44"/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</row>
    <row r="318" spans="1:18" x14ac:dyDescent="0.25"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</row>
    <row r="319" spans="1:18" x14ac:dyDescent="0.25">
      <c r="A319" s="41" t="s">
        <v>202</v>
      </c>
      <c r="B319" s="44"/>
      <c r="C319" s="50"/>
      <c r="D319" s="50"/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</row>
    <row r="320" spans="1:18" x14ac:dyDescent="0.25">
      <c r="C320" s="50"/>
      <c r="D320" s="50"/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</row>
    <row r="321" spans="1:18" x14ac:dyDescent="0.25">
      <c r="A321" s="52" t="s">
        <v>233</v>
      </c>
      <c r="B321" s="53"/>
      <c r="C321" s="59">
        <v>82</v>
      </c>
      <c r="D321" s="54">
        <v>0</v>
      </c>
      <c r="E321" s="54">
        <v>0</v>
      </c>
      <c r="F321" s="54">
        <v>0</v>
      </c>
      <c r="G321" s="54">
        <v>0</v>
      </c>
      <c r="H321" s="54">
        <v>200</v>
      </c>
      <c r="I321" s="54">
        <f t="shared" ref="I321" si="215">H321*1.023</f>
        <v>204.6</v>
      </c>
      <c r="J321" s="54">
        <f t="shared" ref="J321:K321" si="216">I321*1.024</f>
        <v>209.5104</v>
      </c>
      <c r="K321" s="54">
        <f t="shared" si="216"/>
        <v>214.53864960000001</v>
      </c>
      <c r="L321" s="54">
        <f t="shared" ref="L321" si="217">K321*1.023</f>
        <v>219.47303854079999</v>
      </c>
      <c r="M321" s="54">
        <f t="shared" ref="M321" si="218">L321*1.022</f>
        <v>224.3014453886976</v>
      </c>
      <c r="N321" s="54">
        <f t="shared" ref="N321" si="219">M321*1.023</f>
        <v>229.46037863263763</v>
      </c>
      <c r="O321" s="54">
        <f t="shared" ref="O321:P321" si="220">N321*1.025</f>
        <v>235.19688809845354</v>
      </c>
      <c r="P321" s="54">
        <f t="shared" si="220"/>
        <v>241.07681030091487</v>
      </c>
      <c r="Q321" s="54">
        <f t="shared" ref="Q321:R321" si="221">P321*1.024</f>
        <v>246.86265374813684</v>
      </c>
      <c r="R321" s="54">
        <f t="shared" si="221"/>
        <v>252.78735743809213</v>
      </c>
    </row>
    <row r="322" spans="1:18" x14ac:dyDescent="0.25">
      <c r="A322" s="41"/>
      <c r="B322" s="44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</row>
    <row r="323" spans="1:18" x14ac:dyDescent="0.25">
      <c r="A323" s="41" t="s">
        <v>216</v>
      </c>
      <c r="B323" s="44"/>
      <c r="C323" s="51">
        <f t="shared" ref="C323" si="222">SUM(C321:C322)</f>
        <v>82</v>
      </c>
      <c r="D323" s="51">
        <f t="shared" ref="D323:R323" si="223">SUM(D321:D322)</f>
        <v>0</v>
      </c>
      <c r="E323" s="51">
        <f t="shared" si="223"/>
        <v>0</v>
      </c>
      <c r="F323" s="51">
        <f t="shared" si="223"/>
        <v>0</v>
      </c>
      <c r="G323" s="51">
        <f t="shared" si="223"/>
        <v>0</v>
      </c>
      <c r="H323" s="51">
        <f t="shared" si="223"/>
        <v>200</v>
      </c>
      <c r="I323" s="51">
        <f t="shared" si="223"/>
        <v>204.6</v>
      </c>
      <c r="J323" s="51">
        <f t="shared" si="223"/>
        <v>209.5104</v>
      </c>
      <c r="K323" s="51">
        <f t="shared" si="223"/>
        <v>214.53864960000001</v>
      </c>
      <c r="L323" s="51">
        <f t="shared" si="223"/>
        <v>219.47303854079999</v>
      </c>
      <c r="M323" s="51">
        <f t="shared" si="223"/>
        <v>224.3014453886976</v>
      </c>
      <c r="N323" s="51">
        <f t="shared" si="223"/>
        <v>229.46037863263763</v>
      </c>
      <c r="O323" s="51">
        <f t="shared" si="223"/>
        <v>235.19688809845354</v>
      </c>
      <c r="P323" s="51">
        <f t="shared" si="223"/>
        <v>241.07681030091487</v>
      </c>
      <c r="Q323" s="51">
        <f t="shared" si="223"/>
        <v>246.86265374813684</v>
      </c>
      <c r="R323" s="51">
        <f t="shared" si="223"/>
        <v>252.78735743809213</v>
      </c>
    </row>
    <row r="324" spans="1:18" x14ac:dyDescent="0.25">
      <c r="C324" s="50"/>
      <c r="D324" s="50"/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</row>
    <row r="325" spans="1:18" x14ac:dyDescent="0.25">
      <c r="A325" s="41" t="s">
        <v>165</v>
      </c>
      <c r="B325" s="44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</row>
    <row r="326" spans="1:18" x14ac:dyDescent="0.25"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</row>
    <row r="327" spans="1:18" x14ac:dyDescent="0.25">
      <c r="A327" s="43" t="s">
        <v>217</v>
      </c>
      <c r="C327" s="54">
        <v>10115</v>
      </c>
      <c r="D327" s="54">
        <v>11181</v>
      </c>
      <c r="E327" s="50">
        <f>10346-24.03</f>
        <v>10321.969999999999</v>
      </c>
      <c r="F327" s="50">
        <v>7704</v>
      </c>
      <c r="G327" s="50">
        <v>11263</v>
      </c>
      <c r="H327" s="50">
        <v>10000</v>
      </c>
      <c r="I327" s="50">
        <f t="shared" ref="I327:I328" si="224">H327*1.025</f>
        <v>10250</v>
      </c>
      <c r="J327" s="50">
        <f t="shared" ref="J327:J328" si="225">I327*1.029</f>
        <v>10547.25</v>
      </c>
      <c r="K327" s="54">
        <f t="shared" ref="K327:K328" si="226">J327*1.031</f>
        <v>10874.214749999999</v>
      </c>
      <c r="L327" s="54">
        <f t="shared" ref="L327:L328" si="227">K327*1.033</f>
        <v>11233.063836749998</v>
      </c>
      <c r="M327" s="54">
        <f t="shared" ref="M327:M328" si="228">L327*1.032</f>
        <v>11592.521879525999</v>
      </c>
      <c r="N327" s="54">
        <f t="shared" ref="N327:N328" si="229">M327*1.03</f>
        <v>11940.297535911779</v>
      </c>
      <c r="O327" s="54">
        <f t="shared" ref="O327:O328" si="230">N327*1.032</f>
        <v>12322.387057060956</v>
      </c>
      <c r="P327" s="54">
        <f t="shared" ref="P327:R328" si="231">O327*1.034</f>
        <v>12741.348217001028</v>
      </c>
      <c r="Q327" s="54">
        <f t="shared" si="231"/>
        <v>13174.554056379064</v>
      </c>
      <c r="R327" s="54">
        <f t="shared" si="231"/>
        <v>13622.488894295951</v>
      </c>
    </row>
    <row r="328" spans="1:18" x14ac:dyDescent="0.25">
      <c r="A328" s="43" t="s">
        <v>220</v>
      </c>
      <c r="C328" s="50">
        <v>569</v>
      </c>
      <c r="D328" s="50">
        <v>941</v>
      </c>
      <c r="E328" s="43">
        <v>1511</v>
      </c>
      <c r="F328" s="50">
        <v>814</v>
      </c>
      <c r="G328" s="50">
        <v>653</v>
      </c>
      <c r="H328" s="50">
        <v>1100</v>
      </c>
      <c r="I328" s="50">
        <f t="shared" si="224"/>
        <v>1127.5</v>
      </c>
      <c r="J328" s="50">
        <f t="shared" si="225"/>
        <v>1160.1975</v>
      </c>
      <c r="K328" s="54">
        <f t="shared" si="226"/>
        <v>1196.1636225</v>
      </c>
      <c r="L328" s="54">
        <f t="shared" si="227"/>
        <v>1235.6370220424999</v>
      </c>
      <c r="M328" s="54">
        <f t="shared" si="228"/>
        <v>1275.17740674786</v>
      </c>
      <c r="N328" s="54">
        <f t="shared" si="229"/>
        <v>1313.4327289502958</v>
      </c>
      <c r="O328" s="54">
        <f t="shared" si="230"/>
        <v>1355.4625762767052</v>
      </c>
      <c r="P328" s="54">
        <f t="shared" si="231"/>
        <v>1401.5483038701132</v>
      </c>
      <c r="Q328" s="54">
        <f t="shared" si="231"/>
        <v>1449.200946201697</v>
      </c>
      <c r="R328" s="54">
        <f t="shared" si="231"/>
        <v>1498.4737783725548</v>
      </c>
    </row>
    <row r="329" spans="1:18" x14ac:dyDescent="0.25">
      <c r="A329" s="52" t="s">
        <v>234</v>
      </c>
      <c r="B329" s="53"/>
      <c r="C329" s="54">
        <v>32216</v>
      </c>
      <c r="D329" s="50">
        <v>29809</v>
      </c>
      <c r="E329" s="50">
        <f>25514+3122.73</f>
        <v>28636.73</v>
      </c>
      <c r="F329" s="50">
        <v>35085</v>
      </c>
      <c r="G329" s="50">
        <v>35569</v>
      </c>
      <c r="H329" s="50">
        <v>35000</v>
      </c>
      <c r="I329" s="54">
        <f t="shared" ref="I329:I330" si="232">H329*1.023</f>
        <v>35805</v>
      </c>
      <c r="J329" s="54">
        <f t="shared" ref="J329:K330" si="233">I329*1.024</f>
        <v>36664.32</v>
      </c>
      <c r="K329" s="54">
        <f t="shared" si="233"/>
        <v>37544.263680000004</v>
      </c>
      <c r="L329" s="54">
        <f t="shared" ref="L329:L330" si="234">K329*1.023</f>
        <v>38407.78174464</v>
      </c>
      <c r="M329" s="54">
        <f t="shared" ref="M329:M330" si="235">L329*1.022</f>
        <v>39252.752943022082</v>
      </c>
      <c r="N329" s="54">
        <f t="shared" ref="N329:N330" si="236">M329*1.023</f>
        <v>40155.566260711588</v>
      </c>
      <c r="O329" s="54">
        <f t="shared" ref="O329:P330" si="237">N329*1.025</f>
        <v>41159.455417229372</v>
      </c>
      <c r="P329" s="54">
        <f t="shared" si="237"/>
        <v>42188.441802660105</v>
      </c>
      <c r="Q329" s="54">
        <f t="shared" ref="Q329:R330" si="238">P329*1.024</f>
        <v>43200.964405923951</v>
      </c>
      <c r="R329" s="54">
        <f t="shared" si="238"/>
        <v>44237.78755166613</v>
      </c>
    </row>
    <row r="330" spans="1:18" x14ac:dyDescent="0.25">
      <c r="A330" s="52" t="s">
        <v>226</v>
      </c>
      <c r="B330" s="53"/>
      <c r="C330" s="54">
        <v>1771</v>
      </c>
      <c r="D330" s="54">
        <v>2432</v>
      </c>
      <c r="E330" s="43">
        <v>2158</v>
      </c>
      <c r="F330" s="54">
        <v>1882</v>
      </c>
      <c r="G330" s="54">
        <v>1901</v>
      </c>
      <c r="H330" s="54">
        <v>2300</v>
      </c>
      <c r="I330" s="54">
        <f t="shared" si="232"/>
        <v>2352.8999999999996</v>
      </c>
      <c r="J330" s="54">
        <f t="shared" si="233"/>
        <v>2409.3695999999995</v>
      </c>
      <c r="K330" s="54">
        <f t="shared" si="233"/>
        <v>2467.1944703999998</v>
      </c>
      <c r="L330" s="54">
        <f t="shared" si="234"/>
        <v>2523.9399432191994</v>
      </c>
      <c r="M330" s="54">
        <f t="shared" si="235"/>
        <v>2579.4666219700221</v>
      </c>
      <c r="N330" s="54">
        <f t="shared" si="236"/>
        <v>2638.7943542753324</v>
      </c>
      <c r="O330" s="54">
        <f t="shared" si="237"/>
        <v>2704.7642131322154</v>
      </c>
      <c r="P330" s="54">
        <f t="shared" si="237"/>
        <v>2772.3833184605205</v>
      </c>
      <c r="Q330" s="54">
        <f t="shared" si="238"/>
        <v>2838.9205181035732</v>
      </c>
      <c r="R330" s="54">
        <f t="shared" si="238"/>
        <v>2907.054610538059</v>
      </c>
    </row>
    <row r="331" spans="1:18" x14ac:dyDescent="0.25"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</row>
    <row r="332" spans="1:18" x14ac:dyDescent="0.25">
      <c r="A332" s="41" t="s">
        <v>230</v>
      </c>
      <c r="B332" s="44"/>
      <c r="C332" s="51">
        <f t="shared" ref="C332:Q332" si="239">SUM(C327:C331)</f>
        <v>44671</v>
      </c>
      <c r="D332" s="51">
        <f t="shared" si="239"/>
        <v>44363</v>
      </c>
      <c r="E332" s="51">
        <f t="shared" si="239"/>
        <v>42627.7</v>
      </c>
      <c r="F332" s="51">
        <f t="shared" ref="F332:G332" si="240">SUM(F327:F331)</f>
        <v>45485</v>
      </c>
      <c r="G332" s="51">
        <f t="shared" si="240"/>
        <v>49386</v>
      </c>
      <c r="H332" s="51">
        <f t="shared" si="239"/>
        <v>48400</v>
      </c>
      <c r="I332" s="51">
        <f t="shared" si="239"/>
        <v>49535.4</v>
      </c>
      <c r="J332" s="51">
        <f t="shared" si="239"/>
        <v>50781.1371</v>
      </c>
      <c r="K332" s="51">
        <f t="shared" si="239"/>
        <v>52081.836522899997</v>
      </c>
      <c r="L332" s="51">
        <f t="shared" si="239"/>
        <v>53400.422546651695</v>
      </c>
      <c r="M332" s="51">
        <f t="shared" si="239"/>
        <v>54699.918851265968</v>
      </c>
      <c r="N332" s="51">
        <f t="shared" si="239"/>
        <v>56048.090879848998</v>
      </c>
      <c r="O332" s="51">
        <f t="shared" si="239"/>
        <v>57542.069263699246</v>
      </c>
      <c r="P332" s="51">
        <f t="shared" si="239"/>
        <v>59103.721641991768</v>
      </c>
      <c r="Q332" s="51">
        <f t="shared" si="239"/>
        <v>60663.639926608281</v>
      </c>
      <c r="R332" s="51">
        <f t="shared" ref="R332" si="241">SUM(R327:R331)</f>
        <v>62265.804834872695</v>
      </c>
    </row>
    <row r="333" spans="1:18" x14ac:dyDescent="0.25"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</row>
    <row r="334" spans="1:18" x14ac:dyDescent="0.25">
      <c r="A334" s="41" t="s">
        <v>235</v>
      </c>
      <c r="B334" s="44"/>
      <c r="C334" s="51">
        <f t="shared" ref="C334:R334" si="242">C332-C323</f>
        <v>44589</v>
      </c>
      <c r="D334" s="51">
        <f t="shared" si="242"/>
        <v>44363</v>
      </c>
      <c r="E334" s="51">
        <f t="shared" si="242"/>
        <v>42627.7</v>
      </c>
      <c r="F334" s="51">
        <f t="shared" si="242"/>
        <v>45485</v>
      </c>
      <c r="G334" s="51">
        <f t="shared" si="242"/>
        <v>49386</v>
      </c>
      <c r="H334" s="51">
        <f t="shared" si="242"/>
        <v>48200</v>
      </c>
      <c r="I334" s="51">
        <f t="shared" si="242"/>
        <v>49330.8</v>
      </c>
      <c r="J334" s="51">
        <f t="shared" si="242"/>
        <v>50571.626700000001</v>
      </c>
      <c r="K334" s="51">
        <f t="shared" si="242"/>
        <v>51867.297873299998</v>
      </c>
      <c r="L334" s="51">
        <f t="shared" si="242"/>
        <v>53180.949508110898</v>
      </c>
      <c r="M334" s="51">
        <f t="shared" si="242"/>
        <v>54475.617405877267</v>
      </c>
      <c r="N334" s="51">
        <f t="shared" si="242"/>
        <v>55818.630501216358</v>
      </c>
      <c r="O334" s="51">
        <f t="shared" si="242"/>
        <v>57306.872375600789</v>
      </c>
      <c r="P334" s="51">
        <f t="shared" si="242"/>
        <v>58862.64483169085</v>
      </c>
      <c r="Q334" s="51">
        <f t="shared" si="242"/>
        <v>60416.777272860141</v>
      </c>
      <c r="R334" s="51">
        <f t="shared" si="242"/>
        <v>62013.017477434601</v>
      </c>
    </row>
    <row r="335" spans="1:18" x14ac:dyDescent="0.25"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</row>
    <row r="336" spans="1:18" x14ac:dyDescent="0.25"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</row>
    <row r="337" spans="1:18" x14ac:dyDescent="0.25">
      <c r="A337" s="41" t="s">
        <v>236</v>
      </c>
      <c r="B337" s="44"/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</row>
    <row r="338" spans="1:18" x14ac:dyDescent="0.25">
      <c r="C338" s="50"/>
      <c r="D338" s="50"/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</row>
    <row r="339" spans="1:18" x14ac:dyDescent="0.25">
      <c r="A339" s="41" t="s">
        <v>202</v>
      </c>
      <c r="B339" s="44"/>
      <c r="C339" s="50"/>
      <c r="D339" s="50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</row>
    <row r="340" spans="1:18" x14ac:dyDescent="0.25">
      <c r="A340" s="52" t="s">
        <v>237</v>
      </c>
      <c r="B340" s="44"/>
      <c r="C340" s="50"/>
      <c r="D340" s="50"/>
      <c r="E340" s="50">
        <v>50000</v>
      </c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</row>
    <row r="341" spans="1:18" x14ac:dyDescent="0.25">
      <c r="A341" s="52" t="s">
        <v>238</v>
      </c>
      <c r="B341" s="53"/>
      <c r="C341" s="59">
        <v>0</v>
      </c>
      <c r="D341" s="54">
        <v>0</v>
      </c>
      <c r="E341" s="54">
        <v>0</v>
      </c>
      <c r="F341" s="54"/>
      <c r="G341" s="54">
        <v>20000</v>
      </c>
      <c r="H341" s="54">
        <v>5000</v>
      </c>
      <c r="I341" s="54">
        <f t="shared" ref="I341" si="243">H341*1.023</f>
        <v>5115</v>
      </c>
      <c r="J341" s="54">
        <f t="shared" ref="J341:K341" si="244">I341*1.024</f>
        <v>5237.76</v>
      </c>
      <c r="K341" s="54">
        <f t="shared" si="244"/>
        <v>5363.4662400000007</v>
      </c>
      <c r="L341" s="54">
        <f t="shared" ref="L341" si="245">K341*1.023</f>
        <v>5486.8259635200002</v>
      </c>
      <c r="M341" s="54">
        <f t="shared" ref="M341" si="246">L341*1.022</f>
        <v>5607.5361347174403</v>
      </c>
      <c r="N341" s="54">
        <f t="shared" ref="N341" si="247">M341*1.023</f>
        <v>5736.5094658159405</v>
      </c>
      <c r="O341" s="54">
        <f t="shared" ref="O341:P341" si="248">N341*1.025</f>
        <v>5879.9222024613382</v>
      </c>
      <c r="P341" s="54">
        <f t="shared" si="248"/>
        <v>6026.920257522871</v>
      </c>
      <c r="Q341" s="54">
        <f t="shared" ref="Q341:R341" si="249">P341*1.024</f>
        <v>6171.56634370342</v>
      </c>
      <c r="R341" s="54">
        <f t="shared" si="249"/>
        <v>6319.6839359523019</v>
      </c>
    </row>
    <row r="342" spans="1:18" x14ac:dyDescent="0.25">
      <c r="A342" s="52" t="s">
        <v>239</v>
      </c>
      <c r="B342" s="53"/>
      <c r="C342" s="59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</row>
    <row r="343" spans="1:18" x14ac:dyDescent="0.25">
      <c r="A343" s="52" t="s">
        <v>240</v>
      </c>
      <c r="B343" s="53"/>
      <c r="C343" s="59"/>
      <c r="D343" s="54"/>
      <c r="E343" s="54"/>
      <c r="F343" s="50">
        <v>4500</v>
      </c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</row>
    <row r="344" spans="1:18" x14ac:dyDescent="0.25"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</row>
    <row r="345" spans="1:18" x14ac:dyDescent="0.25">
      <c r="A345" s="41" t="s">
        <v>216</v>
      </c>
      <c r="B345" s="44"/>
      <c r="C345" s="51">
        <f t="shared" ref="C345" si="250">SUM(C341:C344)</f>
        <v>0</v>
      </c>
      <c r="D345" s="51">
        <f t="shared" ref="D345" si="251">SUM(D341:D344)</f>
        <v>0</v>
      </c>
      <c r="E345" s="51">
        <f>SUM(E340:E344)</f>
        <v>50000</v>
      </c>
      <c r="F345" s="51">
        <f t="shared" ref="F345:R345" si="252">SUM(F341:F344)</f>
        <v>4500</v>
      </c>
      <c r="G345" s="51">
        <f t="shared" si="252"/>
        <v>20000</v>
      </c>
      <c r="H345" s="51">
        <f t="shared" si="252"/>
        <v>5000</v>
      </c>
      <c r="I345" s="51">
        <f t="shared" si="252"/>
        <v>5115</v>
      </c>
      <c r="J345" s="51">
        <f t="shared" si="252"/>
        <v>5237.76</v>
      </c>
      <c r="K345" s="51">
        <f t="shared" si="252"/>
        <v>5363.4662400000007</v>
      </c>
      <c r="L345" s="51">
        <f t="shared" si="252"/>
        <v>5486.8259635200002</v>
      </c>
      <c r="M345" s="51">
        <f t="shared" si="252"/>
        <v>5607.5361347174403</v>
      </c>
      <c r="N345" s="51">
        <f t="shared" si="252"/>
        <v>5736.5094658159405</v>
      </c>
      <c r="O345" s="51">
        <f t="shared" si="252"/>
        <v>5879.9222024613382</v>
      </c>
      <c r="P345" s="51">
        <f t="shared" si="252"/>
        <v>6026.920257522871</v>
      </c>
      <c r="Q345" s="51">
        <f t="shared" si="252"/>
        <v>6171.56634370342</v>
      </c>
      <c r="R345" s="51">
        <f t="shared" si="252"/>
        <v>6319.6839359523019</v>
      </c>
    </row>
    <row r="346" spans="1:18" x14ac:dyDescent="0.25">
      <c r="C346" s="50"/>
      <c r="D346" s="50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</row>
    <row r="347" spans="1:18" x14ac:dyDescent="0.25">
      <c r="A347" s="41" t="s">
        <v>165</v>
      </c>
      <c r="B347" s="44"/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</row>
    <row r="348" spans="1:18" x14ac:dyDescent="0.25">
      <c r="C348" s="50"/>
      <c r="D348" s="50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</row>
    <row r="349" spans="1:18" x14ac:dyDescent="0.25">
      <c r="A349" s="43" t="s">
        <v>217</v>
      </c>
      <c r="C349" s="54">
        <v>19757</v>
      </c>
      <c r="D349" s="54">
        <v>20485</v>
      </c>
      <c r="E349" s="50">
        <f>21960-84.19</f>
        <v>21875.81</v>
      </c>
      <c r="F349" s="50">
        <v>21113</v>
      </c>
      <c r="G349" s="50">
        <v>23644</v>
      </c>
      <c r="H349" s="50">
        <v>23300</v>
      </c>
      <c r="I349" s="50">
        <f t="shared" ref="I349" si="253">H349*1.025</f>
        <v>23882.499999999996</v>
      </c>
      <c r="J349" s="50">
        <f t="shared" ref="J349" si="254">I349*1.029</f>
        <v>24575.092499999995</v>
      </c>
      <c r="K349" s="54">
        <f t="shared" ref="K349" si="255">J349*1.031</f>
        <v>25336.920367499992</v>
      </c>
      <c r="L349" s="54">
        <f t="shared" ref="L349" si="256">K349*1.033</f>
        <v>26173.038739627489</v>
      </c>
      <c r="M349" s="54">
        <f t="shared" ref="M349" si="257">L349*1.032</f>
        <v>27010.575979295569</v>
      </c>
      <c r="N349" s="54">
        <f t="shared" ref="N349" si="258">M349*1.03</f>
        <v>27820.893258674438</v>
      </c>
      <c r="O349" s="54">
        <f t="shared" ref="O349" si="259">N349*1.032</f>
        <v>28711.16184295202</v>
      </c>
      <c r="P349" s="54">
        <f t="shared" ref="P349:R349" si="260">O349*1.034</f>
        <v>29687.341345612389</v>
      </c>
      <c r="Q349" s="54">
        <f t="shared" si="260"/>
        <v>30696.710951363209</v>
      </c>
      <c r="R349" s="54">
        <f t="shared" si="260"/>
        <v>31740.399123709558</v>
      </c>
    </row>
    <row r="350" spans="1:18" x14ac:dyDescent="0.25">
      <c r="A350" s="43" t="s">
        <v>219</v>
      </c>
      <c r="C350" s="54">
        <v>1324</v>
      </c>
      <c r="D350" s="54">
        <v>1300</v>
      </c>
      <c r="E350" s="50">
        <v>1126</v>
      </c>
      <c r="F350" s="50">
        <v>1406</v>
      </c>
      <c r="G350" s="50">
        <v>1001</v>
      </c>
      <c r="H350" s="50">
        <v>1100</v>
      </c>
      <c r="I350" s="54">
        <f t="shared" ref="I350" si="261">H350*1.023</f>
        <v>1125.3</v>
      </c>
      <c r="J350" s="54">
        <f t="shared" ref="J350:K350" si="262">I350*1.024</f>
        <v>1152.3072</v>
      </c>
      <c r="K350" s="54">
        <f t="shared" si="262"/>
        <v>1179.9625728000001</v>
      </c>
      <c r="L350" s="54">
        <f t="shared" ref="L350" si="263">K350*1.023</f>
        <v>1207.1017119743999</v>
      </c>
      <c r="M350" s="54">
        <f t="shared" ref="M350" si="264">L350*1.022</f>
        <v>1233.6579496378367</v>
      </c>
      <c r="N350" s="54">
        <f t="shared" ref="N350" si="265">M350*1.023</f>
        <v>1262.0320824795069</v>
      </c>
      <c r="O350" s="54">
        <f t="shared" ref="O350:P350" si="266">N350*1.025</f>
        <v>1293.5828845414944</v>
      </c>
      <c r="P350" s="54">
        <f t="shared" si="266"/>
        <v>1325.9224566550317</v>
      </c>
      <c r="Q350" s="54">
        <f t="shared" ref="Q350:R350" si="267">P350*1.024</f>
        <v>1357.7445956147526</v>
      </c>
      <c r="R350" s="54">
        <f t="shared" si="267"/>
        <v>1390.3304659095068</v>
      </c>
    </row>
    <row r="351" spans="1:18" x14ac:dyDescent="0.25">
      <c r="A351" s="43" t="s">
        <v>220</v>
      </c>
      <c r="C351" s="50">
        <v>2701</v>
      </c>
      <c r="D351" s="50">
        <v>3277</v>
      </c>
      <c r="E351" s="43">
        <v>3596</v>
      </c>
      <c r="F351" s="50">
        <v>2438</v>
      </c>
      <c r="G351" s="50">
        <v>3089</v>
      </c>
      <c r="H351" s="50">
        <v>3400</v>
      </c>
      <c r="I351" s="50">
        <f t="shared" ref="I351" si="268">H351*1.025</f>
        <v>3484.9999999999995</v>
      </c>
      <c r="J351" s="50">
        <f t="shared" ref="J351" si="269">I351*1.029</f>
        <v>3586.0649999999991</v>
      </c>
      <c r="K351" s="54">
        <f t="shared" ref="K351" si="270">J351*1.031</f>
        <v>3697.2330149999989</v>
      </c>
      <c r="L351" s="54">
        <f t="shared" ref="L351" si="271">K351*1.033</f>
        <v>3819.2417044949984</v>
      </c>
      <c r="M351" s="54">
        <f t="shared" ref="M351" si="272">L351*1.032</f>
        <v>3941.4574390388384</v>
      </c>
      <c r="N351" s="54">
        <f t="shared" ref="N351" si="273">M351*1.03</f>
        <v>4059.7011622100035</v>
      </c>
      <c r="O351" s="54">
        <f t="shared" ref="O351" si="274">N351*1.032</f>
        <v>4189.6115994007241</v>
      </c>
      <c r="P351" s="54">
        <f t="shared" ref="P351:R351" si="275">O351*1.034</f>
        <v>4332.0583937803485</v>
      </c>
      <c r="Q351" s="54">
        <f t="shared" si="275"/>
        <v>4479.3483791688805</v>
      </c>
      <c r="R351" s="54">
        <f t="shared" si="275"/>
        <v>4631.6462240606224</v>
      </c>
    </row>
    <row r="352" spans="1:18" x14ac:dyDescent="0.25">
      <c r="A352" s="43" t="s">
        <v>221</v>
      </c>
      <c r="C352" s="57">
        <v>1240</v>
      </c>
      <c r="D352" s="57">
        <v>837</v>
      </c>
      <c r="E352" s="60">
        <v>1590</v>
      </c>
      <c r="F352" s="57">
        <v>1140</v>
      </c>
      <c r="G352" s="57">
        <v>1140</v>
      </c>
      <c r="H352" s="57">
        <v>1170</v>
      </c>
      <c r="I352" s="57">
        <v>1170</v>
      </c>
      <c r="J352" s="57">
        <v>1170</v>
      </c>
      <c r="K352" s="57">
        <v>1250</v>
      </c>
      <c r="L352" s="57">
        <v>1250</v>
      </c>
      <c r="M352" s="57">
        <v>1380</v>
      </c>
      <c r="N352" s="57">
        <v>1330</v>
      </c>
      <c r="O352" s="57">
        <v>1330</v>
      </c>
      <c r="P352" s="57">
        <v>1480</v>
      </c>
      <c r="Q352" s="57">
        <v>1430</v>
      </c>
      <c r="R352" s="57">
        <v>1430</v>
      </c>
    </row>
    <row r="353" spans="1:18" x14ac:dyDescent="0.25">
      <c r="A353" s="52" t="s">
        <v>241</v>
      </c>
      <c r="B353" s="53"/>
      <c r="C353" s="54">
        <v>0</v>
      </c>
      <c r="D353" s="54">
        <v>0</v>
      </c>
      <c r="E353" s="43">
        <v>0</v>
      </c>
      <c r="F353" s="54">
        <v>0</v>
      </c>
      <c r="G353" s="54">
        <v>0</v>
      </c>
      <c r="H353" s="54">
        <v>5000</v>
      </c>
      <c r="I353" s="54">
        <f t="shared" ref="I353:I354" si="276">H353*1.023</f>
        <v>5115</v>
      </c>
      <c r="J353" s="54">
        <f t="shared" ref="J353:K354" si="277">I353*1.024</f>
        <v>5237.76</v>
      </c>
      <c r="K353" s="54">
        <f t="shared" si="277"/>
        <v>5363.4662400000007</v>
      </c>
      <c r="L353" s="54">
        <f t="shared" ref="L353:L354" si="278">K353*1.023</f>
        <v>5486.8259635200002</v>
      </c>
      <c r="M353" s="54">
        <f t="shared" ref="M353:M354" si="279">L353*1.022</f>
        <v>5607.5361347174403</v>
      </c>
      <c r="N353" s="54">
        <f t="shared" ref="N353:N354" si="280">M353*1.023</f>
        <v>5736.5094658159405</v>
      </c>
      <c r="O353" s="54">
        <f t="shared" ref="O353:P354" si="281">N353*1.025</f>
        <v>5879.9222024613382</v>
      </c>
      <c r="P353" s="54">
        <f t="shared" si="281"/>
        <v>6026.920257522871</v>
      </c>
      <c r="Q353" s="54">
        <f t="shared" ref="Q353:R354" si="282">P353*1.024</f>
        <v>6171.56634370342</v>
      </c>
      <c r="R353" s="54">
        <f t="shared" si="282"/>
        <v>6319.6839359523019</v>
      </c>
    </row>
    <row r="354" spans="1:18" x14ac:dyDescent="0.25">
      <c r="A354" s="52" t="s">
        <v>226</v>
      </c>
      <c r="B354" s="53"/>
      <c r="C354" s="54">
        <v>102</v>
      </c>
      <c r="D354" s="54">
        <v>205</v>
      </c>
      <c r="E354" s="43">
        <v>227</v>
      </c>
      <c r="F354" s="54">
        <v>195</v>
      </c>
      <c r="G354" s="54">
        <v>207</v>
      </c>
      <c r="H354" s="54">
        <v>300</v>
      </c>
      <c r="I354" s="54">
        <f t="shared" si="276"/>
        <v>306.89999999999998</v>
      </c>
      <c r="J354" s="54">
        <f t="shared" si="277"/>
        <v>314.26560000000001</v>
      </c>
      <c r="K354" s="54">
        <f t="shared" si="277"/>
        <v>321.80797440000003</v>
      </c>
      <c r="L354" s="54">
        <f t="shared" si="278"/>
        <v>329.2095578112</v>
      </c>
      <c r="M354" s="54">
        <f t="shared" si="279"/>
        <v>336.45216808304639</v>
      </c>
      <c r="N354" s="54">
        <f t="shared" si="280"/>
        <v>344.19056794895641</v>
      </c>
      <c r="O354" s="54">
        <f t="shared" si="281"/>
        <v>352.79533214768031</v>
      </c>
      <c r="P354" s="54">
        <f t="shared" si="281"/>
        <v>361.61521545137231</v>
      </c>
      <c r="Q354" s="54">
        <f t="shared" si="282"/>
        <v>370.29398062220525</v>
      </c>
      <c r="R354" s="54">
        <f t="shared" si="282"/>
        <v>379.18103615713818</v>
      </c>
    </row>
    <row r="355" spans="1:18" x14ac:dyDescent="0.25">
      <c r="A355" s="52" t="s">
        <v>242</v>
      </c>
      <c r="B355" s="53"/>
      <c r="C355" s="54">
        <v>2200</v>
      </c>
      <c r="D355" s="50">
        <v>11636</v>
      </c>
      <c r="E355" s="43">
        <v>0</v>
      </c>
      <c r="F355" s="50"/>
      <c r="G355" s="50">
        <v>0</v>
      </c>
      <c r="H355" s="50"/>
      <c r="I355" s="54"/>
      <c r="J355" s="54"/>
      <c r="K355" s="54"/>
      <c r="L355" s="54"/>
      <c r="M355" s="54"/>
      <c r="N355" s="54"/>
      <c r="O355" s="54"/>
      <c r="P355" s="54"/>
      <c r="Q355" s="54"/>
      <c r="R355" s="54"/>
    </row>
    <row r="356" spans="1:18" x14ac:dyDescent="0.25">
      <c r="A356" s="52" t="s">
        <v>243</v>
      </c>
      <c r="B356" s="53"/>
      <c r="C356" s="54">
        <v>10735</v>
      </c>
      <c r="D356" s="50">
        <v>15476</v>
      </c>
      <c r="E356" s="43">
        <v>0</v>
      </c>
      <c r="F356" s="50">
        <v>0</v>
      </c>
      <c r="G356" s="54">
        <v>0</v>
      </c>
      <c r="H356" s="50">
        <v>20000</v>
      </c>
      <c r="I356" s="54">
        <v>0</v>
      </c>
      <c r="J356" s="54">
        <v>0</v>
      </c>
      <c r="K356" s="54">
        <v>0</v>
      </c>
      <c r="L356" s="54">
        <v>0</v>
      </c>
      <c r="M356" s="54">
        <v>23000</v>
      </c>
      <c r="N356" s="54">
        <v>0</v>
      </c>
      <c r="O356" s="54">
        <v>0</v>
      </c>
      <c r="P356" s="54">
        <v>0</v>
      </c>
      <c r="Q356" s="54">
        <v>0</v>
      </c>
      <c r="R356" s="54">
        <v>26000</v>
      </c>
    </row>
    <row r="357" spans="1:18" x14ac:dyDescent="0.25">
      <c r="A357" s="61" t="s">
        <v>244</v>
      </c>
      <c r="B357" s="62" t="s">
        <v>245</v>
      </c>
      <c r="C357" s="50">
        <v>0</v>
      </c>
      <c r="D357" s="63">
        <v>98804</v>
      </c>
      <c r="E357" s="64">
        <v>12176</v>
      </c>
      <c r="F357" s="50">
        <v>0</v>
      </c>
      <c r="G357" s="54">
        <v>0</v>
      </c>
      <c r="H357" s="50">
        <v>20000</v>
      </c>
      <c r="I357" s="54">
        <v>0</v>
      </c>
      <c r="J357" s="54">
        <v>0</v>
      </c>
      <c r="K357" s="54">
        <v>0</v>
      </c>
      <c r="L357" s="54">
        <v>0</v>
      </c>
      <c r="M357" s="54">
        <v>23000</v>
      </c>
      <c r="N357" s="54">
        <v>0</v>
      </c>
      <c r="O357" s="54">
        <v>0</v>
      </c>
      <c r="P357" s="54">
        <v>0</v>
      </c>
      <c r="Q357" s="54">
        <v>0</v>
      </c>
      <c r="R357" s="54">
        <v>26000</v>
      </c>
    </row>
    <row r="358" spans="1:18" x14ac:dyDescent="0.25">
      <c r="A358" s="61" t="s">
        <v>246</v>
      </c>
      <c r="B358" s="62"/>
      <c r="C358" s="50"/>
      <c r="D358" s="63"/>
      <c r="E358" s="64"/>
      <c r="F358" s="50"/>
      <c r="G358" s="65">
        <v>7935</v>
      </c>
      <c r="H358" s="50"/>
      <c r="I358" s="54"/>
      <c r="J358" s="54"/>
      <c r="K358" s="54"/>
      <c r="L358" s="54"/>
      <c r="M358" s="54"/>
      <c r="N358" s="54"/>
      <c r="O358" s="54"/>
      <c r="P358" s="54"/>
      <c r="Q358" s="54"/>
      <c r="R358" s="54"/>
    </row>
    <row r="359" spans="1:18" x14ac:dyDescent="0.25">
      <c r="A359" s="52" t="s">
        <v>247</v>
      </c>
      <c r="B359" s="53"/>
      <c r="C359" s="50"/>
      <c r="D359" s="54">
        <v>0</v>
      </c>
      <c r="E359" s="43">
        <v>1740</v>
      </c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</row>
    <row r="360" spans="1:18" x14ac:dyDescent="0.25">
      <c r="A360" s="52" t="s">
        <v>248</v>
      </c>
      <c r="B360" s="53"/>
      <c r="C360" s="50"/>
      <c r="D360" s="54"/>
      <c r="E360" s="43">
        <v>4113</v>
      </c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</row>
    <row r="361" spans="1:18" x14ac:dyDescent="0.25">
      <c r="A361" s="52" t="s">
        <v>249</v>
      </c>
      <c r="B361" s="53"/>
      <c r="C361" s="54">
        <v>378</v>
      </c>
      <c r="D361" s="54">
        <v>316</v>
      </c>
      <c r="E361" s="43">
        <v>0</v>
      </c>
      <c r="F361" s="50">
        <v>2187</v>
      </c>
      <c r="G361" s="50">
        <v>0</v>
      </c>
      <c r="H361" s="50">
        <v>0</v>
      </c>
      <c r="I361" s="50">
        <v>0</v>
      </c>
      <c r="J361" s="50">
        <v>0</v>
      </c>
      <c r="K361" s="50">
        <v>0</v>
      </c>
      <c r="L361" s="50">
        <v>0</v>
      </c>
      <c r="M361" s="50">
        <v>0</v>
      </c>
      <c r="N361" s="50">
        <v>0</v>
      </c>
      <c r="O361" s="50">
        <v>0</v>
      </c>
      <c r="P361" s="50">
        <v>0</v>
      </c>
      <c r="Q361" s="50">
        <v>0</v>
      </c>
      <c r="R361" s="50">
        <v>0</v>
      </c>
    </row>
    <row r="362" spans="1:18" x14ac:dyDescent="0.25">
      <c r="A362" s="52" t="s">
        <v>250</v>
      </c>
      <c r="B362" s="53"/>
      <c r="C362" s="54"/>
      <c r="D362" s="54"/>
      <c r="F362" s="50"/>
      <c r="G362" s="50"/>
      <c r="H362" s="50">
        <v>80000</v>
      </c>
      <c r="I362" s="54">
        <v>0</v>
      </c>
      <c r="J362" s="54">
        <v>0</v>
      </c>
      <c r="K362" s="54">
        <v>0</v>
      </c>
      <c r="L362" s="54">
        <v>0</v>
      </c>
      <c r="M362" s="54">
        <v>0</v>
      </c>
      <c r="N362" s="54">
        <v>0</v>
      </c>
      <c r="O362" s="54">
        <v>0</v>
      </c>
      <c r="P362" s="54">
        <v>0</v>
      </c>
      <c r="Q362" s="54">
        <v>0</v>
      </c>
      <c r="R362" s="54">
        <v>0</v>
      </c>
    </row>
    <row r="363" spans="1:18" x14ac:dyDescent="0.25">
      <c r="A363" s="41"/>
      <c r="B363" s="44"/>
      <c r="C363" s="50"/>
      <c r="D363" s="50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</row>
    <row r="364" spans="1:18" x14ac:dyDescent="0.25">
      <c r="A364" s="41" t="s">
        <v>230</v>
      </c>
      <c r="B364" s="44"/>
      <c r="C364" s="51">
        <f t="shared" ref="C364:Q364" si="283">SUM(C349:C363)</f>
        <v>38437</v>
      </c>
      <c r="D364" s="51">
        <f t="shared" si="283"/>
        <v>152336</v>
      </c>
      <c r="E364" s="51">
        <f t="shared" si="283"/>
        <v>46443.81</v>
      </c>
      <c r="F364" s="51">
        <f t="shared" ref="F364:G364" si="284">SUM(F349:F363)</f>
        <v>28479</v>
      </c>
      <c r="G364" s="51">
        <f t="shared" si="284"/>
        <v>37016</v>
      </c>
      <c r="H364" s="51">
        <f t="shared" si="283"/>
        <v>154270</v>
      </c>
      <c r="I364" s="51">
        <f t="shared" si="283"/>
        <v>35084.699999999997</v>
      </c>
      <c r="J364" s="51">
        <f t="shared" si="283"/>
        <v>36035.49029999999</v>
      </c>
      <c r="K364" s="51">
        <f t="shared" si="283"/>
        <v>37149.390169699989</v>
      </c>
      <c r="L364" s="51">
        <f t="shared" si="283"/>
        <v>38265.417677428086</v>
      </c>
      <c r="M364" s="51">
        <f t="shared" si="283"/>
        <v>85509.679670772719</v>
      </c>
      <c r="N364" s="51">
        <f t="shared" si="283"/>
        <v>40553.326537128851</v>
      </c>
      <c r="O364" s="51">
        <f t="shared" si="283"/>
        <v>41757.073861503261</v>
      </c>
      <c r="P364" s="51">
        <f t="shared" si="283"/>
        <v>43213.857669022007</v>
      </c>
      <c r="Q364" s="51">
        <f t="shared" si="283"/>
        <v>44505.664250472466</v>
      </c>
      <c r="R364" s="51">
        <f t="shared" ref="R364" si="285">SUM(R349:R363)</f>
        <v>97891.240785789123</v>
      </c>
    </row>
    <row r="365" spans="1:18" x14ac:dyDescent="0.25">
      <c r="C365" s="50"/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</row>
    <row r="366" spans="1:18" x14ac:dyDescent="0.25">
      <c r="A366" s="41" t="s">
        <v>251</v>
      </c>
      <c r="B366" s="44"/>
      <c r="C366" s="50"/>
      <c r="D366" s="50"/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</row>
    <row r="367" spans="1:18" x14ac:dyDescent="0.25">
      <c r="C367" s="50"/>
      <c r="D367" s="50"/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</row>
    <row r="368" spans="1:18" x14ac:dyDescent="0.25">
      <c r="A368" s="61" t="s">
        <v>252</v>
      </c>
      <c r="B368" s="62" t="s">
        <v>245</v>
      </c>
      <c r="C368" s="54">
        <v>10735</v>
      </c>
      <c r="D368" s="63">
        <v>98804</v>
      </c>
      <c r="E368" s="63">
        <v>12176</v>
      </c>
      <c r="F368" s="50"/>
      <c r="G368" s="50">
        <v>0</v>
      </c>
      <c r="H368" s="50"/>
      <c r="I368" s="54"/>
      <c r="J368" s="54"/>
      <c r="K368" s="54"/>
      <c r="L368" s="54"/>
      <c r="M368" s="54"/>
      <c r="N368" s="54"/>
      <c r="O368" s="54"/>
      <c r="P368" s="54"/>
      <c r="Q368" s="54"/>
      <c r="R368" s="54"/>
    </row>
    <row r="369" spans="1:18" x14ac:dyDescent="0.25">
      <c r="A369" s="61" t="s">
        <v>253</v>
      </c>
      <c r="B369" s="62" t="s">
        <v>245</v>
      </c>
      <c r="C369" s="54"/>
      <c r="D369" s="63">
        <v>50000</v>
      </c>
      <c r="E369" s="50"/>
      <c r="F369" s="50"/>
      <c r="G369" s="50">
        <v>0</v>
      </c>
      <c r="H369" s="50"/>
      <c r="I369" s="54"/>
      <c r="J369" s="54"/>
      <c r="K369" s="54"/>
      <c r="L369" s="54"/>
      <c r="M369" s="54"/>
      <c r="N369" s="54"/>
      <c r="O369" s="54"/>
      <c r="P369" s="54"/>
      <c r="Q369" s="54"/>
      <c r="R369" s="54"/>
    </row>
    <row r="370" spans="1:18" x14ac:dyDescent="0.25"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</row>
    <row r="371" spans="1:18" x14ac:dyDescent="0.25">
      <c r="A371" s="41" t="s">
        <v>254</v>
      </c>
      <c r="B371" s="44"/>
      <c r="C371" s="51">
        <f>SUM(C368:C370)</f>
        <v>10735</v>
      </c>
      <c r="D371" s="51">
        <f>SUM(D368:D370)</f>
        <v>148804</v>
      </c>
      <c r="E371" s="51">
        <f>SUM(E368:E370)</f>
        <v>12176</v>
      </c>
      <c r="F371" s="51">
        <v>0</v>
      </c>
      <c r="G371" s="51">
        <v>0</v>
      </c>
      <c r="H371" s="51">
        <v>0</v>
      </c>
      <c r="I371" s="51">
        <v>0</v>
      </c>
      <c r="J371" s="51">
        <v>0</v>
      </c>
      <c r="K371" s="51">
        <v>0</v>
      </c>
      <c r="L371" s="51">
        <v>0</v>
      </c>
      <c r="M371" s="51">
        <v>0</v>
      </c>
      <c r="N371" s="51">
        <v>0</v>
      </c>
      <c r="O371" s="51">
        <v>0</v>
      </c>
      <c r="P371" s="51">
        <v>0</v>
      </c>
      <c r="Q371" s="51">
        <f>SUM(Q368:Q370)</f>
        <v>0</v>
      </c>
      <c r="R371" s="51">
        <f>SUM(R368:R370)</f>
        <v>0</v>
      </c>
    </row>
    <row r="372" spans="1:18" x14ac:dyDescent="0.25">
      <c r="C372" s="50"/>
      <c r="D372" s="50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</row>
    <row r="373" spans="1:18" x14ac:dyDescent="0.25">
      <c r="A373" s="41" t="s">
        <v>255</v>
      </c>
      <c r="B373" s="44"/>
      <c r="C373" s="51">
        <f t="shared" ref="C373:R373" si="286">C364-C345-C371</f>
        <v>27702</v>
      </c>
      <c r="D373" s="51">
        <f t="shared" si="286"/>
        <v>3532</v>
      </c>
      <c r="E373" s="51">
        <f t="shared" si="286"/>
        <v>-15732.190000000002</v>
      </c>
      <c r="F373" s="51">
        <f t="shared" si="286"/>
        <v>23979</v>
      </c>
      <c r="G373" s="51">
        <f t="shared" si="286"/>
        <v>17016</v>
      </c>
      <c r="H373" s="51">
        <f t="shared" si="286"/>
        <v>149270</v>
      </c>
      <c r="I373" s="51">
        <f t="shared" si="286"/>
        <v>29969.699999999997</v>
      </c>
      <c r="J373" s="51">
        <f t="shared" si="286"/>
        <v>30797.730299999988</v>
      </c>
      <c r="K373" s="51">
        <f t="shared" si="286"/>
        <v>31785.923929699988</v>
      </c>
      <c r="L373" s="51">
        <f t="shared" si="286"/>
        <v>32778.591713908085</v>
      </c>
      <c r="M373" s="51">
        <f t="shared" si="286"/>
        <v>79902.143536055286</v>
      </c>
      <c r="N373" s="51">
        <f t="shared" si="286"/>
        <v>34816.817071312908</v>
      </c>
      <c r="O373" s="51">
        <f t="shared" si="286"/>
        <v>35877.15165904192</v>
      </c>
      <c r="P373" s="51">
        <f t="shared" si="286"/>
        <v>37186.937411499137</v>
      </c>
      <c r="Q373" s="51">
        <f t="shared" si="286"/>
        <v>38334.09790676905</v>
      </c>
      <c r="R373" s="51">
        <f t="shared" si="286"/>
        <v>91571.556849836823</v>
      </c>
    </row>
    <row r="374" spans="1:18" x14ac:dyDescent="0.25"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</row>
    <row r="375" spans="1:18" x14ac:dyDescent="0.25">
      <c r="A375" s="41" t="s">
        <v>256</v>
      </c>
      <c r="B375" s="44"/>
      <c r="C375" s="51">
        <f t="shared" ref="C375:R375" si="287">C314+C334+C373</f>
        <v>657959</v>
      </c>
      <c r="D375" s="51">
        <f t="shared" si="287"/>
        <v>675239</v>
      </c>
      <c r="E375" s="51">
        <f t="shared" si="287"/>
        <v>891017.15000000014</v>
      </c>
      <c r="F375" s="51">
        <f t="shared" si="287"/>
        <v>1245691</v>
      </c>
      <c r="G375" s="51">
        <f t="shared" si="287"/>
        <v>894446</v>
      </c>
      <c r="H375" s="51">
        <f t="shared" si="287"/>
        <v>928540</v>
      </c>
      <c r="I375" s="51">
        <f t="shared" si="287"/>
        <v>797571.2</v>
      </c>
      <c r="J375" s="51">
        <f t="shared" si="287"/>
        <v>820564.7962999997</v>
      </c>
      <c r="K375" s="51">
        <f t="shared" si="287"/>
        <v>845416.93614370003</v>
      </c>
      <c r="L375" s="51">
        <f t="shared" si="287"/>
        <v>871792.75061672984</v>
      </c>
      <c r="M375" s="51">
        <f t="shared" si="287"/>
        <v>945574.70350509998</v>
      </c>
      <c r="N375" s="51">
        <f t="shared" si="287"/>
        <v>924645.07350527414</v>
      </c>
      <c r="O375" s="51">
        <f t="shared" si="287"/>
        <v>952961.3454170496</v>
      </c>
      <c r="P375" s="51">
        <f t="shared" si="287"/>
        <v>985380.89583085361</v>
      </c>
      <c r="Q375" s="51">
        <f t="shared" si="287"/>
        <v>1016681.3799406197</v>
      </c>
      <c r="R375" s="51">
        <f t="shared" si="287"/>
        <v>1101223.4016377539</v>
      </c>
    </row>
    <row r="376" spans="1:18" x14ac:dyDescent="0.25"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</row>
    <row r="377" spans="1:18" x14ac:dyDescent="0.25"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</row>
    <row r="378" spans="1:18" x14ac:dyDescent="0.25">
      <c r="A378" s="48" t="s">
        <v>160</v>
      </c>
      <c r="B378" s="44"/>
      <c r="C378" s="50"/>
      <c r="D378" s="50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</row>
    <row r="379" spans="1:18" x14ac:dyDescent="0.25"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</row>
    <row r="380" spans="1:18" x14ac:dyDescent="0.25">
      <c r="A380" s="41" t="s">
        <v>257</v>
      </c>
      <c r="C380" s="50"/>
      <c r="D380" s="50"/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</row>
    <row r="381" spans="1:18" x14ac:dyDescent="0.25"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</row>
    <row r="382" spans="1:18" x14ac:dyDescent="0.25">
      <c r="A382" s="41" t="s">
        <v>202</v>
      </c>
      <c r="B382" s="44"/>
      <c r="C382" s="50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</row>
    <row r="383" spans="1:18" x14ac:dyDescent="0.25">
      <c r="C383" s="50"/>
      <c r="D383" s="50"/>
      <c r="E383" s="50"/>
      <c r="F383" s="50"/>
      <c r="G383" s="50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</row>
    <row r="384" spans="1:18" x14ac:dyDescent="0.25">
      <c r="A384" s="43" t="s">
        <v>258</v>
      </c>
      <c r="C384" s="54">
        <v>17847</v>
      </c>
      <c r="D384" s="54">
        <v>18275</v>
      </c>
      <c r="E384" s="43">
        <v>18732</v>
      </c>
      <c r="F384" s="54">
        <v>19182</v>
      </c>
      <c r="G384" s="54">
        <v>19633</v>
      </c>
      <c r="H384" s="54">
        <v>19633</v>
      </c>
      <c r="I384" s="54">
        <v>19633</v>
      </c>
      <c r="J384" s="54">
        <f t="shared" ref="J384:K384" si="288">I384*1.024</f>
        <v>20104.191999999999</v>
      </c>
      <c r="K384" s="54">
        <f t="shared" si="288"/>
        <v>20586.692608000001</v>
      </c>
      <c r="L384" s="54">
        <f t="shared" ref="L384:L392" si="289">K384*1.023</f>
        <v>21060.186537983998</v>
      </c>
      <c r="M384" s="54">
        <f t="shared" ref="M384:M392" si="290">L384*1.022</f>
        <v>21523.510641819648</v>
      </c>
      <c r="N384" s="54">
        <f t="shared" ref="N384:N392" si="291">M384*1.023</f>
        <v>22018.551386581497</v>
      </c>
      <c r="O384" s="54">
        <f t="shared" ref="O384:P384" si="292">N384*1.025</f>
        <v>22569.015171246032</v>
      </c>
      <c r="P384" s="54">
        <f t="shared" si="292"/>
        <v>23133.240550527182</v>
      </c>
      <c r="Q384" s="54">
        <f t="shared" ref="Q384:R392" si="293">P384*1.024</f>
        <v>23688.438323739836</v>
      </c>
      <c r="R384" s="54">
        <f t="shared" si="293"/>
        <v>24256.960843509594</v>
      </c>
    </row>
    <row r="385" spans="1:18" x14ac:dyDescent="0.25">
      <c r="A385" s="52" t="s">
        <v>259</v>
      </c>
      <c r="B385" s="53"/>
      <c r="C385" s="54">
        <v>65045</v>
      </c>
      <c r="D385" s="54">
        <f>93115+334</f>
        <v>93449</v>
      </c>
      <c r="E385" s="50">
        <f>99550+409.09+327.27+23.42</f>
        <v>100309.78</v>
      </c>
      <c r="F385" s="50">
        <f>106292+258</f>
        <v>106550</v>
      </c>
      <c r="G385" s="50">
        <v>115920</v>
      </c>
      <c r="H385" s="50">
        <v>110240</v>
      </c>
      <c r="I385" s="54">
        <v>112780</v>
      </c>
      <c r="J385" s="54">
        <v>115530.72</v>
      </c>
      <c r="K385" s="54">
        <v>118306.25727999999</v>
      </c>
      <c r="L385" s="54">
        <v>121000.17119744</v>
      </c>
      <c r="M385" s="54">
        <v>123635.79496378367</v>
      </c>
      <c r="N385" s="54">
        <v>126513.20824795069</v>
      </c>
      <c r="O385" s="54">
        <v>129708.28845414944</v>
      </c>
      <c r="P385" s="54">
        <v>132952.2456655032</v>
      </c>
      <c r="Q385" s="54">
        <v>136114.45956147526</v>
      </c>
      <c r="R385" s="54">
        <v>139373.04659095066</v>
      </c>
    </row>
    <row r="386" spans="1:18" x14ac:dyDescent="0.25">
      <c r="A386" s="52" t="s">
        <v>260</v>
      </c>
      <c r="B386" s="53"/>
      <c r="C386" s="54">
        <v>0</v>
      </c>
      <c r="D386" s="54">
        <v>0</v>
      </c>
      <c r="E386" s="43">
        <v>0</v>
      </c>
      <c r="F386" s="50">
        <v>0</v>
      </c>
      <c r="G386" s="50">
        <v>0</v>
      </c>
      <c r="H386" s="50">
        <v>0</v>
      </c>
      <c r="I386" s="54">
        <f t="shared" ref="I386:I392" si="294">H386*1.023</f>
        <v>0</v>
      </c>
      <c r="J386" s="54">
        <f t="shared" ref="J386:K392" si="295">I386*1.024</f>
        <v>0</v>
      </c>
      <c r="K386" s="54">
        <f t="shared" si="295"/>
        <v>0</v>
      </c>
      <c r="L386" s="54">
        <f t="shared" si="289"/>
        <v>0</v>
      </c>
      <c r="M386" s="54">
        <f t="shared" si="290"/>
        <v>0</v>
      </c>
      <c r="N386" s="54">
        <f t="shared" si="291"/>
        <v>0</v>
      </c>
      <c r="O386" s="54">
        <f t="shared" ref="O386:P392" si="296">N386*1.025</f>
        <v>0</v>
      </c>
      <c r="P386" s="54">
        <f t="shared" si="296"/>
        <v>0</v>
      </c>
      <c r="Q386" s="54">
        <f t="shared" si="293"/>
        <v>0</v>
      </c>
      <c r="R386" s="54">
        <f t="shared" si="293"/>
        <v>0</v>
      </c>
    </row>
    <row r="387" spans="1:18" x14ac:dyDescent="0.25">
      <c r="A387" s="52" t="s">
        <v>261</v>
      </c>
      <c r="B387" s="53"/>
      <c r="C387" s="54">
        <f>56984+152</f>
        <v>57136</v>
      </c>
      <c r="D387" s="54">
        <v>65290</v>
      </c>
      <c r="E387" s="50">
        <f>64021-799</f>
        <v>63222</v>
      </c>
      <c r="F387" s="50">
        <v>66703</v>
      </c>
      <c r="G387" s="50">
        <v>59118</v>
      </c>
      <c r="H387" s="50">
        <v>70500</v>
      </c>
      <c r="I387" s="54">
        <f t="shared" si="294"/>
        <v>72121.5</v>
      </c>
      <c r="J387" s="54">
        <f t="shared" si="295"/>
        <v>73852.415999999997</v>
      </c>
      <c r="K387" s="54">
        <f t="shared" si="295"/>
        <v>75624.873984000005</v>
      </c>
      <c r="L387" s="54">
        <f t="shared" si="289"/>
        <v>77364.246085631996</v>
      </c>
      <c r="M387" s="54">
        <f t="shared" si="290"/>
        <v>79066.259499515902</v>
      </c>
      <c r="N387" s="54">
        <f t="shared" si="291"/>
        <v>80884.783468004767</v>
      </c>
      <c r="O387" s="54">
        <f t="shared" si="296"/>
        <v>82906.903054704875</v>
      </c>
      <c r="P387" s="54">
        <f t="shared" si="296"/>
        <v>84979.575631072483</v>
      </c>
      <c r="Q387" s="54">
        <f t="shared" si="293"/>
        <v>87019.085446218218</v>
      </c>
      <c r="R387" s="54">
        <f t="shared" si="293"/>
        <v>89107.54349692745</v>
      </c>
    </row>
    <row r="388" spans="1:18" x14ac:dyDescent="0.25">
      <c r="A388" s="52" t="s">
        <v>262</v>
      </c>
      <c r="B388" s="53"/>
      <c r="C388" s="54">
        <v>0</v>
      </c>
      <c r="D388" s="54">
        <f>C388*1.024</f>
        <v>0</v>
      </c>
      <c r="E388" s="43">
        <v>0</v>
      </c>
      <c r="F388" s="54">
        <v>0</v>
      </c>
      <c r="G388" s="54">
        <v>0</v>
      </c>
      <c r="H388" s="54">
        <v>0</v>
      </c>
      <c r="I388" s="54">
        <f t="shared" si="294"/>
        <v>0</v>
      </c>
      <c r="J388" s="54">
        <f t="shared" si="295"/>
        <v>0</v>
      </c>
      <c r="K388" s="54">
        <f t="shared" si="295"/>
        <v>0</v>
      </c>
      <c r="L388" s="54">
        <f t="shared" si="289"/>
        <v>0</v>
      </c>
      <c r="M388" s="54">
        <f t="shared" si="290"/>
        <v>0</v>
      </c>
      <c r="N388" s="54">
        <f t="shared" si="291"/>
        <v>0</v>
      </c>
      <c r="O388" s="54">
        <f t="shared" si="296"/>
        <v>0</v>
      </c>
      <c r="P388" s="54">
        <f t="shared" si="296"/>
        <v>0</v>
      </c>
      <c r="Q388" s="54">
        <f t="shared" si="293"/>
        <v>0</v>
      </c>
      <c r="R388" s="54">
        <f t="shared" si="293"/>
        <v>0</v>
      </c>
    </row>
    <row r="389" spans="1:18" x14ac:dyDescent="0.25">
      <c r="A389" s="52" t="s">
        <v>263</v>
      </c>
      <c r="B389" s="53"/>
      <c r="C389" s="54">
        <f>5352-152</f>
        <v>5200</v>
      </c>
      <c r="D389" s="54">
        <v>5004</v>
      </c>
      <c r="E389" s="43">
        <v>7204</v>
      </c>
      <c r="F389" s="54">
        <v>4650</v>
      </c>
      <c r="G389" s="54">
        <v>4420</v>
      </c>
      <c r="H389" s="54">
        <v>4500</v>
      </c>
      <c r="I389" s="54">
        <f t="shared" si="294"/>
        <v>4603.5</v>
      </c>
      <c r="J389" s="54">
        <f t="shared" si="295"/>
        <v>4713.9840000000004</v>
      </c>
      <c r="K389" s="54">
        <f t="shared" si="295"/>
        <v>4827.1196160000009</v>
      </c>
      <c r="L389" s="54">
        <f t="shared" si="289"/>
        <v>4938.1433671680006</v>
      </c>
      <c r="M389" s="54">
        <f t="shared" si="290"/>
        <v>5046.7825212456964</v>
      </c>
      <c r="N389" s="54">
        <f t="shared" si="291"/>
        <v>5162.8585192343471</v>
      </c>
      <c r="O389" s="54">
        <f t="shared" si="296"/>
        <v>5291.9299822152052</v>
      </c>
      <c r="P389" s="54">
        <f t="shared" si="296"/>
        <v>5424.2282317705849</v>
      </c>
      <c r="Q389" s="54">
        <f t="shared" si="293"/>
        <v>5554.4097093330793</v>
      </c>
      <c r="R389" s="54">
        <f t="shared" si="293"/>
        <v>5687.715542357073</v>
      </c>
    </row>
    <row r="390" spans="1:18" x14ac:dyDescent="0.25">
      <c r="A390" s="52" t="s">
        <v>264</v>
      </c>
      <c r="B390" s="53"/>
      <c r="C390" s="54">
        <v>4096</v>
      </c>
      <c r="D390" s="54">
        <v>5163</v>
      </c>
      <c r="E390" s="50">
        <v>5283</v>
      </c>
      <c r="F390" s="54">
        <v>5135</v>
      </c>
      <c r="G390" s="54">
        <v>4810</v>
      </c>
      <c r="H390" s="54">
        <v>5000</v>
      </c>
      <c r="I390" s="54">
        <f t="shared" si="294"/>
        <v>5115</v>
      </c>
      <c r="J390" s="54">
        <f t="shared" si="295"/>
        <v>5237.76</v>
      </c>
      <c r="K390" s="54">
        <f t="shared" si="295"/>
        <v>5363.4662400000007</v>
      </c>
      <c r="L390" s="54">
        <f t="shared" si="289"/>
        <v>5486.8259635200002</v>
      </c>
      <c r="M390" s="54">
        <f t="shared" si="290"/>
        <v>5607.5361347174403</v>
      </c>
      <c r="N390" s="54">
        <f t="shared" si="291"/>
        <v>5736.5094658159405</v>
      </c>
      <c r="O390" s="54">
        <f t="shared" si="296"/>
        <v>5879.9222024613382</v>
      </c>
      <c r="P390" s="54">
        <f t="shared" si="296"/>
        <v>6026.920257522871</v>
      </c>
      <c r="Q390" s="54">
        <f t="shared" si="293"/>
        <v>6171.56634370342</v>
      </c>
      <c r="R390" s="54">
        <f t="shared" si="293"/>
        <v>6319.6839359523019</v>
      </c>
    </row>
    <row r="391" spans="1:18" x14ac:dyDescent="0.25">
      <c r="A391" s="59" t="s">
        <v>265</v>
      </c>
      <c r="B391" s="66"/>
      <c r="C391" s="54">
        <v>0</v>
      </c>
      <c r="D391" s="54">
        <v>1095</v>
      </c>
      <c r="E391" s="43">
        <v>0</v>
      </c>
      <c r="F391" s="54">
        <v>0</v>
      </c>
      <c r="G391" s="54">
        <v>0</v>
      </c>
      <c r="H391" s="54">
        <v>0</v>
      </c>
      <c r="I391" s="54">
        <f t="shared" si="294"/>
        <v>0</v>
      </c>
      <c r="J391" s="54">
        <f t="shared" si="295"/>
        <v>0</v>
      </c>
      <c r="K391" s="54">
        <f t="shared" si="295"/>
        <v>0</v>
      </c>
      <c r="L391" s="54">
        <f t="shared" si="289"/>
        <v>0</v>
      </c>
      <c r="M391" s="54">
        <f t="shared" si="290"/>
        <v>0</v>
      </c>
      <c r="N391" s="54">
        <f t="shared" si="291"/>
        <v>0</v>
      </c>
      <c r="O391" s="54">
        <f t="shared" si="296"/>
        <v>0</v>
      </c>
      <c r="P391" s="54">
        <f t="shared" si="296"/>
        <v>0</v>
      </c>
      <c r="Q391" s="54">
        <f t="shared" si="293"/>
        <v>0</v>
      </c>
      <c r="R391" s="54">
        <f t="shared" si="293"/>
        <v>0</v>
      </c>
    </row>
    <row r="392" spans="1:18" x14ac:dyDescent="0.25">
      <c r="A392" s="52" t="s">
        <v>266</v>
      </c>
      <c r="B392" s="53"/>
      <c r="C392" s="54">
        <v>745</v>
      </c>
      <c r="D392" s="54">
        <v>624</v>
      </c>
      <c r="E392" s="50">
        <f>1259+50+86.25</f>
        <v>1395.25</v>
      </c>
      <c r="F392" s="54">
        <v>570</v>
      </c>
      <c r="G392" s="54">
        <v>674</v>
      </c>
      <c r="H392" s="54">
        <v>1000</v>
      </c>
      <c r="I392" s="54">
        <f t="shared" si="294"/>
        <v>1022.9999999999999</v>
      </c>
      <c r="J392" s="54">
        <f t="shared" si="295"/>
        <v>1047.5519999999999</v>
      </c>
      <c r="K392" s="54">
        <f t="shared" si="295"/>
        <v>1072.693248</v>
      </c>
      <c r="L392" s="54">
        <f t="shared" si="289"/>
        <v>1097.365192704</v>
      </c>
      <c r="M392" s="54">
        <f t="shared" si="290"/>
        <v>1121.5072269434881</v>
      </c>
      <c r="N392" s="54">
        <f t="shared" si="291"/>
        <v>1147.3018931631882</v>
      </c>
      <c r="O392" s="54">
        <f t="shared" si="296"/>
        <v>1175.9844404922678</v>
      </c>
      <c r="P392" s="54">
        <f t="shared" si="296"/>
        <v>1205.3840515045745</v>
      </c>
      <c r="Q392" s="54">
        <f t="shared" si="293"/>
        <v>1234.3132687406842</v>
      </c>
      <c r="R392" s="54">
        <f t="shared" si="293"/>
        <v>1263.9367871904606</v>
      </c>
    </row>
    <row r="393" spans="1:18" x14ac:dyDescent="0.25">
      <c r="A393" s="52" t="s">
        <v>267</v>
      </c>
      <c r="B393" s="53"/>
      <c r="C393" s="54"/>
      <c r="D393" s="54">
        <v>14780</v>
      </c>
      <c r="E393" s="43">
        <v>0</v>
      </c>
      <c r="F393" s="59">
        <v>21827</v>
      </c>
      <c r="G393" s="50">
        <v>0</v>
      </c>
      <c r="H393" s="50">
        <v>33000</v>
      </c>
      <c r="I393" s="50">
        <v>0</v>
      </c>
      <c r="J393" s="50">
        <v>34600</v>
      </c>
      <c r="K393" s="50">
        <v>0</v>
      </c>
      <c r="L393" s="50">
        <v>36200</v>
      </c>
      <c r="M393" s="50">
        <v>0</v>
      </c>
      <c r="N393" s="50">
        <v>37800</v>
      </c>
      <c r="O393" s="50">
        <v>0</v>
      </c>
      <c r="P393" s="50">
        <v>38800</v>
      </c>
      <c r="Q393" s="50">
        <v>0</v>
      </c>
      <c r="R393" s="50">
        <v>40800</v>
      </c>
    </row>
    <row r="394" spans="1:18" x14ac:dyDescent="0.25">
      <c r="A394" s="52" t="s">
        <v>268</v>
      </c>
      <c r="B394" s="53"/>
      <c r="C394" s="54">
        <v>0</v>
      </c>
      <c r="D394" s="54">
        <f>C394*1.024</f>
        <v>0</v>
      </c>
      <c r="E394" s="43">
        <v>0</v>
      </c>
      <c r="F394" s="54">
        <v>0</v>
      </c>
      <c r="G394" s="54">
        <v>0</v>
      </c>
      <c r="H394" s="54">
        <v>0</v>
      </c>
      <c r="I394" s="54">
        <f t="shared" ref="I394:I396" si="297">H394*1.02</f>
        <v>0</v>
      </c>
      <c r="J394" s="54">
        <f t="shared" ref="J394:J396" si="298">I394*1.021</f>
        <v>0</v>
      </c>
      <c r="K394" s="54">
        <f t="shared" ref="K394:K396" si="299">J394*1.023</f>
        <v>0</v>
      </c>
      <c r="L394" s="54">
        <f t="shared" ref="L394:L396" si="300">K394*1.024</f>
        <v>0</v>
      </c>
      <c r="M394" s="54">
        <f t="shared" ref="M394:M396" si="301">L394*1.023</f>
        <v>0</v>
      </c>
      <c r="N394" s="54">
        <f t="shared" ref="N394:N396" si="302">M394*1.021</f>
        <v>0</v>
      </c>
      <c r="O394" s="54">
        <f t="shared" ref="O394:O396" si="303">N394*1.022</f>
        <v>0</v>
      </c>
      <c r="P394" s="54">
        <f t="shared" ref="P394:R396" si="304">O394*1.025</f>
        <v>0</v>
      </c>
      <c r="Q394" s="54">
        <f t="shared" si="304"/>
        <v>0</v>
      </c>
      <c r="R394" s="54">
        <f t="shared" si="304"/>
        <v>0</v>
      </c>
    </row>
    <row r="395" spans="1:18" x14ac:dyDescent="0.25">
      <c r="A395" s="52" t="s">
        <v>269</v>
      </c>
      <c r="B395" s="53"/>
      <c r="C395" s="54">
        <v>11711</v>
      </c>
      <c r="D395" s="54">
        <v>0</v>
      </c>
      <c r="E395" s="43">
        <v>0</v>
      </c>
      <c r="F395" s="54">
        <v>0</v>
      </c>
      <c r="G395" s="54">
        <v>0</v>
      </c>
      <c r="H395" s="54">
        <v>0</v>
      </c>
      <c r="I395" s="54">
        <f t="shared" si="297"/>
        <v>0</v>
      </c>
      <c r="J395" s="54">
        <f t="shared" si="298"/>
        <v>0</v>
      </c>
      <c r="K395" s="54">
        <f t="shared" si="299"/>
        <v>0</v>
      </c>
      <c r="L395" s="54">
        <f t="shared" si="300"/>
        <v>0</v>
      </c>
      <c r="M395" s="54">
        <f t="shared" si="301"/>
        <v>0</v>
      </c>
      <c r="N395" s="54">
        <f t="shared" si="302"/>
        <v>0</v>
      </c>
      <c r="O395" s="54">
        <f t="shared" si="303"/>
        <v>0</v>
      </c>
      <c r="P395" s="54">
        <f t="shared" si="304"/>
        <v>0</v>
      </c>
      <c r="Q395" s="54">
        <f t="shared" si="304"/>
        <v>0</v>
      </c>
      <c r="R395" s="54">
        <f t="shared" si="304"/>
        <v>0</v>
      </c>
    </row>
    <row r="396" spans="1:18" x14ac:dyDescent="0.25">
      <c r="A396" s="52" t="s">
        <v>270</v>
      </c>
      <c r="B396" s="53"/>
      <c r="C396" s="54">
        <v>54676</v>
      </c>
      <c r="D396" s="54">
        <v>0</v>
      </c>
      <c r="E396" s="43">
        <v>0</v>
      </c>
      <c r="F396" s="54">
        <v>0</v>
      </c>
      <c r="G396" s="54">
        <v>0</v>
      </c>
      <c r="H396" s="54">
        <v>0</v>
      </c>
      <c r="I396" s="54">
        <f t="shared" si="297"/>
        <v>0</v>
      </c>
      <c r="J396" s="54">
        <f t="shared" si="298"/>
        <v>0</v>
      </c>
      <c r="K396" s="54">
        <f t="shared" si="299"/>
        <v>0</v>
      </c>
      <c r="L396" s="54">
        <f t="shared" si="300"/>
        <v>0</v>
      </c>
      <c r="M396" s="54">
        <f t="shared" si="301"/>
        <v>0</v>
      </c>
      <c r="N396" s="54">
        <f t="shared" si="302"/>
        <v>0</v>
      </c>
      <c r="O396" s="54">
        <f t="shared" si="303"/>
        <v>0</v>
      </c>
      <c r="P396" s="54">
        <f t="shared" si="304"/>
        <v>0</v>
      </c>
      <c r="Q396" s="54">
        <f t="shared" si="304"/>
        <v>0</v>
      </c>
      <c r="R396" s="54">
        <f t="shared" si="304"/>
        <v>0</v>
      </c>
    </row>
    <row r="397" spans="1:18" x14ac:dyDescent="0.25">
      <c r="A397" s="52" t="s">
        <v>271</v>
      </c>
      <c r="B397" s="53"/>
      <c r="C397" s="54"/>
      <c r="D397" s="54"/>
      <c r="E397" s="43">
        <v>7800</v>
      </c>
      <c r="F397" s="54">
        <v>8800</v>
      </c>
      <c r="G397" s="50">
        <v>0</v>
      </c>
      <c r="H397" s="50">
        <v>0</v>
      </c>
      <c r="I397" s="50">
        <v>14000</v>
      </c>
      <c r="J397" s="50">
        <v>0</v>
      </c>
      <c r="K397" s="50">
        <v>14700</v>
      </c>
      <c r="L397" s="50">
        <v>0</v>
      </c>
      <c r="M397" s="50">
        <v>15400</v>
      </c>
      <c r="N397" s="50">
        <v>0</v>
      </c>
      <c r="O397" s="50">
        <v>16200</v>
      </c>
      <c r="P397" s="50">
        <v>0</v>
      </c>
      <c r="Q397" s="50">
        <v>17000</v>
      </c>
      <c r="R397" s="50">
        <v>0</v>
      </c>
    </row>
    <row r="398" spans="1:18" x14ac:dyDescent="0.25">
      <c r="C398" s="50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</row>
    <row r="399" spans="1:18" x14ac:dyDescent="0.25">
      <c r="A399" s="41" t="s">
        <v>216</v>
      </c>
      <c r="B399" s="44"/>
      <c r="C399" s="51">
        <f t="shared" ref="C399" si="305">SUM(C384:C398)</f>
        <v>216456</v>
      </c>
      <c r="D399" s="51">
        <f t="shared" ref="D399:R399" si="306">SUM(D384:D398)</f>
        <v>203680</v>
      </c>
      <c r="E399" s="51">
        <f t="shared" si="306"/>
        <v>203946.03</v>
      </c>
      <c r="F399" s="51">
        <f t="shared" si="306"/>
        <v>233417</v>
      </c>
      <c r="G399" s="51">
        <f t="shared" si="306"/>
        <v>204575</v>
      </c>
      <c r="H399" s="51">
        <f t="shared" si="306"/>
        <v>243873</v>
      </c>
      <c r="I399" s="51">
        <f t="shared" si="306"/>
        <v>229276</v>
      </c>
      <c r="J399" s="51">
        <f t="shared" si="306"/>
        <v>255086.62400000001</v>
      </c>
      <c r="K399" s="51">
        <f t="shared" si="306"/>
        <v>240481.10297600002</v>
      </c>
      <c r="L399" s="51">
        <f t="shared" si="306"/>
        <v>267146.93834444799</v>
      </c>
      <c r="M399" s="51">
        <f t="shared" si="306"/>
        <v>251401.39098802584</v>
      </c>
      <c r="N399" s="51">
        <f t="shared" si="306"/>
        <v>279263.21298075037</v>
      </c>
      <c r="O399" s="51">
        <f t="shared" si="306"/>
        <v>263732.04330526915</v>
      </c>
      <c r="P399" s="51">
        <f t="shared" si="306"/>
        <v>292521.5943879009</v>
      </c>
      <c r="Q399" s="51">
        <f t="shared" si="306"/>
        <v>276782.27265321056</v>
      </c>
      <c r="R399" s="51">
        <f t="shared" si="306"/>
        <v>306808.88719688752</v>
      </c>
    </row>
    <row r="400" spans="1:18" x14ac:dyDescent="0.25"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</row>
    <row r="401" spans="1:18" x14ac:dyDescent="0.25">
      <c r="A401" s="41" t="s">
        <v>165</v>
      </c>
      <c r="B401" s="44"/>
      <c r="C401" s="50"/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</row>
    <row r="402" spans="1:18" x14ac:dyDescent="0.25">
      <c r="C402" s="50"/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</row>
    <row r="403" spans="1:18" x14ac:dyDescent="0.25">
      <c r="A403" s="43" t="s">
        <v>217</v>
      </c>
      <c r="C403" s="52">
        <f>248133+833</f>
        <v>248966</v>
      </c>
      <c r="D403" s="54">
        <v>203294</v>
      </c>
      <c r="E403" s="50">
        <f>195514-792.42</f>
        <v>194721.58</v>
      </c>
      <c r="F403" s="43">
        <v>200056</v>
      </c>
      <c r="G403" s="43">
        <v>195053</v>
      </c>
      <c r="H403" s="43">
        <v>235600</v>
      </c>
      <c r="I403" s="50">
        <f>H403*1.025</f>
        <v>241489.99999999997</v>
      </c>
      <c r="J403" s="50">
        <f>I403*1.029</f>
        <v>248493.20999999996</v>
      </c>
      <c r="K403" s="54">
        <f>J403*1.031</f>
        <v>256196.49950999994</v>
      </c>
      <c r="L403" s="54">
        <f>K403*1.033</f>
        <v>264650.98399382993</v>
      </c>
      <c r="M403" s="54">
        <f>L403*1.032</f>
        <v>273119.81548163248</v>
      </c>
      <c r="N403" s="54">
        <f>M403*1.03</f>
        <v>281313.40994608146</v>
      </c>
      <c r="O403" s="54">
        <f>N403*1.032</f>
        <v>290315.43906435609</v>
      </c>
      <c r="P403" s="54">
        <f>O403*1.034</f>
        <v>300186.16399254423</v>
      </c>
      <c r="Q403" s="54">
        <f>P403*1.034</f>
        <v>310392.49356829072</v>
      </c>
      <c r="R403" s="54">
        <f>Q403*1.034</f>
        <v>320945.8383496126</v>
      </c>
    </row>
    <row r="404" spans="1:18" x14ac:dyDescent="0.25">
      <c r="A404" s="43" t="s">
        <v>219</v>
      </c>
      <c r="C404" s="52">
        <v>358</v>
      </c>
      <c r="D404" s="50">
        <v>2765</v>
      </c>
      <c r="E404" s="43">
        <v>1507</v>
      </c>
      <c r="F404" s="50">
        <v>777</v>
      </c>
      <c r="G404" s="50">
        <v>1733</v>
      </c>
      <c r="H404" s="50">
        <v>1500</v>
      </c>
      <c r="I404" s="54">
        <f t="shared" ref="I404" si="307">H404*1.023</f>
        <v>1534.4999999999998</v>
      </c>
      <c r="J404" s="54">
        <f t="shared" ref="J404:K404" si="308">I404*1.024</f>
        <v>1571.3279999999997</v>
      </c>
      <c r="K404" s="54">
        <f t="shared" si="308"/>
        <v>1609.0398719999998</v>
      </c>
      <c r="L404" s="54">
        <f t="shared" ref="L404" si="309">K404*1.023</f>
        <v>1646.0477890559996</v>
      </c>
      <c r="M404" s="54">
        <f t="shared" ref="M404" si="310">L404*1.022</f>
        <v>1682.2608404152315</v>
      </c>
      <c r="N404" s="54">
        <f t="shared" ref="N404" si="311">M404*1.023</f>
        <v>1720.9528397447816</v>
      </c>
      <c r="O404" s="54">
        <f t="shared" ref="O404:P404" si="312">N404*1.025</f>
        <v>1763.9766607384011</v>
      </c>
      <c r="P404" s="54">
        <f t="shared" si="312"/>
        <v>1808.076077256861</v>
      </c>
      <c r="Q404" s="54">
        <f t="shared" ref="Q404:R404" si="313">P404*1.024</f>
        <v>1851.4699031110258</v>
      </c>
      <c r="R404" s="54">
        <f t="shared" si="313"/>
        <v>1895.9051807856904</v>
      </c>
    </row>
    <row r="405" spans="1:18" x14ac:dyDescent="0.25">
      <c r="A405" s="43" t="s">
        <v>220</v>
      </c>
      <c r="C405" s="52">
        <v>20583</v>
      </c>
      <c r="D405" s="50">
        <v>22723</v>
      </c>
      <c r="E405" s="43">
        <v>32042</v>
      </c>
      <c r="F405" s="50">
        <v>30079</v>
      </c>
      <c r="G405" s="50">
        <v>12716</v>
      </c>
      <c r="H405" s="50">
        <v>27800</v>
      </c>
      <c r="I405" s="50">
        <f>H405*1.025</f>
        <v>28494.999999999996</v>
      </c>
      <c r="J405" s="50">
        <f>I405*1.029</f>
        <v>29321.354999999992</v>
      </c>
      <c r="K405" s="54">
        <f>J405*1.031</f>
        <v>30230.31700499999</v>
      </c>
      <c r="L405" s="54">
        <f>K405*1.033</f>
        <v>31227.917466164989</v>
      </c>
      <c r="M405" s="54">
        <f>L405*1.032</f>
        <v>32227.210825082268</v>
      </c>
      <c r="N405" s="54">
        <f>M405*1.03</f>
        <v>33194.027149834736</v>
      </c>
      <c r="O405" s="54">
        <f>N405*1.032</f>
        <v>34256.236018629446</v>
      </c>
      <c r="P405" s="54">
        <f>O405*1.034</f>
        <v>35420.948043262848</v>
      </c>
      <c r="Q405" s="54">
        <f>P405*1.034</f>
        <v>36625.260276733788</v>
      </c>
      <c r="R405" s="54">
        <f>Q405*1.034</f>
        <v>37870.519126142739</v>
      </c>
    </row>
    <row r="406" spans="1:18" x14ac:dyDescent="0.25">
      <c r="A406" t="s">
        <v>221</v>
      </c>
      <c r="C406" s="60">
        <v>0</v>
      </c>
      <c r="D406" s="57">
        <v>1102</v>
      </c>
      <c r="E406" s="60">
        <v>620</v>
      </c>
      <c r="F406" s="57">
        <v>0</v>
      </c>
      <c r="G406" s="57">
        <v>277</v>
      </c>
      <c r="H406" s="60">
        <v>930</v>
      </c>
      <c r="I406" s="60">
        <v>930</v>
      </c>
      <c r="J406" s="60">
        <v>930</v>
      </c>
      <c r="K406" s="60">
        <v>930</v>
      </c>
      <c r="L406" s="60">
        <v>1050</v>
      </c>
      <c r="M406" s="60">
        <v>1050</v>
      </c>
      <c r="N406" s="60">
        <v>1050</v>
      </c>
      <c r="O406" s="60">
        <v>1050</v>
      </c>
      <c r="P406" s="60">
        <v>1050</v>
      </c>
      <c r="Q406" s="60">
        <v>1170</v>
      </c>
      <c r="R406" s="60">
        <v>1170</v>
      </c>
    </row>
    <row r="407" spans="1:18" x14ac:dyDescent="0.25">
      <c r="A407" s="52" t="s">
        <v>226</v>
      </c>
      <c r="B407" s="53"/>
      <c r="C407" s="52">
        <v>3171</v>
      </c>
      <c r="D407" s="50">
        <v>3775</v>
      </c>
      <c r="E407" s="43">
        <v>3156</v>
      </c>
      <c r="F407" s="50">
        <v>2301</v>
      </c>
      <c r="G407" s="50">
        <v>4018</v>
      </c>
      <c r="H407" s="50">
        <v>3600</v>
      </c>
      <c r="I407" s="54">
        <f t="shared" ref="I407:I410" si="314">H407*1.023</f>
        <v>3682.7999999999997</v>
      </c>
      <c r="J407" s="54">
        <f t="shared" ref="J407:K407" si="315">I407*1.024</f>
        <v>3771.1871999999998</v>
      </c>
      <c r="K407" s="54">
        <f t="shared" si="315"/>
        <v>3861.6956928</v>
      </c>
      <c r="L407" s="54">
        <f t="shared" ref="L407:L410" si="316">K407*1.023</f>
        <v>3950.5146937343998</v>
      </c>
      <c r="M407" s="54">
        <f t="shared" ref="M407:M410" si="317">L407*1.022</f>
        <v>4037.4260169965564</v>
      </c>
      <c r="N407" s="54">
        <f t="shared" ref="N407:N410" si="318">M407*1.023</f>
        <v>4130.286815387477</v>
      </c>
      <c r="O407" s="54">
        <f t="shared" ref="O407:P407" si="319">N407*1.025</f>
        <v>4233.5439857721631</v>
      </c>
      <c r="P407" s="54">
        <f t="shared" si="319"/>
        <v>4339.382585416467</v>
      </c>
      <c r="Q407" s="54">
        <f t="shared" ref="Q407:R410" si="320">P407*1.024</f>
        <v>4443.5277674664621</v>
      </c>
      <c r="R407" s="54">
        <f t="shared" si="320"/>
        <v>4550.1724338856575</v>
      </c>
    </row>
    <row r="408" spans="1:18" x14ac:dyDescent="0.25">
      <c r="A408" s="52" t="s">
        <v>272</v>
      </c>
      <c r="B408" s="53"/>
      <c r="C408" s="52">
        <v>0</v>
      </c>
      <c r="D408" s="54"/>
      <c r="E408" s="43">
        <v>0</v>
      </c>
      <c r="F408" s="50"/>
      <c r="G408" s="50">
        <v>0</v>
      </c>
      <c r="H408" s="50"/>
      <c r="I408" s="54"/>
      <c r="J408" s="54"/>
      <c r="K408" s="54"/>
      <c r="L408" s="54"/>
      <c r="M408" s="54"/>
      <c r="N408" s="54"/>
      <c r="O408" s="54"/>
      <c r="P408" s="54"/>
      <c r="Q408" s="54"/>
      <c r="R408" s="54"/>
    </row>
    <row r="409" spans="1:18" x14ac:dyDescent="0.25">
      <c r="A409" s="52" t="s">
        <v>273</v>
      </c>
      <c r="B409" s="53"/>
      <c r="C409" s="52">
        <v>1359</v>
      </c>
      <c r="D409" s="50">
        <v>1076</v>
      </c>
      <c r="E409" s="43">
        <v>1194</v>
      </c>
      <c r="F409" s="50">
        <v>620</v>
      </c>
      <c r="G409" s="50">
        <v>1055</v>
      </c>
      <c r="H409" s="50">
        <v>800</v>
      </c>
      <c r="I409" s="54">
        <f t="shared" si="314"/>
        <v>818.4</v>
      </c>
      <c r="J409" s="54">
        <f t="shared" ref="J409:K410" si="321">I409*1.024</f>
        <v>838.04160000000002</v>
      </c>
      <c r="K409" s="54">
        <f t="shared" si="321"/>
        <v>858.15459840000005</v>
      </c>
      <c r="L409" s="54">
        <f t="shared" si="316"/>
        <v>877.89215416319996</v>
      </c>
      <c r="M409" s="54">
        <f t="shared" si="317"/>
        <v>897.20578155479041</v>
      </c>
      <c r="N409" s="54">
        <f t="shared" si="318"/>
        <v>917.84151453055051</v>
      </c>
      <c r="O409" s="54">
        <f t="shared" ref="O409:P410" si="322">N409*1.025</f>
        <v>940.78755239381417</v>
      </c>
      <c r="P409" s="54">
        <f t="shared" si="322"/>
        <v>964.30724120365949</v>
      </c>
      <c r="Q409" s="54">
        <f t="shared" si="320"/>
        <v>987.45061499254734</v>
      </c>
      <c r="R409" s="54">
        <f t="shared" si="320"/>
        <v>1011.1494297523685</v>
      </c>
    </row>
    <row r="410" spans="1:18" x14ac:dyDescent="0.25">
      <c r="A410" s="52" t="s">
        <v>274</v>
      </c>
      <c r="B410" s="53"/>
      <c r="C410" s="52"/>
      <c r="D410" s="50"/>
      <c r="F410" s="50"/>
      <c r="G410" s="50">
        <v>0</v>
      </c>
      <c r="H410" s="50">
        <v>0</v>
      </c>
      <c r="I410" s="54">
        <f t="shared" si="314"/>
        <v>0</v>
      </c>
      <c r="J410" s="54">
        <f t="shared" si="321"/>
        <v>0</v>
      </c>
      <c r="K410" s="54">
        <f t="shared" si="321"/>
        <v>0</v>
      </c>
      <c r="L410" s="54">
        <f t="shared" si="316"/>
        <v>0</v>
      </c>
      <c r="M410" s="54">
        <f t="shared" si="317"/>
        <v>0</v>
      </c>
      <c r="N410" s="54">
        <f t="shared" si="318"/>
        <v>0</v>
      </c>
      <c r="O410" s="54">
        <f t="shared" si="322"/>
        <v>0</v>
      </c>
      <c r="P410" s="54">
        <f t="shared" si="322"/>
        <v>0</v>
      </c>
      <c r="Q410" s="54">
        <f t="shared" si="320"/>
        <v>0</v>
      </c>
      <c r="R410" s="54">
        <f t="shared" si="320"/>
        <v>0</v>
      </c>
    </row>
    <row r="411" spans="1:18" x14ac:dyDescent="0.25">
      <c r="A411" s="52" t="s">
        <v>275</v>
      </c>
      <c r="B411" s="53"/>
      <c r="C411" s="52"/>
      <c r="D411" s="50"/>
      <c r="F411" s="50"/>
      <c r="G411" s="50">
        <v>0</v>
      </c>
      <c r="H411" s="50">
        <v>0</v>
      </c>
      <c r="I411" s="54">
        <v>0</v>
      </c>
      <c r="J411" s="54">
        <v>0</v>
      </c>
      <c r="K411" s="54">
        <v>0</v>
      </c>
      <c r="L411" s="54">
        <v>0</v>
      </c>
      <c r="M411" s="54">
        <v>0</v>
      </c>
      <c r="N411" s="54">
        <v>0</v>
      </c>
      <c r="O411" s="54">
        <v>0</v>
      </c>
      <c r="P411" s="54">
        <v>0</v>
      </c>
      <c r="Q411" s="54">
        <v>0</v>
      </c>
      <c r="R411" s="54">
        <v>0</v>
      </c>
    </row>
    <row r="412" spans="1:18" x14ac:dyDescent="0.25">
      <c r="A412" s="52" t="s">
        <v>276</v>
      </c>
      <c r="B412" s="53"/>
      <c r="C412" s="67">
        <v>57820</v>
      </c>
      <c r="D412" s="54">
        <v>83759</v>
      </c>
      <c r="E412" s="50">
        <f>91212+56.59+7048.3+88.64</f>
        <v>98405.53</v>
      </c>
      <c r="F412" s="54">
        <f>95802-1430</f>
        <v>94372</v>
      </c>
      <c r="G412" s="54">
        <v>138521</v>
      </c>
      <c r="H412" s="54">
        <v>105800</v>
      </c>
      <c r="I412" s="54">
        <v>108252.59999999999</v>
      </c>
      <c r="J412" s="54">
        <v>110899.86239999998</v>
      </c>
      <c r="K412" s="54">
        <v>113632.33661759998</v>
      </c>
      <c r="L412" s="54">
        <v>116350.27282140478</v>
      </c>
      <c r="M412" s="54">
        <v>119017.81623630848</v>
      </c>
      <c r="N412" s="54">
        <v>121833.12775677396</v>
      </c>
      <c r="O412" s="54">
        <v>124959.19475013463</v>
      </c>
      <c r="P412" s="54">
        <v>128189.64004306101</v>
      </c>
      <c r="Q412" s="54">
        <v>131388.50834697767</v>
      </c>
      <c r="R412" s="54">
        <v>134668.3082662464</v>
      </c>
    </row>
    <row r="413" spans="1:18" x14ac:dyDescent="0.25">
      <c r="A413" s="52" t="s">
        <v>277</v>
      </c>
      <c r="B413" s="53"/>
      <c r="C413" s="52">
        <v>4677</v>
      </c>
      <c r="D413" s="54">
        <v>4666</v>
      </c>
      <c r="E413" s="43">
        <v>4977</v>
      </c>
      <c r="F413" s="54">
        <v>5821</v>
      </c>
      <c r="G413" s="54">
        <v>6039</v>
      </c>
      <c r="H413" s="54">
        <v>6800</v>
      </c>
      <c r="I413" s="54">
        <v>6957.7999999999993</v>
      </c>
      <c r="J413" s="54">
        <v>7128.3746999999994</v>
      </c>
      <c r="K413" s="54">
        <v>7304.6238452999996</v>
      </c>
      <c r="L413" s="54">
        <v>7480.2421440668986</v>
      </c>
      <c r="M413" s="54">
        <v>7652.6706159220957</v>
      </c>
      <c r="N413" s="54">
        <v>7834.3623758092717</v>
      </c>
      <c r="O413" s="54">
        <v>8036.0721809971001</v>
      </c>
      <c r="P413" s="54">
        <v>8244.7370893679763</v>
      </c>
      <c r="Q413" s="54">
        <v>8451.5297232647081</v>
      </c>
      <c r="R413" s="54">
        <v>8663.5886244625272</v>
      </c>
    </row>
    <row r="414" spans="1:18" x14ac:dyDescent="0.25">
      <c r="A414" s="52" t="s">
        <v>278</v>
      </c>
      <c r="B414" s="53"/>
      <c r="C414" s="52">
        <v>0</v>
      </c>
      <c r="D414" s="54">
        <v>33</v>
      </c>
      <c r="E414" s="43">
        <v>45</v>
      </c>
      <c r="F414" s="54">
        <v>0</v>
      </c>
      <c r="G414" s="54">
        <v>0</v>
      </c>
      <c r="H414" s="54">
        <v>100</v>
      </c>
      <c r="I414" s="54">
        <f t="shared" ref="I414" si="323">H414*1.023</f>
        <v>102.3</v>
      </c>
      <c r="J414" s="54">
        <f t="shared" ref="J414:K414" si="324">I414*1.024</f>
        <v>104.7552</v>
      </c>
      <c r="K414" s="54">
        <f t="shared" si="324"/>
        <v>107.26932480000001</v>
      </c>
      <c r="L414" s="54">
        <f t="shared" ref="L414" si="325">K414*1.023</f>
        <v>109.7365192704</v>
      </c>
      <c r="M414" s="54">
        <f t="shared" ref="M414" si="326">L414*1.022</f>
        <v>112.1507226943488</v>
      </c>
      <c r="N414" s="54">
        <f t="shared" ref="N414" si="327">M414*1.023</f>
        <v>114.73018931631881</v>
      </c>
      <c r="O414" s="54">
        <f t="shared" ref="O414:P414" si="328">N414*1.025</f>
        <v>117.59844404922677</v>
      </c>
      <c r="P414" s="54">
        <f t="shared" si="328"/>
        <v>120.53840515045744</v>
      </c>
      <c r="Q414" s="54">
        <f t="shared" ref="Q414:R414" si="329">P414*1.024</f>
        <v>123.43132687406842</v>
      </c>
      <c r="R414" s="54">
        <f t="shared" si="329"/>
        <v>126.39367871904606</v>
      </c>
    </row>
    <row r="415" spans="1:18" x14ac:dyDescent="0.25">
      <c r="A415" s="52" t="s">
        <v>261</v>
      </c>
      <c r="B415" s="53"/>
      <c r="C415" s="52">
        <v>61269</v>
      </c>
      <c r="D415" s="54">
        <v>69907</v>
      </c>
      <c r="E415" s="50">
        <f>72582-552.2+168.39</f>
        <v>72198.19</v>
      </c>
      <c r="F415" s="54">
        <v>91751</v>
      </c>
      <c r="G415" s="54">
        <v>67153</v>
      </c>
      <c r="H415" s="54">
        <v>75700</v>
      </c>
      <c r="I415" s="54">
        <v>77458.899999999994</v>
      </c>
      <c r="J415" s="54">
        <v>79363.526100000003</v>
      </c>
      <c r="K415" s="54">
        <v>81333.960093900008</v>
      </c>
      <c r="L415" s="54">
        <v>83301.421687334703</v>
      </c>
      <c r="M415" s="54">
        <v>85234.027232603141</v>
      </c>
      <c r="N415" s="54">
        <v>87266.631270262456</v>
      </c>
      <c r="O415" s="54">
        <v>89522.685105667741</v>
      </c>
      <c r="P415" s="54">
        <v>91859.454553636489</v>
      </c>
      <c r="Q415" s="54">
        <v>94177.479462055082</v>
      </c>
      <c r="R415" s="54">
        <v>96554.992500246168</v>
      </c>
    </row>
    <row r="416" spans="1:18" x14ac:dyDescent="0.25">
      <c r="A416" s="52" t="s">
        <v>262</v>
      </c>
      <c r="B416" s="53"/>
      <c r="C416" s="67">
        <v>1796</v>
      </c>
      <c r="D416" s="54">
        <v>1198</v>
      </c>
      <c r="E416" s="50">
        <f>2935-65+200-2775.37</f>
        <v>294.63000000000011</v>
      </c>
      <c r="F416" s="54">
        <v>633</v>
      </c>
      <c r="G416" s="54">
        <v>118</v>
      </c>
      <c r="H416" s="54">
        <v>1000</v>
      </c>
      <c r="I416" s="54">
        <v>1023.5999999999999</v>
      </c>
      <c r="J416" s="54">
        <v>1049.7039</v>
      </c>
      <c r="K416" s="54">
        <v>1077.1117161</v>
      </c>
      <c r="L416" s="54">
        <v>1105.1475499953001</v>
      </c>
      <c r="M416" s="54">
        <v>1132.8307152462214</v>
      </c>
      <c r="N416" s="54">
        <v>1161.3202512915848</v>
      </c>
      <c r="O416" s="54">
        <v>1192.8607200564161</v>
      </c>
      <c r="P416" s="54">
        <v>1226.009282563233</v>
      </c>
      <c r="Q416" s="54">
        <v>1259.2559098098509</v>
      </c>
      <c r="R416" s="54">
        <v>1293.430417862201</v>
      </c>
    </row>
    <row r="417" spans="1:18" x14ac:dyDescent="0.25">
      <c r="A417" s="52" t="s">
        <v>279</v>
      </c>
      <c r="B417" s="53"/>
      <c r="C417" s="52">
        <v>13662</v>
      </c>
      <c r="D417" s="50">
        <v>15010</v>
      </c>
      <c r="E417" s="50">
        <f>21966-2145.45+87.32</f>
        <v>19907.87</v>
      </c>
      <c r="F417" s="50">
        <v>19074</v>
      </c>
      <c r="G417" s="50">
        <v>16243</v>
      </c>
      <c r="H417" s="50">
        <v>19800</v>
      </c>
      <c r="I417" s="50">
        <v>20263.399999999998</v>
      </c>
      <c r="J417" s="50">
        <v>20770.221599999997</v>
      </c>
      <c r="K417" s="50">
        <v>21298.239218399998</v>
      </c>
      <c r="L417" s="50">
        <v>21831.595579423196</v>
      </c>
      <c r="M417" s="50">
        <v>22356.822937517507</v>
      </c>
      <c r="N417" s="50">
        <v>22903.488926343078</v>
      </c>
      <c r="O417" s="50">
        <v>23509.508982602209</v>
      </c>
      <c r="P417" s="50">
        <v>24141.607300572679</v>
      </c>
      <c r="Q417" s="50">
        <v>24771.971268654426</v>
      </c>
      <c r="R417" s="68">
        <v>25419.196795327654</v>
      </c>
    </row>
    <row r="418" spans="1:18" x14ac:dyDescent="0.25">
      <c r="A418" s="52" t="s">
        <v>265</v>
      </c>
      <c r="B418" s="53"/>
      <c r="C418" s="67">
        <v>6461</v>
      </c>
      <c r="D418" s="50">
        <v>15326</v>
      </c>
      <c r="E418" s="50">
        <f>250+2775.37+812.75</f>
        <v>3838.12</v>
      </c>
      <c r="F418" s="50">
        <v>3974</v>
      </c>
      <c r="G418" s="50">
        <v>5854</v>
      </c>
      <c r="H418" s="50">
        <v>4400</v>
      </c>
      <c r="I418" s="50">
        <v>4503</v>
      </c>
      <c r="J418" s="50">
        <v>4615.6844999999994</v>
      </c>
      <c r="K418" s="50">
        <v>4733.1056954999995</v>
      </c>
      <c r="L418" s="50">
        <v>4851.7539197714996</v>
      </c>
      <c r="M418" s="50">
        <v>4968.6022634595465</v>
      </c>
      <c r="N418" s="50">
        <v>5090.1834043032177</v>
      </c>
      <c r="O418" s="50">
        <v>5224.960376858422</v>
      </c>
      <c r="P418" s="50">
        <v>5365.5655197961014</v>
      </c>
      <c r="Q418" s="50">
        <v>5505.8063056665096</v>
      </c>
      <c r="R418" s="50">
        <v>5649.802755653247</v>
      </c>
    </row>
    <row r="419" spans="1:18" x14ac:dyDescent="0.25">
      <c r="A419" s="52" t="s">
        <v>267</v>
      </c>
      <c r="B419" s="53"/>
      <c r="C419" s="67"/>
      <c r="D419" s="50">
        <v>16227</v>
      </c>
      <c r="E419" s="43">
        <v>2493</v>
      </c>
      <c r="F419" s="50">
        <v>35446</v>
      </c>
      <c r="G419" s="50">
        <v>0</v>
      </c>
      <c r="H419" s="50">
        <v>33000</v>
      </c>
      <c r="I419" s="50">
        <v>0</v>
      </c>
      <c r="J419" s="50">
        <v>34600</v>
      </c>
      <c r="K419" s="50">
        <v>0</v>
      </c>
      <c r="L419" s="50">
        <v>36200</v>
      </c>
      <c r="M419" s="50">
        <v>0</v>
      </c>
      <c r="N419" s="50">
        <v>37800</v>
      </c>
      <c r="O419" s="50">
        <v>0</v>
      </c>
      <c r="P419" s="50">
        <v>38800</v>
      </c>
      <c r="Q419" s="50">
        <v>0</v>
      </c>
      <c r="R419" s="50">
        <v>40800</v>
      </c>
    </row>
    <row r="420" spans="1:18" x14ac:dyDescent="0.25">
      <c r="A420" s="52" t="s">
        <v>280</v>
      </c>
      <c r="B420" s="53"/>
      <c r="C420" s="59">
        <v>402</v>
      </c>
      <c r="D420" s="54">
        <v>1640</v>
      </c>
      <c r="E420" s="50">
        <v>459</v>
      </c>
      <c r="F420" s="54">
        <v>1082</v>
      </c>
      <c r="G420" s="54">
        <v>1138</v>
      </c>
      <c r="H420" s="54">
        <v>1800</v>
      </c>
      <c r="I420" s="54">
        <f t="shared" ref="I420:I421" si="330">H420*1.023</f>
        <v>1841.3999999999999</v>
      </c>
      <c r="J420" s="54">
        <f t="shared" ref="J420:K421" si="331">I420*1.024</f>
        <v>1885.5935999999999</v>
      </c>
      <c r="K420" s="54">
        <f t="shared" si="331"/>
        <v>1930.8478464</v>
      </c>
      <c r="L420" s="54">
        <f t="shared" ref="L420:L421" si="332">K420*1.023</f>
        <v>1975.2573468671999</v>
      </c>
      <c r="M420" s="54">
        <f t="shared" ref="M420:M421" si="333">L420*1.022</f>
        <v>2018.7130084982782</v>
      </c>
      <c r="N420" s="54">
        <f t="shared" ref="N420:N421" si="334">M420*1.023</f>
        <v>2065.1434076937385</v>
      </c>
      <c r="O420" s="54">
        <f t="shared" ref="O420:P421" si="335">N420*1.025</f>
        <v>2116.7719928860815</v>
      </c>
      <c r="P420" s="54">
        <f t="shared" si="335"/>
        <v>2169.6912927082335</v>
      </c>
      <c r="Q420" s="54">
        <f t="shared" ref="Q420:R421" si="336">P420*1.024</f>
        <v>2221.7638837332311</v>
      </c>
      <c r="R420" s="54">
        <f t="shared" si="336"/>
        <v>2275.0862169428287</v>
      </c>
    </row>
    <row r="421" spans="1:18" x14ac:dyDescent="0.25">
      <c r="A421" s="52" t="s">
        <v>281</v>
      </c>
      <c r="B421" s="53"/>
      <c r="C421" s="59">
        <v>1218</v>
      </c>
      <c r="D421" s="54">
        <v>953</v>
      </c>
      <c r="E421" s="50">
        <f>1927+40.3</f>
        <v>1967.3</v>
      </c>
      <c r="F421" s="54">
        <v>1584</v>
      </c>
      <c r="G421" s="54">
        <v>1210</v>
      </c>
      <c r="H421" s="54">
        <v>2000</v>
      </c>
      <c r="I421" s="54">
        <f t="shared" si="330"/>
        <v>2045.9999999999998</v>
      </c>
      <c r="J421" s="54">
        <f t="shared" si="331"/>
        <v>2095.1039999999998</v>
      </c>
      <c r="K421" s="54">
        <f t="shared" si="331"/>
        <v>2145.3864960000001</v>
      </c>
      <c r="L421" s="54">
        <f t="shared" si="332"/>
        <v>2194.7303854080001</v>
      </c>
      <c r="M421" s="54">
        <f t="shared" si="333"/>
        <v>2243.0144538869763</v>
      </c>
      <c r="N421" s="54">
        <f t="shared" si="334"/>
        <v>2294.6037863263764</v>
      </c>
      <c r="O421" s="54">
        <f t="shared" si="335"/>
        <v>2351.9688809845356</v>
      </c>
      <c r="P421" s="54">
        <f t="shared" si="335"/>
        <v>2410.7681030091489</v>
      </c>
      <c r="Q421" s="54">
        <f t="shared" si="336"/>
        <v>2468.6265374813684</v>
      </c>
      <c r="R421" s="54">
        <f t="shared" si="336"/>
        <v>2527.8735743809211</v>
      </c>
    </row>
    <row r="422" spans="1:18" x14ac:dyDescent="0.25">
      <c r="A422" s="52" t="s">
        <v>264</v>
      </c>
      <c r="B422" s="53"/>
      <c r="C422" s="59">
        <v>18541</v>
      </c>
      <c r="D422" s="50">
        <v>20305</v>
      </c>
      <c r="E422" s="50">
        <f>23069-40.3+280.66</f>
        <v>23309.360000000001</v>
      </c>
      <c r="F422" s="50">
        <v>25335</v>
      </c>
      <c r="G422" s="50">
        <v>21851</v>
      </c>
      <c r="H422" s="50">
        <v>23700</v>
      </c>
      <c r="I422" s="50">
        <v>24251.099999999995</v>
      </c>
      <c r="J422" s="50">
        <v>24848.501399999994</v>
      </c>
      <c r="K422" s="50">
        <v>25467.014658599994</v>
      </c>
      <c r="L422" s="50">
        <v>26085.378639997794</v>
      </c>
      <c r="M422" s="50">
        <v>26692.956161587994</v>
      </c>
      <c r="N422" s="50">
        <v>27331.238449251523</v>
      </c>
      <c r="O422" s="50">
        <v>28039.594035308222</v>
      </c>
      <c r="P422" s="50">
        <v>28773.854331244987</v>
      </c>
      <c r="Q422" s="50">
        <v>29502.650879845871</v>
      </c>
      <c r="R422" s="50">
        <v>30250.238163131311</v>
      </c>
    </row>
    <row r="423" spans="1:18" x14ac:dyDescent="0.25">
      <c r="A423" s="52" t="s">
        <v>268</v>
      </c>
      <c r="B423" s="53"/>
      <c r="C423" s="59">
        <v>13073</v>
      </c>
      <c r="D423" s="50">
        <v>11899</v>
      </c>
      <c r="E423" s="50">
        <f>11387+8.57</f>
        <v>11395.57</v>
      </c>
      <c r="F423" s="50">
        <v>10585</v>
      </c>
      <c r="G423" s="50">
        <v>6637</v>
      </c>
      <c r="H423" s="50">
        <v>8000</v>
      </c>
      <c r="I423" s="50">
        <v>8184.9999999999991</v>
      </c>
      <c r="J423" s="50">
        <v>8384.0024999999987</v>
      </c>
      <c r="K423" s="50">
        <v>8588.9100975000001</v>
      </c>
      <c r="L423" s="50">
        <v>8791.8921371174984</v>
      </c>
      <c r="M423" s="50">
        <v>8990.9302960524583</v>
      </c>
      <c r="N423" s="50">
        <v>9201.7790755194965</v>
      </c>
      <c r="O423" s="50">
        <v>9436.0026565450535</v>
      </c>
      <c r="P423" s="50">
        <v>9677.4477971343567</v>
      </c>
      <c r="Q423" s="50">
        <v>9916.0772183740828</v>
      </c>
      <c r="R423" s="50">
        <v>10160.650348643248</v>
      </c>
    </row>
    <row r="424" spans="1:18" x14ac:dyDescent="0.25">
      <c r="A424" s="52" t="s">
        <v>269</v>
      </c>
      <c r="B424" s="53"/>
      <c r="C424" s="59">
        <v>11303</v>
      </c>
      <c r="D424" s="50">
        <v>0</v>
      </c>
      <c r="E424" s="43">
        <v>0</v>
      </c>
      <c r="F424" s="50">
        <v>0</v>
      </c>
      <c r="G424" s="50">
        <v>0</v>
      </c>
      <c r="H424" s="50">
        <v>0</v>
      </c>
      <c r="I424" s="50">
        <v>0</v>
      </c>
      <c r="J424" s="50">
        <v>0</v>
      </c>
      <c r="K424" s="50">
        <v>0</v>
      </c>
      <c r="L424" s="50">
        <v>0</v>
      </c>
      <c r="M424" s="50">
        <v>0</v>
      </c>
      <c r="N424" s="50">
        <v>0</v>
      </c>
      <c r="O424" s="50">
        <v>0</v>
      </c>
      <c r="P424" s="50">
        <v>0</v>
      </c>
      <c r="Q424" s="50">
        <v>0</v>
      </c>
      <c r="R424" s="50">
        <v>0</v>
      </c>
    </row>
    <row r="425" spans="1:18" x14ac:dyDescent="0.25">
      <c r="A425" s="52" t="s">
        <v>270</v>
      </c>
      <c r="B425" s="53"/>
      <c r="C425" s="52">
        <v>59147</v>
      </c>
      <c r="D425" s="50">
        <v>5000</v>
      </c>
      <c r="E425" s="43">
        <v>5000</v>
      </c>
      <c r="F425" s="67">
        <v>0</v>
      </c>
      <c r="G425" s="67">
        <v>0</v>
      </c>
      <c r="H425" s="67">
        <v>0</v>
      </c>
      <c r="I425" s="50">
        <v>0</v>
      </c>
      <c r="J425" s="50">
        <v>0</v>
      </c>
      <c r="K425" s="50">
        <v>0</v>
      </c>
      <c r="L425" s="50">
        <v>0</v>
      </c>
      <c r="M425" s="50">
        <v>0</v>
      </c>
      <c r="N425" s="50">
        <v>0</v>
      </c>
      <c r="O425" s="50">
        <v>0</v>
      </c>
      <c r="P425" s="50">
        <v>0</v>
      </c>
      <c r="Q425" s="50">
        <v>0</v>
      </c>
      <c r="R425" s="50">
        <v>0</v>
      </c>
    </row>
    <row r="426" spans="1:18" x14ac:dyDescent="0.25">
      <c r="A426" s="52" t="s">
        <v>282</v>
      </c>
      <c r="B426" s="53"/>
      <c r="C426" s="59">
        <v>0</v>
      </c>
      <c r="D426" s="54">
        <v>0</v>
      </c>
      <c r="E426" s="43">
        <v>0</v>
      </c>
      <c r="F426" s="54">
        <v>0</v>
      </c>
      <c r="G426" s="54">
        <v>0</v>
      </c>
      <c r="H426" s="54">
        <v>0</v>
      </c>
      <c r="I426" s="54">
        <v>0</v>
      </c>
      <c r="J426" s="54">
        <v>0</v>
      </c>
      <c r="K426" s="54">
        <v>0</v>
      </c>
      <c r="L426" s="54">
        <v>0</v>
      </c>
      <c r="M426" s="54">
        <v>0</v>
      </c>
      <c r="N426" s="54">
        <v>0</v>
      </c>
      <c r="O426" s="54">
        <v>0</v>
      </c>
      <c r="P426" s="54">
        <v>0</v>
      </c>
      <c r="Q426" s="54">
        <f>P426*1.024</f>
        <v>0</v>
      </c>
      <c r="R426" s="54">
        <f>Q426*1.024</f>
        <v>0</v>
      </c>
    </row>
    <row r="427" spans="1:18" x14ac:dyDescent="0.25">
      <c r="A427" s="52" t="s">
        <v>283</v>
      </c>
      <c r="B427" s="53"/>
      <c r="C427" s="68">
        <v>622</v>
      </c>
      <c r="D427" s="54">
        <v>151</v>
      </c>
      <c r="E427" s="43">
        <v>75</v>
      </c>
      <c r="F427" s="54">
        <v>951</v>
      </c>
      <c r="G427" s="50">
        <v>0</v>
      </c>
      <c r="H427" s="50">
        <v>600</v>
      </c>
      <c r="I427" s="54">
        <f>H427*1.023</f>
        <v>613.79999999999995</v>
      </c>
      <c r="J427" s="54">
        <f t="shared" ref="J427:K427" si="337">I427*1.024</f>
        <v>628.53120000000001</v>
      </c>
      <c r="K427" s="54">
        <f t="shared" si="337"/>
        <v>643.61594880000007</v>
      </c>
      <c r="L427" s="54">
        <f t="shared" ref="L427" si="338">K427*1.023</f>
        <v>658.4191156224</v>
      </c>
      <c r="M427" s="54">
        <f t="shared" ref="M427" si="339">L427*1.022</f>
        <v>672.90433616609278</v>
      </c>
      <c r="N427" s="54">
        <f t="shared" ref="N427" si="340">M427*1.023</f>
        <v>688.38113589791283</v>
      </c>
      <c r="O427" s="54">
        <f t="shared" ref="O427:P427" si="341">N427*1.025</f>
        <v>705.59066429536063</v>
      </c>
      <c r="P427" s="54">
        <f t="shared" si="341"/>
        <v>723.23043090274462</v>
      </c>
      <c r="Q427" s="54">
        <f t="shared" ref="Q427:R427" si="342">P427*1.024</f>
        <v>740.58796124441051</v>
      </c>
      <c r="R427" s="54">
        <f t="shared" si="342"/>
        <v>758.36207231427636</v>
      </c>
    </row>
    <row r="428" spans="1:18" x14ac:dyDescent="0.25">
      <c r="A428" s="52" t="s">
        <v>284</v>
      </c>
      <c r="B428" s="53"/>
      <c r="C428" s="68"/>
      <c r="D428" s="54"/>
      <c r="E428" s="43">
        <v>19654</v>
      </c>
      <c r="F428" s="54">
        <v>28664</v>
      </c>
      <c r="G428" s="50">
        <v>0</v>
      </c>
      <c r="H428" s="50">
        <v>0</v>
      </c>
      <c r="I428" s="50">
        <v>14000</v>
      </c>
      <c r="J428" s="50">
        <v>0</v>
      </c>
      <c r="K428" s="50">
        <v>14700</v>
      </c>
      <c r="L428" s="50">
        <v>0</v>
      </c>
      <c r="M428" s="50">
        <v>15400</v>
      </c>
      <c r="N428" s="50">
        <v>0</v>
      </c>
      <c r="O428" s="50">
        <v>16200</v>
      </c>
      <c r="P428" s="50">
        <v>0</v>
      </c>
      <c r="Q428" s="50">
        <v>17000</v>
      </c>
      <c r="R428" s="50">
        <v>0</v>
      </c>
    </row>
    <row r="429" spans="1:18" x14ac:dyDescent="0.25">
      <c r="A429" s="43" t="s">
        <v>285</v>
      </c>
      <c r="C429" s="59">
        <v>0</v>
      </c>
      <c r="D429" s="50"/>
      <c r="E429" s="43">
        <v>0</v>
      </c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</row>
    <row r="430" spans="1:18" x14ac:dyDescent="0.25">
      <c r="A430" s="52" t="s">
        <v>286</v>
      </c>
      <c r="B430" s="53"/>
      <c r="C430" s="59">
        <v>10000</v>
      </c>
      <c r="D430" s="54">
        <v>9225</v>
      </c>
      <c r="E430" s="43">
        <v>10011</v>
      </c>
      <c r="F430" s="50">
        <v>16093</v>
      </c>
      <c r="G430" s="50">
        <v>9564</v>
      </c>
      <c r="H430" s="50">
        <v>15000</v>
      </c>
      <c r="I430" s="54">
        <f>H430*1.023</f>
        <v>15344.999999999998</v>
      </c>
      <c r="J430" s="54">
        <f t="shared" ref="J430:K430" si="343">I430*1.024</f>
        <v>15713.279999999999</v>
      </c>
      <c r="K430" s="54">
        <f t="shared" si="343"/>
        <v>16090.398719999999</v>
      </c>
      <c r="L430" s="54">
        <f t="shared" ref="L430" si="344">K430*1.023</f>
        <v>16460.477890559996</v>
      </c>
      <c r="M430" s="54">
        <f t="shared" ref="M430" si="345">L430*1.022</f>
        <v>16822.608404152317</v>
      </c>
      <c r="N430" s="54">
        <f t="shared" ref="N430" si="346">M430*1.023</f>
        <v>17209.528397447819</v>
      </c>
      <c r="O430" s="54">
        <f t="shared" ref="O430:P430" si="347">N430*1.025</f>
        <v>17639.766607384012</v>
      </c>
      <c r="P430" s="54">
        <f t="shared" si="347"/>
        <v>18080.76077256861</v>
      </c>
      <c r="Q430" s="54">
        <f t="shared" ref="Q430:R430" si="348">P430*1.024</f>
        <v>18514.699031110256</v>
      </c>
      <c r="R430" s="54">
        <f t="shared" si="348"/>
        <v>18959.051807856904</v>
      </c>
    </row>
    <row r="431" spans="1:18" x14ac:dyDescent="0.25">
      <c r="A431" s="52"/>
      <c r="B431" s="53"/>
      <c r="C431" s="50"/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</row>
    <row r="432" spans="1:18" x14ac:dyDescent="0.25">
      <c r="A432" s="41" t="s">
        <v>230</v>
      </c>
      <c r="B432" s="44"/>
      <c r="C432" s="51">
        <f t="shared" ref="C432:Q432" si="349">SUM(C403:C430)</f>
        <v>534428</v>
      </c>
      <c r="D432" s="51">
        <f t="shared" si="349"/>
        <v>490034</v>
      </c>
      <c r="E432" s="51">
        <f t="shared" si="349"/>
        <v>507271.14999999997</v>
      </c>
      <c r="F432" s="51">
        <f t="shared" si="349"/>
        <v>569198</v>
      </c>
      <c r="G432" s="51">
        <f t="shared" si="349"/>
        <v>489180</v>
      </c>
      <c r="H432" s="51">
        <f>SUM(H403:H430)</f>
        <v>567930</v>
      </c>
      <c r="I432" s="51">
        <f t="shared" si="349"/>
        <v>561794.6</v>
      </c>
      <c r="J432" s="51">
        <f t="shared" si="349"/>
        <v>597012.26289999986</v>
      </c>
      <c r="K432" s="51">
        <f t="shared" si="349"/>
        <v>592738.52695709991</v>
      </c>
      <c r="L432" s="51">
        <f t="shared" si="349"/>
        <v>630799.68183378829</v>
      </c>
      <c r="M432" s="51">
        <f t="shared" si="349"/>
        <v>626329.96632977703</v>
      </c>
      <c r="N432" s="51">
        <f t="shared" si="349"/>
        <v>665121.03669181583</v>
      </c>
      <c r="O432" s="51">
        <f t="shared" si="349"/>
        <v>661612.55867965892</v>
      </c>
      <c r="P432" s="51">
        <f t="shared" si="349"/>
        <v>703552.1828614003</v>
      </c>
      <c r="Q432" s="51">
        <f t="shared" si="349"/>
        <v>701512.58998568589</v>
      </c>
      <c r="R432" s="51">
        <f t="shared" ref="R432" si="350">SUM(R403:R430)</f>
        <v>745550.55974196584</v>
      </c>
    </row>
    <row r="433" spans="1:18" x14ac:dyDescent="0.25">
      <c r="C433" s="50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</row>
    <row r="434" spans="1:18" x14ac:dyDescent="0.25">
      <c r="A434" s="41" t="s">
        <v>287</v>
      </c>
      <c r="B434" s="44"/>
      <c r="C434" s="51">
        <f t="shared" ref="C434:R434" si="351">C432-C399</f>
        <v>317972</v>
      </c>
      <c r="D434" s="51">
        <f t="shared" si="351"/>
        <v>286354</v>
      </c>
      <c r="E434" s="51">
        <f t="shared" si="351"/>
        <v>303325.12</v>
      </c>
      <c r="F434" s="51">
        <f t="shared" si="351"/>
        <v>335781</v>
      </c>
      <c r="G434" s="51">
        <f t="shared" si="351"/>
        <v>284605</v>
      </c>
      <c r="H434" s="51">
        <f t="shared" si="351"/>
        <v>324057</v>
      </c>
      <c r="I434" s="51">
        <f t="shared" si="351"/>
        <v>332518.59999999998</v>
      </c>
      <c r="J434" s="51">
        <f t="shared" si="351"/>
        <v>341925.63889999985</v>
      </c>
      <c r="K434" s="51">
        <f t="shared" si="351"/>
        <v>352257.42398109986</v>
      </c>
      <c r="L434" s="51">
        <f t="shared" si="351"/>
        <v>363652.7434893403</v>
      </c>
      <c r="M434" s="51">
        <f t="shared" si="351"/>
        <v>374928.57534175122</v>
      </c>
      <c r="N434" s="51">
        <f t="shared" si="351"/>
        <v>385857.82371106546</v>
      </c>
      <c r="O434" s="51">
        <f t="shared" si="351"/>
        <v>397880.51537438977</v>
      </c>
      <c r="P434" s="51">
        <f t="shared" si="351"/>
        <v>411030.5884734994</v>
      </c>
      <c r="Q434" s="51">
        <f t="shared" si="351"/>
        <v>424730.31733247533</v>
      </c>
      <c r="R434" s="51">
        <f t="shared" si="351"/>
        <v>438741.67254507833</v>
      </c>
    </row>
    <row r="435" spans="1:18" x14ac:dyDescent="0.25">
      <c r="C435" s="50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</row>
    <row r="436" spans="1:18" x14ac:dyDescent="0.25">
      <c r="C436" s="50"/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</row>
    <row r="437" spans="1:18" x14ac:dyDescent="0.25">
      <c r="A437" s="41" t="s">
        <v>288</v>
      </c>
      <c r="B437" s="44"/>
      <c r="C437" s="50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</row>
    <row r="438" spans="1:18" x14ac:dyDescent="0.25">
      <c r="A438" s="41"/>
      <c r="B438" s="44"/>
      <c r="C438" s="50"/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</row>
    <row r="439" spans="1:18" x14ac:dyDescent="0.25">
      <c r="A439" s="41" t="s">
        <v>202</v>
      </c>
      <c r="B439" s="44"/>
      <c r="C439" s="50"/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</row>
    <row r="440" spans="1:18" x14ac:dyDescent="0.25">
      <c r="C440" s="50"/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</row>
    <row r="441" spans="1:18" x14ac:dyDescent="0.25">
      <c r="A441" s="52" t="s">
        <v>289</v>
      </c>
      <c r="B441" s="53"/>
      <c r="C441" s="52">
        <v>27820</v>
      </c>
      <c r="D441" s="54">
        <v>26759</v>
      </c>
      <c r="E441" s="43">
        <v>28703</v>
      </c>
      <c r="F441" s="54">
        <v>26597</v>
      </c>
      <c r="G441" s="54">
        <v>27994</v>
      </c>
      <c r="H441" s="54">
        <v>27800</v>
      </c>
      <c r="I441" s="54">
        <f>H441*1.023</f>
        <v>28439.399999999998</v>
      </c>
      <c r="J441" s="54">
        <f t="shared" ref="J441:K444" si="352">I441*1.024</f>
        <v>29121.945599999999</v>
      </c>
      <c r="K441" s="54">
        <f t="shared" si="352"/>
        <v>29820.8722944</v>
      </c>
      <c r="L441" s="54">
        <f t="shared" ref="L441:L444" si="353">K441*1.023</f>
        <v>30506.752357171197</v>
      </c>
      <c r="M441" s="54">
        <f t="shared" ref="M441:M444" si="354">L441*1.022</f>
        <v>31177.900909028966</v>
      </c>
      <c r="N441" s="54">
        <f t="shared" ref="N441:N444" si="355">M441*1.023</f>
        <v>31894.992629936631</v>
      </c>
      <c r="O441" s="54">
        <f t="shared" ref="O441:P444" si="356">N441*1.025</f>
        <v>32692.367445685042</v>
      </c>
      <c r="P441" s="54">
        <f t="shared" si="356"/>
        <v>33509.676631827162</v>
      </c>
      <c r="Q441" s="54">
        <f t="shared" ref="Q441:R444" si="357">P441*1.024</f>
        <v>34313.908870991014</v>
      </c>
      <c r="R441" s="54">
        <f t="shared" si="357"/>
        <v>35137.442683894798</v>
      </c>
    </row>
    <row r="442" spans="1:18" x14ac:dyDescent="0.25">
      <c r="A442" s="52" t="s">
        <v>290</v>
      </c>
      <c r="B442" s="53"/>
      <c r="C442" s="52">
        <v>2961</v>
      </c>
      <c r="D442" s="54">
        <v>3045</v>
      </c>
      <c r="E442" s="50">
        <f>3640-546.06</f>
        <v>3093.94</v>
      </c>
      <c r="F442" s="54">
        <v>3135</v>
      </c>
      <c r="G442" s="54">
        <v>3210</v>
      </c>
      <c r="H442" s="54">
        <v>3300</v>
      </c>
      <c r="I442" s="54">
        <f t="shared" ref="I442:I444" si="358">H442*1.023</f>
        <v>3375.8999999999996</v>
      </c>
      <c r="J442" s="54">
        <f t="shared" si="352"/>
        <v>3456.9215999999997</v>
      </c>
      <c r="K442" s="54">
        <f t="shared" si="352"/>
        <v>3539.8877183999998</v>
      </c>
      <c r="L442" s="54">
        <f t="shared" si="353"/>
        <v>3621.3051359231995</v>
      </c>
      <c r="M442" s="54">
        <f t="shared" si="354"/>
        <v>3700.9738489135098</v>
      </c>
      <c r="N442" s="54">
        <f t="shared" si="355"/>
        <v>3786.0962474385201</v>
      </c>
      <c r="O442" s="54">
        <f t="shared" si="356"/>
        <v>3880.7486536244828</v>
      </c>
      <c r="P442" s="54">
        <f t="shared" si="356"/>
        <v>3977.7673699650945</v>
      </c>
      <c r="Q442" s="54">
        <f t="shared" si="357"/>
        <v>4073.2337868442569</v>
      </c>
      <c r="R442" s="54">
        <f t="shared" si="357"/>
        <v>4170.9913977285196</v>
      </c>
    </row>
    <row r="443" spans="1:18" x14ac:dyDescent="0.25">
      <c r="A443" s="52" t="s">
        <v>291</v>
      </c>
      <c r="B443" s="53"/>
      <c r="C443" s="52">
        <v>3959</v>
      </c>
      <c r="D443" s="54">
        <v>4070</v>
      </c>
      <c r="E443" s="50">
        <f>4866-729.9</f>
        <v>4136.1000000000004</v>
      </c>
      <c r="F443" s="54">
        <v>4190</v>
      </c>
      <c r="G443" s="54">
        <v>4290</v>
      </c>
      <c r="H443" s="54">
        <v>5000</v>
      </c>
      <c r="I443" s="54">
        <f t="shared" si="358"/>
        <v>5115</v>
      </c>
      <c r="J443" s="54">
        <f t="shared" si="352"/>
        <v>5237.76</v>
      </c>
      <c r="K443" s="54">
        <f t="shared" si="352"/>
        <v>5363.4662400000007</v>
      </c>
      <c r="L443" s="54">
        <f t="shared" si="353"/>
        <v>5486.8259635200002</v>
      </c>
      <c r="M443" s="54">
        <f t="shared" si="354"/>
        <v>5607.5361347174403</v>
      </c>
      <c r="N443" s="54">
        <f t="shared" si="355"/>
        <v>5736.5094658159405</v>
      </c>
      <c r="O443" s="54">
        <f t="shared" si="356"/>
        <v>5879.9222024613382</v>
      </c>
      <c r="P443" s="54">
        <f t="shared" si="356"/>
        <v>6026.920257522871</v>
      </c>
      <c r="Q443" s="54">
        <f t="shared" si="357"/>
        <v>6171.56634370342</v>
      </c>
      <c r="R443" s="54">
        <f t="shared" si="357"/>
        <v>6319.6839359523019</v>
      </c>
    </row>
    <row r="444" spans="1:18" x14ac:dyDescent="0.25">
      <c r="A444" s="52" t="s">
        <v>292</v>
      </c>
      <c r="B444" s="53"/>
      <c r="C444" s="52">
        <v>46300</v>
      </c>
      <c r="D444" s="54">
        <v>48106</v>
      </c>
      <c r="E444" s="43">
        <f>65448-8946</f>
        <v>56502</v>
      </c>
      <c r="F444" s="54">
        <v>53209</v>
      </c>
      <c r="G444" s="54">
        <v>53943</v>
      </c>
      <c r="H444" s="54">
        <v>56000</v>
      </c>
      <c r="I444" s="54">
        <f t="shared" si="358"/>
        <v>57287.999999999993</v>
      </c>
      <c r="J444" s="54">
        <f t="shared" si="352"/>
        <v>58662.911999999997</v>
      </c>
      <c r="K444" s="54">
        <f t="shared" si="352"/>
        <v>60070.821887999999</v>
      </c>
      <c r="L444" s="54">
        <f t="shared" si="353"/>
        <v>61452.450791423995</v>
      </c>
      <c r="M444" s="54">
        <f t="shared" si="354"/>
        <v>62804.404708835325</v>
      </c>
      <c r="N444" s="54">
        <f t="shared" si="355"/>
        <v>64248.906017138535</v>
      </c>
      <c r="O444" s="54">
        <f t="shared" si="356"/>
        <v>65855.128667566998</v>
      </c>
      <c r="P444" s="54">
        <f t="shared" si="356"/>
        <v>67501.506884256174</v>
      </c>
      <c r="Q444" s="54">
        <f t="shared" si="357"/>
        <v>69121.543049478321</v>
      </c>
      <c r="R444" s="54">
        <f t="shared" si="357"/>
        <v>70780.460082665799</v>
      </c>
    </row>
    <row r="445" spans="1:18" x14ac:dyDescent="0.25">
      <c r="A445" s="52" t="s">
        <v>293</v>
      </c>
      <c r="B445" s="53"/>
      <c r="C445" s="52">
        <v>0</v>
      </c>
      <c r="D445" s="54"/>
      <c r="E445" s="43">
        <v>0</v>
      </c>
      <c r="F445" s="54"/>
      <c r="G445" s="54">
        <v>0</v>
      </c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</row>
    <row r="446" spans="1:18" x14ac:dyDescent="0.25">
      <c r="A446" s="52" t="s">
        <v>294</v>
      </c>
      <c r="B446" s="53"/>
      <c r="C446" s="52">
        <v>0</v>
      </c>
      <c r="D446" s="54"/>
      <c r="E446" s="43">
        <v>0</v>
      </c>
      <c r="F446" s="54"/>
      <c r="G446" s="54">
        <v>0</v>
      </c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</row>
    <row r="447" spans="1:18" x14ac:dyDescent="0.25">
      <c r="A447" s="52" t="s">
        <v>295</v>
      </c>
      <c r="B447" s="53"/>
      <c r="C447" s="52">
        <v>0</v>
      </c>
      <c r="D447" s="54">
        <f>C447*1.026</f>
        <v>0</v>
      </c>
      <c r="E447" s="43">
        <v>0</v>
      </c>
      <c r="F447" s="54">
        <v>0</v>
      </c>
      <c r="G447" s="54">
        <v>0</v>
      </c>
      <c r="H447" s="54">
        <v>0</v>
      </c>
      <c r="I447" s="54">
        <f t="shared" ref="I447:I452" si="359">H447*1.023</f>
        <v>0</v>
      </c>
      <c r="J447" s="54">
        <f t="shared" ref="J447:K450" si="360">I447*1.024</f>
        <v>0</v>
      </c>
      <c r="K447" s="54">
        <f t="shared" si="360"/>
        <v>0</v>
      </c>
      <c r="L447" s="54">
        <f t="shared" ref="L447:L450" si="361">K447*1.023</f>
        <v>0</v>
      </c>
      <c r="M447" s="54">
        <f t="shared" ref="M447:M450" si="362">L447*1.022</f>
        <v>0</v>
      </c>
      <c r="N447" s="54">
        <f t="shared" ref="N447:N450" si="363">M447*1.023</f>
        <v>0</v>
      </c>
      <c r="O447" s="54">
        <f t="shared" ref="O447:R452" si="364">N447*1.025</f>
        <v>0</v>
      </c>
      <c r="P447" s="54">
        <f t="shared" si="364"/>
        <v>0</v>
      </c>
      <c r="Q447" s="54">
        <f t="shared" ref="Q447:R450" si="365">P447*1.024</f>
        <v>0</v>
      </c>
      <c r="R447" s="54">
        <f t="shared" si="365"/>
        <v>0</v>
      </c>
    </row>
    <row r="448" spans="1:18" x14ac:dyDescent="0.25">
      <c r="A448" s="52" t="s">
        <v>296</v>
      </c>
      <c r="B448" s="53"/>
      <c r="C448" s="52">
        <v>1025</v>
      </c>
      <c r="D448" s="54">
        <v>1920</v>
      </c>
      <c r="E448" s="43">
        <f>2927-500</f>
        <v>2427</v>
      </c>
      <c r="F448" s="54">
        <v>1082</v>
      </c>
      <c r="G448" s="54">
        <v>700</v>
      </c>
      <c r="H448" s="54">
        <v>2000</v>
      </c>
      <c r="I448" s="54">
        <f t="shared" si="359"/>
        <v>2045.9999999999998</v>
      </c>
      <c r="J448" s="54">
        <f t="shared" si="360"/>
        <v>2095.1039999999998</v>
      </c>
      <c r="K448" s="54">
        <f t="shared" si="360"/>
        <v>2145.3864960000001</v>
      </c>
      <c r="L448" s="54">
        <f t="shared" si="361"/>
        <v>2194.7303854080001</v>
      </c>
      <c r="M448" s="54">
        <f t="shared" si="362"/>
        <v>2243.0144538869763</v>
      </c>
      <c r="N448" s="54">
        <f t="shared" si="363"/>
        <v>2294.6037863263764</v>
      </c>
      <c r="O448" s="54">
        <f t="shared" si="364"/>
        <v>2351.9688809845356</v>
      </c>
      <c r="P448" s="54">
        <f t="shared" si="364"/>
        <v>2410.7681030091489</v>
      </c>
      <c r="Q448" s="54">
        <f t="shared" si="365"/>
        <v>2468.6265374813684</v>
      </c>
      <c r="R448" s="54">
        <f t="shared" si="365"/>
        <v>2527.8735743809211</v>
      </c>
    </row>
    <row r="449" spans="1:18" x14ac:dyDescent="0.25">
      <c r="A449" s="52" t="s">
        <v>297</v>
      </c>
      <c r="B449" s="53"/>
      <c r="C449" s="50">
        <v>550</v>
      </c>
      <c r="D449" s="54">
        <v>800</v>
      </c>
      <c r="E449" s="43">
        <v>500</v>
      </c>
      <c r="F449" s="54">
        <v>1000</v>
      </c>
      <c r="G449" s="54">
        <v>1000</v>
      </c>
      <c r="H449" s="54">
        <v>1000</v>
      </c>
      <c r="I449" s="54">
        <f t="shared" si="359"/>
        <v>1022.9999999999999</v>
      </c>
      <c r="J449" s="54">
        <f t="shared" si="360"/>
        <v>1047.5519999999999</v>
      </c>
      <c r="K449" s="54">
        <f t="shared" si="360"/>
        <v>1072.693248</v>
      </c>
      <c r="L449" s="54">
        <f t="shared" si="361"/>
        <v>1097.365192704</v>
      </c>
      <c r="M449" s="54">
        <f t="shared" si="362"/>
        <v>1121.5072269434881</v>
      </c>
      <c r="N449" s="54">
        <f t="shared" si="363"/>
        <v>1147.3018931631882</v>
      </c>
      <c r="O449" s="54">
        <f t="shared" si="364"/>
        <v>1175.9844404922678</v>
      </c>
      <c r="P449" s="54">
        <f t="shared" si="364"/>
        <v>1205.3840515045745</v>
      </c>
      <c r="Q449" s="54">
        <f t="shared" si="365"/>
        <v>1234.3132687406842</v>
      </c>
      <c r="R449" s="54">
        <f t="shared" si="365"/>
        <v>1263.9367871904606</v>
      </c>
    </row>
    <row r="450" spans="1:18" x14ac:dyDescent="0.25">
      <c r="A450" s="52" t="s">
        <v>298</v>
      </c>
      <c r="B450" s="53"/>
      <c r="C450" s="59">
        <v>0</v>
      </c>
      <c r="D450" s="50">
        <v>0</v>
      </c>
      <c r="E450" s="43">
        <v>0</v>
      </c>
      <c r="F450" s="50">
        <v>0</v>
      </c>
      <c r="G450" s="50">
        <v>0</v>
      </c>
      <c r="H450" s="50">
        <v>0</v>
      </c>
      <c r="I450" s="54">
        <f t="shared" si="359"/>
        <v>0</v>
      </c>
      <c r="J450" s="54">
        <f t="shared" si="360"/>
        <v>0</v>
      </c>
      <c r="K450" s="54">
        <f t="shared" si="360"/>
        <v>0</v>
      </c>
      <c r="L450" s="54">
        <f t="shared" si="361"/>
        <v>0</v>
      </c>
      <c r="M450" s="54">
        <f t="shared" si="362"/>
        <v>0</v>
      </c>
      <c r="N450" s="54">
        <f t="shared" si="363"/>
        <v>0</v>
      </c>
      <c r="O450" s="54">
        <f t="shared" si="364"/>
        <v>0</v>
      </c>
      <c r="P450" s="54">
        <f t="shared" si="364"/>
        <v>0</v>
      </c>
      <c r="Q450" s="54">
        <f t="shared" si="365"/>
        <v>0</v>
      </c>
      <c r="R450" s="54">
        <f t="shared" si="365"/>
        <v>0</v>
      </c>
    </row>
    <row r="451" spans="1:18" x14ac:dyDescent="0.25">
      <c r="A451" s="52" t="s">
        <v>299</v>
      </c>
      <c r="C451" s="59">
        <v>54323</v>
      </c>
      <c r="D451" s="50">
        <v>55643</v>
      </c>
      <c r="E451" s="43">
        <v>57040</v>
      </c>
      <c r="F451" s="50">
        <v>58426</v>
      </c>
      <c r="G451" s="50">
        <v>59822</v>
      </c>
      <c r="H451" s="50">
        <v>0</v>
      </c>
      <c r="I451" s="54">
        <f t="shared" ref="I451" si="366">H451*1.02</f>
        <v>0</v>
      </c>
      <c r="J451" s="54">
        <f t="shared" ref="J451" si="367">I451*1.021</f>
        <v>0</v>
      </c>
      <c r="K451" s="54">
        <f t="shared" ref="K451" si="368">J451*1.023</f>
        <v>0</v>
      </c>
      <c r="L451" s="54">
        <f t="shared" ref="L451" si="369">K451*1.024</f>
        <v>0</v>
      </c>
      <c r="M451" s="54">
        <f t="shared" ref="M451" si="370">L451*1.023</f>
        <v>0</v>
      </c>
      <c r="N451" s="54">
        <f t="shared" ref="N451" si="371">M451*1.021</f>
        <v>0</v>
      </c>
      <c r="O451" s="54">
        <f t="shared" ref="O451" si="372">N451*1.022</f>
        <v>0</v>
      </c>
      <c r="P451" s="54">
        <f t="shared" si="364"/>
        <v>0</v>
      </c>
      <c r="Q451" s="54">
        <f t="shared" si="364"/>
        <v>0</v>
      </c>
      <c r="R451" s="54">
        <f t="shared" si="364"/>
        <v>0</v>
      </c>
    </row>
    <row r="452" spans="1:18" x14ac:dyDescent="0.25">
      <c r="A452" s="52" t="s">
        <v>300</v>
      </c>
      <c r="C452" s="59">
        <v>250</v>
      </c>
      <c r="D452" s="54">
        <v>227</v>
      </c>
      <c r="E452" s="43">
        <v>0</v>
      </c>
      <c r="F452" s="54">
        <v>0</v>
      </c>
      <c r="G452" s="54">
        <v>0</v>
      </c>
      <c r="H452" s="54">
        <v>0</v>
      </c>
      <c r="I452" s="54">
        <f t="shared" si="359"/>
        <v>0</v>
      </c>
      <c r="J452" s="54">
        <f t="shared" ref="J452:K452" si="373">I452*1.024</f>
        <v>0</v>
      </c>
      <c r="K452" s="54">
        <f t="shared" si="373"/>
        <v>0</v>
      </c>
      <c r="L452" s="54">
        <f t="shared" ref="L452" si="374">K452*1.023</f>
        <v>0</v>
      </c>
      <c r="M452" s="54">
        <f t="shared" ref="M452" si="375">L452*1.022</f>
        <v>0</v>
      </c>
      <c r="N452" s="54">
        <f t="shared" ref="N452" si="376">M452*1.023</f>
        <v>0</v>
      </c>
      <c r="O452" s="54">
        <f t="shared" ref="O452" si="377">N452*1.025</f>
        <v>0</v>
      </c>
      <c r="P452" s="54">
        <f t="shared" si="364"/>
        <v>0</v>
      </c>
      <c r="Q452" s="54">
        <f t="shared" ref="Q452:R452" si="378">P452*1.024</f>
        <v>0</v>
      </c>
      <c r="R452" s="54">
        <f t="shared" si="378"/>
        <v>0</v>
      </c>
    </row>
    <row r="453" spans="1:18" x14ac:dyDescent="0.25">
      <c r="A453" s="52"/>
      <c r="C453" s="50"/>
      <c r="D453" s="50"/>
      <c r="E453" s="50"/>
      <c r="F453" s="50"/>
      <c r="G453" s="50"/>
      <c r="H453" s="50"/>
      <c r="I453" s="50"/>
      <c r="J453" s="50"/>
      <c r="K453" s="50"/>
      <c r="L453" s="50"/>
      <c r="M453" s="50"/>
      <c r="N453" s="50"/>
      <c r="O453" s="50"/>
      <c r="P453" s="50"/>
      <c r="Q453" s="50"/>
      <c r="R453" s="50"/>
    </row>
    <row r="454" spans="1:18" x14ac:dyDescent="0.25">
      <c r="A454" s="41" t="s">
        <v>216</v>
      </c>
      <c r="B454" s="44"/>
      <c r="C454" s="51">
        <f t="shared" ref="C454" si="379">SUM(C441:C453)</f>
        <v>137188</v>
      </c>
      <c r="D454" s="51">
        <f t="shared" ref="D454:R454" si="380">SUM(D441:D453)</f>
        <v>140570</v>
      </c>
      <c r="E454" s="51">
        <f t="shared" si="380"/>
        <v>152402.04</v>
      </c>
      <c r="F454" s="51">
        <f t="shared" si="380"/>
        <v>147639</v>
      </c>
      <c r="G454" s="51">
        <f t="shared" si="380"/>
        <v>150959</v>
      </c>
      <c r="H454" s="51">
        <f t="shared" si="380"/>
        <v>95100</v>
      </c>
      <c r="I454" s="51">
        <f t="shared" si="380"/>
        <v>97287.299999999988</v>
      </c>
      <c r="J454" s="51">
        <f t="shared" si="380"/>
        <v>99622.195200000002</v>
      </c>
      <c r="K454" s="51">
        <f t="shared" si="380"/>
        <v>102013.12788480001</v>
      </c>
      <c r="L454" s="51">
        <f t="shared" si="380"/>
        <v>104359.42982615039</v>
      </c>
      <c r="M454" s="51">
        <f t="shared" si="380"/>
        <v>106655.33728232571</v>
      </c>
      <c r="N454" s="51">
        <f t="shared" si="380"/>
        <v>109108.41003981918</v>
      </c>
      <c r="O454" s="51">
        <f t="shared" si="380"/>
        <v>111836.12029081467</v>
      </c>
      <c r="P454" s="51">
        <f t="shared" si="380"/>
        <v>114632.02329808503</v>
      </c>
      <c r="Q454" s="51">
        <f t="shared" si="380"/>
        <v>117383.19185723907</v>
      </c>
      <c r="R454" s="51">
        <f t="shared" si="380"/>
        <v>120200.38846181279</v>
      </c>
    </row>
    <row r="455" spans="1:18" x14ac:dyDescent="0.25">
      <c r="C455" s="50"/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  <c r="P455" s="50"/>
      <c r="Q455" s="50"/>
      <c r="R455" s="50"/>
    </row>
    <row r="456" spans="1:18" x14ac:dyDescent="0.25">
      <c r="A456" s="41" t="s">
        <v>165</v>
      </c>
      <c r="B456" s="44"/>
      <c r="C456" s="50"/>
      <c r="D456" s="50"/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0"/>
      <c r="P456" s="50"/>
      <c r="Q456" s="50"/>
      <c r="R456" s="50"/>
    </row>
    <row r="457" spans="1:18" x14ac:dyDescent="0.25"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  <c r="P457" s="50"/>
      <c r="Q457" s="50"/>
      <c r="R457" s="50"/>
    </row>
    <row r="458" spans="1:18" x14ac:dyDescent="0.25">
      <c r="A458" s="52" t="s">
        <v>301</v>
      </c>
      <c r="B458" s="53"/>
      <c r="C458" s="59">
        <v>34744</v>
      </c>
      <c r="D458" s="50">
        <v>37535</v>
      </c>
      <c r="E458" s="50">
        <f>49991-879-18682</f>
        <v>30430</v>
      </c>
      <c r="F458">
        <v>42315</v>
      </c>
      <c r="G458" s="43">
        <v>28899</v>
      </c>
      <c r="H458" s="43">
        <v>38980</v>
      </c>
      <c r="I458" s="50">
        <v>39939.1</v>
      </c>
      <c r="J458" s="50">
        <v>40972.902799999996</v>
      </c>
      <c r="K458" s="50">
        <v>42051.40825719999</v>
      </c>
      <c r="L458" s="50">
        <v>43148.627727965591</v>
      </c>
      <c r="M458" s="50">
        <v>44237.836503919447</v>
      </c>
      <c r="N458" s="50">
        <v>45366.915129312518</v>
      </c>
      <c r="O458" s="50">
        <v>46605.958004377841</v>
      </c>
      <c r="P458" s="50">
        <v>47899.964091427362</v>
      </c>
      <c r="Q458" s="50">
        <v>49199.50376531409</v>
      </c>
      <c r="R458" s="50">
        <v>50535.975184384937</v>
      </c>
    </row>
    <row r="459" spans="1:18" x14ac:dyDescent="0.25">
      <c r="A459" s="43" t="s">
        <v>302</v>
      </c>
      <c r="C459" s="69">
        <v>1254</v>
      </c>
      <c r="D459" s="70">
        <v>1250</v>
      </c>
      <c r="E459" s="70">
        <v>879</v>
      </c>
      <c r="F459" s="69">
        <v>879</v>
      </c>
      <c r="G459" s="70">
        <v>879</v>
      </c>
      <c r="H459" s="70">
        <v>900</v>
      </c>
      <c r="I459" s="70">
        <v>930</v>
      </c>
      <c r="J459" s="70">
        <v>935</v>
      </c>
      <c r="K459" s="70">
        <v>970</v>
      </c>
      <c r="L459" s="70">
        <v>990</v>
      </c>
      <c r="M459" s="70">
        <v>1020</v>
      </c>
      <c r="N459" s="70">
        <v>1025</v>
      </c>
      <c r="O459" s="70">
        <v>1070</v>
      </c>
      <c r="P459" s="70">
        <v>1090</v>
      </c>
      <c r="Q459" s="70">
        <v>1120</v>
      </c>
      <c r="R459" s="70">
        <v>1120</v>
      </c>
    </row>
    <row r="460" spans="1:18" x14ac:dyDescent="0.25">
      <c r="A460" s="43" t="s">
        <v>303</v>
      </c>
      <c r="C460" s="71">
        <v>17249</v>
      </c>
      <c r="D460" s="71">
        <v>18682</v>
      </c>
      <c r="E460" s="72">
        <v>18682</v>
      </c>
      <c r="F460" s="71">
        <v>18682</v>
      </c>
      <c r="G460" s="73">
        <v>18682</v>
      </c>
      <c r="H460" s="73">
        <v>20530</v>
      </c>
      <c r="I460" s="73">
        <v>21010</v>
      </c>
      <c r="J460" s="73">
        <v>21510</v>
      </c>
      <c r="K460" s="73">
        <v>22030</v>
      </c>
      <c r="L460" s="73">
        <v>22530</v>
      </c>
      <c r="M460" s="73">
        <v>23030</v>
      </c>
      <c r="N460" s="73">
        <v>23560</v>
      </c>
      <c r="O460" s="73">
        <v>24150</v>
      </c>
      <c r="P460" s="73">
        <v>24750</v>
      </c>
      <c r="Q460" s="73">
        <v>25340</v>
      </c>
      <c r="R460" s="73">
        <v>25340</v>
      </c>
    </row>
    <row r="461" spans="1:18" x14ac:dyDescent="0.25">
      <c r="A461" s="52" t="s">
        <v>290</v>
      </c>
      <c r="B461" s="53"/>
      <c r="C461" s="54">
        <v>3972</v>
      </c>
      <c r="D461" s="50">
        <v>3444</v>
      </c>
      <c r="E461" s="50">
        <v>4435</v>
      </c>
      <c r="F461" s="54">
        <v>10113</v>
      </c>
      <c r="G461" s="50">
        <v>2911</v>
      </c>
      <c r="H461" s="50">
        <v>6270</v>
      </c>
      <c r="I461" s="50">
        <v>6432.5499999999993</v>
      </c>
      <c r="J461" s="50">
        <v>6602.6299499999986</v>
      </c>
      <c r="K461" s="50">
        <v>6781.3275025499988</v>
      </c>
      <c r="L461" s="50">
        <v>6964.698460506148</v>
      </c>
      <c r="M461" s="50">
        <v>7148.0431192050546</v>
      </c>
      <c r="N461" s="50">
        <v>7336.0539920714036</v>
      </c>
      <c r="O461" s="50">
        <v>7539.618275799281</v>
      </c>
      <c r="P461" s="50">
        <v>7754.7203674181219</v>
      </c>
      <c r="Q461" s="50">
        <v>7972.6519486050638</v>
      </c>
      <c r="R461" s="54">
        <v>8197.1853715448451</v>
      </c>
    </row>
    <row r="462" spans="1:18" x14ac:dyDescent="0.25">
      <c r="A462" s="43" t="s">
        <v>303</v>
      </c>
      <c r="C462" s="74">
        <v>4755</v>
      </c>
      <c r="D462" s="71">
        <v>4755</v>
      </c>
      <c r="E462" s="72">
        <v>5192</v>
      </c>
      <c r="F462" s="74">
        <v>5192</v>
      </c>
      <c r="G462" s="73">
        <v>5298</v>
      </c>
      <c r="H462" s="73">
        <v>7250</v>
      </c>
      <c r="I462" s="73">
        <v>7420</v>
      </c>
      <c r="J462" s="73">
        <v>7600</v>
      </c>
      <c r="K462" s="73">
        <v>7780</v>
      </c>
      <c r="L462" s="73">
        <v>7960</v>
      </c>
      <c r="M462" s="73">
        <v>8140</v>
      </c>
      <c r="N462" s="73">
        <v>8320</v>
      </c>
      <c r="O462" s="73">
        <v>8530</v>
      </c>
      <c r="P462" s="73">
        <v>8740</v>
      </c>
      <c r="Q462" s="73">
        <v>8950</v>
      </c>
      <c r="R462" s="73">
        <v>8950</v>
      </c>
    </row>
    <row r="463" spans="1:18" x14ac:dyDescent="0.25">
      <c r="A463" s="52" t="s">
        <v>291</v>
      </c>
      <c r="B463" s="53"/>
      <c r="C463" s="59">
        <v>4353</v>
      </c>
      <c r="D463" s="50">
        <v>4697</v>
      </c>
      <c r="E463" s="50">
        <v>8222</v>
      </c>
      <c r="F463" s="50">
        <v>9960</v>
      </c>
      <c r="G463" s="50">
        <v>4660</v>
      </c>
      <c r="H463" s="50">
        <v>8310</v>
      </c>
      <c r="I463" s="50">
        <v>8524.35</v>
      </c>
      <c r="J463" s="50">
        <v>8748.9782500000001</v>
      </c>
      <c r="K463" s="50">
        <v>8982.1169592499991</v>
      </c>
      <c r="L463" s="50">
        <v>9220.4058144752471</v>
      </c>
      <c r="M463" s="50">
        <v>9460.3023332180346</v>
      </c>
      <c r="N463" s="50">
        <v>9708.2074391811184</v>
      </c>
      <c r="O463" s="50">
        <v>9973.6224760101759</v>
      </c>
      <c r="P463" s="50">
        <v>10249.353813931135</v>
      </c>
      <c r="Q463" s="50">
        <v>10528.883943309909</v>
      </c>
      <c r="R463" s="50">
        <v>10816.475007117606</v>
      </c>
    </row>
    <row r="464" spans="1:18" x14ac:dyDescent="0.25">
      <c r="A464" s="43" t="s">
        <v>302</v>
      </c>
      <c r="C464" s="75">
        <v>437</v>
      </c>
      <c r="D464" s="70">
        <v>437</v>
      </c>
      <c r="E464" s="70">
        <v>519</v>
      </c>
      <c r="F464" s="76">
        <v>324</v>
      </c>
      <c r="G464" s="70">
        <v>324</v>
      </c>
      <c r="H464" s="70">
        <v>330</v>
      </c>
      <c r="I464" s="70">
        <v>340</v>
      </c>
      <c r="J464" s="70">
        <v>350</v>
      </c>
      <c r="K464" s="70">
        <v>360</v>
      </c>
      <c r="L464" s="70">
        <v>370</v>
      </c>
      <c r="M464" s="70">
        <v>370</v>
      </c>
      <c r="N464" s="70">
        <v>380</v>
      </c>
      <c r="O464" s="70">
        <v>390</v>
      </c>
      <c r="P464" s="70">
        <v>400</v>
      </c>
      <c r="Q464" s="70">
        <v>410</v>
      </c>
      <c r="R464" s="70">
        <v>410</v>
      </c>
    </row>
    <row r="465" spans="1:18" x14ac:dyDescent="0.25">
      <c r="A465" s="43" t="s">
        <v>304</v>
      </c>
      <c r="C465" s="77">
        <v>4967</v>
      </c>
      <c r="D465" s="71">
        <v>4967</v>
      </c>
      <c r="E465" s="72">
        <v>5718</v>
      </c>
      <c r="F465" s="74">
        <v>5718</v>
      </c>
      <c r="G465" s="73">
        <v>5718</v>
      </c>
      <c r="H465" s="77">
        <v>9000</v>
      </c>
      <c r="I465" s="77">
        <v>9210</v>
      </c>
      <c r="J465" s="77">
        <v>9430</v>
      </c>
      <c r="K465" s="77">
        <v>9650</v>
      </c>
      <c r="L465" s="77">
        <v>9880</v>
      </c>
      <c r="M465" s="77">
        <v>10090</v>
      </c>
      <c r="N465" s="77">
        <v>10330</v>
      </c>
      <c r="O465" s="77">
        <v>10580</v>
      </c>
      <c r="P465" s="77">
        <v>10850</v>
      </c>
      <c r="Q465" s="77">
        <v>11110</v>
      </c>
      <c r="R465" s="77">
        <v>11110</v>
      </c>
    </row>
    <row r="466" spans="1:18" x14ac:dyDescent="0.25">
      <c r="A466" s="43" t="s">
        <v>292</v>
      </c>
      <c r="B466" s="53"/>
      <c r="C466" s="59">
        <v>65160</v>
      </c>
      <c r="D466" s="50">
        <v>45848</v>
      </c>
      <c r="E466" s="50">
        <v>40506</v>
      </c>
      <c r="F466" s="50">
        <v>54431</v>
      </c>
      <c r="G466" s="50">
        <v>37580</v>
      </c>
      <c r="H466" s="50">
        <v>47820</v>
      </c>
      <c r="I466" s="50">
        <v>49091.899999999994</v>
      </c>
      <c r="J466" s="50">
        <v>50425.128900000011</v>
      </c>
      <c r="K466" s="50">
        <v>51812.031596100001</v>
      </c>
      <c r="L466" s="50">
        <v>53219.593644435285</v>
      </c>
      <c r="M466" s="50">
        <v>54624.550037027933</v>
      </c>
      <c r="N466" s="50">
        <v>56091.427752131684</v>
      </c>
      <c r="O466" s="50">
        <v>57694.137032203129</v>
      </c>
      <c r="P466" s="50">
        <v>59363.133431226976</v>
      </c>
      <c r="Q466" s="50">
        <v>61043.926041762083</v>
      </c>
      <c r="R466" s="50">
        <v>62776.330340911241</v>
      </c>
    </row>
    <row r="467" spans="1:18" x14ac:dyDescent="0.25">
      <c r="A467" s="43" t="s">
        <v>302</v>
      </c>
      <c r="B467" s="53"/>
      <c r="C467" s="78">
        <v>295</v>
      </c>
      <c r="D467" s="70">
        <v>295</v>
      </c>
      <c r="E467" s="70">
        <v>295</v>
      </c>
      <c r="F467" s="76">
        <v>295</v>
      </c>
      <c r="G467" s="76">
        <v>295</v>
      </c>
      <c r="H467" s="76">
        <v>300</v>
      </c>
      <c r="I467" s="76">
        <v>310</v>
      </c>
      <c r="J467" s="76">
        <v>315</v>
      </c>
      <c r="K467" s="76">
        <v>330</v>
      </c>
      <c r="L467" s="76">
        <v>330</v>
      </c>
      <c r="M467" s="76">
        <v>340</v>
      </c>
      <c r="N467" s="76">
        <v>345</v>
      </c>
      <c r="O467" s="76">
        <v>360</v>
      </c>
      <c r="P467" s="76">
        <v>370</v>
      </c>
      <c r="Q467" s="76">
        <v>380</v>
      </c>
      <c r="R467" s="76">
        <v>380</v>
      </c>
    </row>
    <row r="468" spans="1:18" x14ac:dyDescent="0.25">
      <c r="A468" s="43" t="s">
        <v>304</v>
      </c>
      <c r="B468" s="53"/>
      <c r="C468" s="77">
        <v>45872</v>
      </c>
      <c r="D468" s="71">
        <v>45871</v>
      </c>
      <c r="E468" s="72">
        <v>45871</v>
      </c>
      <c r="F468" s="73">
        <v>47474</v>
      </c>
      <c r="G468" s="73">
        <v>47559</v>
      </c>
      <c r="H468" s="73">
        <v>39600</v>
      </c>
      <c r="I468" s="73">
        <v>40510</v>
      </c>
      <c r="J468" s="73">
        <v>41480</v>
      </c>
      <c r="K468" s="73">
        <v>42480</v>
      </c>
      <c r="L468" s="73">
        <v>43460</v>
      </c>
      <c r="M468" s="73">
        <v>44410</v>
      </c>
      <c r="N468" s="73">
        <v>45430</v>
      </c>
      <c r="O468" s="73">
        <v>46570</v>
      </c>
      <c r="P468" s="73">
        <v>47730</v>
      </c>
      <c r="Q468" s="73">
        <v>48880</v>
      </c>
      <c r="R468" s="73">
        <v>48880</v>
      </c>
    </row>
    <row r="469" spans="1:18" x14ac:dyDescent="0.25">
      <c r="A469" t="s">
        <v>305</v>
      </c>
      <c r="B469" s="53"/>
      <c r="C469" s="79">
        <v>505</v>
      </c>
      <c r="D469" s="79">
        <v>505</v>
      </c>
      <c r="E469" s="80">
        <v>505</v>
      </c>
      <c r="F469" s="81">
        <v>505</v>
      </c>
      <c r="G469" s="80">
        <v>505</v>
      </c>
      <c r="H469" s="79">
        <v>520</v>
      </c>
      <c r="I469" s="79">
        <v>530</v>
      </c>
      <c r="J469" s="79">
        <v>540</v>
      </c>
      <c r="K469" s="79">
        <v>560</v>
      </c>
      <c r="L469" s="79">
        <v>570</v>
      </c>
      <c r="M469" s="79">
        <v>580</v>
      </c>
      <c r="N469" s="79">
        <v>590</v>
      </c>
      <c r="O469" s="79">
        <v>610</v>
      </c>
      <c r="P469" s="79">
        <v>620</v>
      </c>
      <c r="Q469" s="79">
        <v>640</v>
      </c>
      <c r="R469" s="79">
        <v>640</v>
      </c>
    </row>
    <row r="470" spans="1:18" x14ac:dyDescent="0.25">
      <c r="A470" s="52" t="s">
        <v>295</v>
      </c>
      <c r="B470" s="53"/>
      <c r="C470" s="50">
        <v>0</v>
      </c>
      <c r="D470" s="50"/>
      <c r="E470" s="50"/>
      <c r="F470" s="50"/>
      <c r="G470" s="50">
        <v>0</v>
      </c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</row>
    <row r="471" spans="1:18" x14ac:dyDescent="0.25">
      <c r="A471" s="52" t="s">
        <v>306</v>
      </c>
      <c r="B471" s="53"/>
      <c r="C471" s="59">
        <v>4464</v>
      </c>
      <c r="D471" s="54">
        <v>5149</v>
      </c>
      <c r="E471" s="43">
        <v>5002</v>
      </c>
      <c r="F471" s="54">
        <v>4911</v>
      </c>
      <c r="G471" s="50">
        <v>3184</v>
      </c>
      <c r="H471" s="50">
        <f>5200-200</f>
        <v>5000</v>
      </c>
      <c r="I471" s="54">
        <v>5115</v>
      </c>
      <c r="J471" s="54">
        <v>5237.76</v>
      </c>
      <c r="K471" s="54">
        <v>5363.4662400000007</v>
      </c>
      <c r="L471" s="54">
        <v>5486.8259635200002</v>
      </c>
      <c r="M471" s="54">
        <v>5607.5361347174403</v>
      </c>
      <c r="N471" s="54">
        <v>5736.5094658159405</v>
      </c>
      <c r="O471" s="54">
        <v>5879.9222024613382</v>
      </c>
      <c r="P471" s="54">
        <v>6026.920257522871</v>
      </c>
      <c r="Q471" s="54">
        <v>6171.56634370342</v>
      </c>
      <c r="R471" s="54">
        <v>6319.6839359523019</v>
      </c>
    </row>
    <row r="472" spans="1:18" x14ac:dyDescent="0.25">
      <c r="A472" s="52" t="s">
        <v>307</v>
      </c>
      <c r="B472" s="53"/>
      <c r="C472" s="59"/>
      <c r="D472" s="54"/>
      <c r="F472" s="54">
        <v>2000</v>
      </c>
      <c r="G472" s="54">
        <v>0</v>
      </c>
      <c r="H472" s="54">
        <v>0</v>
      </c>
      <c r="I472" s="54">
        <v>0</v>
      </c>
      <c r="J472" s="54">
        <v>0</v>
      </c>
      <c r="K472" s="54">
        <v>0</v>
      </c>
      <c r="L472" s="54">
        <v>0</v>
      </c>
      <c r="M472" s="54">
        <v>0</v>
      </c>
      <c r="N472" s="54">
        <v>0</v>
      </c>
      <c r="O472" s="54">
        <v>0</v>
      </c>
      <c r="P472" s="54">
        <v>0</v>
      </c>
      <c r="Q472" s="54">
        <v>0</v>
      </c>
      <c r="R472" s="54">
        <v>0</v>
      </c>
    </row>
    <row r="473" spans="1:18" x14ac:dyDescent="0.25">
      <c r="A473" s="52" t="s">
        <v>308</v>
      </c>
      <c r="B473" s="53"/>
      <c r="C473" s="59"/>
      <c r="D473" s="54"/>
      <c r="F473" s="54"/>
      <c r="G473" s="50">
        <v>15541</v>
      </c>
      <c r="H473" s="50">
        <v>5000</v>
      </c>
      <c r="I473" s="54">
        <f>H473*1.023</f>
        <v>5115</v>
      </c>
      <c r="J473" s="54">
        <f t="shared" ref="J473:K474" si="381">I473*1.024</f>
        <v>5237.76</v>
      </c>
      <c r="K473" s="54">
        <f t="shared" si="381"/>
        <v>5363.4662400000007</v>
      </c>
      <c r="L473" s="54">
        <f t="shared" ref="L473:L474" si="382">K473*1.023</f>
        <v>5486.8259635200002</v>
      </c>
      <c r="M473" s="54">
        <f t="shared" ref="M473:M474" si="383">L473*1.022</f>
        <v>5607.5361347174403</v>
      </c>
      <c r="N473" s="54">
        <f t="shared" ref="N473:N474" si="384">M473*1.023</f>
        <v>5736.5094658159405</v>
      </c>
      <c r="O473" s="54">
        <f t="shared" ref="O473:P474" si="385">N473*1.025</f>
        <v>5879.9222024613382</v>
      </c>
      <c r="P473" s="54">
        <f t="shared" si="385"/>
        <v>6026.920257522871</v>
      </c>
      <c r="Q473" s="54">
        <f t="shared" ref="Q473:R474" si="386">P473*1.024</f>
        <v>6171.56634370342</v>
      </c>
      <c r="R473" s="54">
        <f t="shared" si="386"/>
        <v>6319.6839359523019</v>
      </c>
    </row>
    <row r="474" spans="1:18" x14ac:dyDescent="0.25">
      <c r="A474" s="52" t="s">
        <v>309</v>
      </c>
      <c r="B474" s="53"/>
      <c r="C474" s="59">
        <v>717</v>
      </c>
      <c r="D474" s="50">
        <v>2744</v>
      </c>
      <c r="E474" s="43">
        <v>2241</v>
      </c>
      <c r="F474" s="50">
        <v>2176</v>
      </c>
      <c r="G474" s="50">
        <v>756</v>
      </c>
      <c r="H474" s="50">
        <v>2400</v>
      </c>
      <c r="I474" s="54">
        <f>H474*1.023</f>
        <v>2455.1999999999998</v>
      </c>
      <c r="J474" s="54">
        <f t="shared" si="381"/>
        <v>2514.1248000000001</v>
      </c>
      <c r="K474" s="54">
        <f t="shared" si="381"/>
        <v>2574.4637952000003</v>
      </c>
      <c r="L474" s="54">
        <f t="shared" si="382"/>
        <v>2633.6764624896</v>
      </c>
      <c r="M474" s="54">
        <f t="shared" si="383"/>
        <v>2691.6173446643711</v>
      </c>
      <c r="N474" s="54">
        <f t="shared" si="384"/>
        <v>2753.5245435916513</v>
      </c>
      <c r="O474" s="54">
        <f t="shared" si="385"/>
        <v>2822.3626571814425</v>
      </c>
      <c r="P474" s="54">
        <f t="shared" si="385"/>
        <v>2892.9217236109785</v>
      </c>
      <c r="Q474" s="54">
        <f t="shared" si="386"/>
        <v>2962.351844977642</v>
      </c>
      <c r="R474" s="54">
        <f t="shared" si="386"/>
        <v>3033.4482892571054</v>
      </c>
    </row>
    <row r="475" spans="1:18" x14ac:dyDescent="0.25">
      <c r="A475" s="52" t="s">
        <v>310</v>
      </c>
      <c r="C475" s="59">
        <v>45383</v>
      </c>
      <c r="D475" s="50">
        <f>50886-2983</f>
        <v>47903</v>
      </c>
      <c r="E475" s="43">
        <v>48726</v>
      </c>
      <c r="F475" s="43">
        <v>48053</v>
      </c>
      <c r="G475" s="43">
        <v>47977</v>
      </c>
      <c r="H475" s="43">
        <v>48000</v>
      </c>
      <c r="I475" s="50">
        <f>H475*1.025</f>
        <v>49199.999999999993</v>
      </c>
      <c r="J475" s="50">
        <f t="shared" ref="J475:J476" si="387">I475*1.029</f>
        <v>50626.799999999988</v>
      </c>
      <c r="K475" s="54">
        <f t="shared" ref="K475:K476" si="388">J475*1.031</f>
        <v>52196.230799999983</v>
      </c>
      <c r="L475" s="54">
        <f t="shared" ref="L475:L476" si="389">K475*1.033</f>
        <v>53918.706416399975</v>
      </c>
      <c r="M475" s="54">
        <f t="shared" ref="M475:M476" si="390">L475*1.032</f>
        <v>55644.105021724776</v>
      </c>
      <c r="N475" s="54">
        <f t="shared" ref="N475:N476" si="391">M475*1.03</f>
        <v>57313.428172376523</v>
      </c>
      <c r="O475" s="54">
        <f t="shared" ref="O475:O476" si="392">N475*1.032</f>
        <v>59147.45787389257</v>
      </c>
      <c r="P475" s="54">
        <f t="shared" ref="P475:R476" si="393">O475*1.034</f>
        <v>61158.471441604917</v>
      </c>
      <c r="Q475" s="54">
        <f t="shared" si="393"/>
        <v>63237.859470619485</v>
      </c>
      <c r="R475" s="54">
        <f t="shared" si="393"/>
        <v>65387.94669262055</v>
      </c>
    </row>
    <row r="476" spans="1:18" x14ac:dyDescent="0.25">
      <c r="A476" s="43" t="s">
        <v>220</v>
      </c>
      <c r="C476" s="59">
        <v>4063</v>
      </c>
      <c r="D476" s="50">
        <v>2983</v>
      </c>
      <c r="E476" s="43">
        <v>1324</v>
      </c>
      <c r="F476" s="43">
        <v>-11647</v>
      </c>
      <c r="G476" s="43">
        <v>1421</v>
      </c>
      <c r="H476" s="43">
        <v>4600</v>
      </c>
      <c r="I476" s="50">
        <f>H476*1.025</f>
        <v>4715</v>
      </c>
      <c r="J476" s="50">
        <f t="shared" si="387"/>
        <v>4851.7349999999997</v>
      </c>
      <c r="K476" s="54">
        <f t="shared" si="388"/>
        <v>5002.1387849999992</v>
      </c>
      <c r="L476" s="54">
        <f t="shared" si="389"/>
        <v>5167.2093649049984</v>
      </c>
      <c r="M476" s="54">
        <f t="shared" si="390"/>
        <v>5332.5600645819586</v>
      </c>
      <c r="N476" s="54">
        <f t="shared" si="391"/>
        <v>5492.5368665194173</v>
      </c>
      <c r="O476" s="54">
        <f t="shared" si="392"/>
        <v>5668.2980462480391</v>
      </c>
      <c r="P476" s="54">
        <f t="shared" si="393"/>
        <v>5861.0201798204725</v>
      </c>
      <c r="Q476" s="54">
        <f t="shared" si="393"/>
        <v>6060.2948659343692</v>
      </c>
      <c r="R476" s="54">
        <f t="shared" si="393"/>
        <v>6266.3448913761376</v>
      </c>
    </row>
    <row r="477" spans="1:18" x14ac:dyDescent="0.25">
      <c r="A477" s="52" t="s">
        <v>311</v>
      </c>
      <c r="B477" s="53"/>
      <c r="C477" s="59">
        <v>260</v>
      </c>
      <c r="D477" s="67">
        <v>0</v>
      </c>
      <c r="E477" s="43">
        <v>0</v>
      </c>
      <c r="F477" s="67">
        <v>0</v>
      </c>
      <c r="G477" s="67">
        <v>0</v>
      </c>
      <c r="H477" s="67">
        <v>0</v>
      </c>
      <c r="I477" s="54">
        <v>0</v>
      </c>
      <c r="J477" s="54">
        <v>0</v>
      </c>
      <c r="K477" s="54">
        <v>0</v>
      </c>
      <c r="L477" s="54">
        <v>0</v>
      </c>
      <c r="M477" s="54">
        <v>0</v>
      </c>
      <c r="N477" s="54">
        <v>0</v>
      </c>
      <c r="O477" s="54">
        <v>0</v>
      </c>
      <c r="P477" s="54">
        <v>0</v>
      </c>
      <c r="Q477" s="54">
        <v>0</v>
      </c>
      <c r="R477" s="54">
        <v>0</v>
      </c>
    </row>
    <row r="478" spans="1:18" x14ac:dyDescent="0.25">
      <c r="A478" s="59" t="s">
        <v>312</v>
      </c>
      <c r="B478" s="53"/>
      <c r="C478" s="59">
        <v>13000</v>
      </c>
      <c r="D478" s="67">
        <v>7000</v>
      </c>
      <c r="E478" s="43">
        <v>0</v>
      </c>
      <c r="F478" s="67">
        <v>0</v>
      </c>
      <c r="G478" s="67">
        <v>0</v>
      </c>
      <c r="H478" s="67">
        <v>0</v>
      </c>
      <c r="I478" s="54">
        <v>0</v>
      </c>
      <c r="J478" s="54">
        <v>0</v>
      </c>
      <c r="K478" s="54">
        <v>0</v>
      </c>
      <c r="L478" s="54">
        <v>0</v>
      </c>
      <c r="M478" s="54">
        <v>0</v>
      </c>
      <c r="N478" s="54">
        <v>0</v>
      </c>
      <c r="O478" s="54">
        <v>0</v>
      </c>
      <c r="P478" s="54">
        <v>0</v>
      </c>
      <c r="Q478" s="54">
        <v>0</v>
      </c>
      <c r="R478" s="54">
        <v>0</v>
      </c>
    </row>
    <row r="479" spans="1:18" x14ac:dyDescent="0.25">
      <c r="A479" s="52" t="s">
        <v>300</v>
      </c>
      <c r="C479" s="59">
        <v>1061</v>
      </c>
      <c r="D479" s="50">
        <v>905</v>
      </c>
      <c r="E479" s="43">
        <v>1104</v>
      </c>
      <c r="F479" s="50">
        <v>570</v>
      </c>
      <c r="G479" s="50">
        <v>500</v>
      </c>
      <c r="H479" s="50">
        <v>1200</v>
      </c>
      <c r="I479" s="54">
        <f>H479*1.023</f>
        <v>1227.5999999999999</v>
      </c>
      <c r="J479" s="54">
        <f t="shared" ref="J479:K479" si="394">I479*1.024</f>
        <v>1257.0624</v>
      </c>
      <c r="K479" s="54">
        <f t="shared" si="394"/>
        <v>1287.2318976000001</v>
      </c>
      <c r="L479" s="54">
        <f t="shared" ref="L479" si="395">K479*1.023</f>
        <v>1316.8382312448</v>
      </c>
      <c r="M479" s="54">
        <f t="shared" ref="M479" si="396">L479*1.022</f>
        <v>1345.8086723321856</v>
      </c>
      <c r="N479" s="54">
        <f t="shared" ref="N479" si="397">M479*1.023</f>
        <v>1376.7622717958257</v>
      </c>
      <c r="O479" s="54">
        <f t="shared" ref="O479:P479" si="398">N479*1.025</f>
        <v>1411.1813285907213</v>
      </c>
      <c r="P479" s="54">
        <f t="shared" si="398"/>
        <v>1446.4608618054892</v>
      </c>
      <c r="Q479" s="54">
        <f t="shared" ref="Q479:R479" si="399">P479*1.024</f>
        <v>1481.175922488821</v>
      </c>
      <c r="R479" s="54">
        <f t="shared" si="399"/>
        <v>1516.7241446285527</v>
      </c>
    </row>
    <row r="480" spans="1:18" x14ac:dyDescent="0.25">
      <c r="C480" s="50"/>
      <c r="D480" s="50"/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  <c r="P480" s="50"/>
      <c r="Q480" s="50"/>
      <c r="R480" s="50"/>
    </row>
    <row r="481" spans="1:18" x14ac:dyDescent="0.25">
      <c r="A481" s="41" t="s">
        <v>230</v>
      </c>
      <c r="B481" s="44"/>
      <c r="C481" s="51">
        <f>SUM(C458:C480)</f>
        <v>252511</v>
      </c>
      <c r="D481" s="51">
        <f>SUM(D458:D480)</f>
        <v>234970</v>
      </c>
      <c r="E481" s="51">
        <f t="shared" ref="E481:R481" si="400">SUM(E458:E480)</f>
        <v>219651</v>
      </c>
      <c r="F481" s="51">
        <f t="shared" si="400"/>
        <v>241951</v>
      </c>
      <c r="G481" s="51">
        <f t="shared" si="400"/>
        <v>222689</v>
      </c>
      <c r="H481" s="51">
        <f t="shared" si="400"/>
        <v>246010</v>
      </c>
      <c r="I481" s="51">
        <f t="shared" si="400"/>
        <v>252075.7</v>
      </c>
      <c r="J481" s="51">
        <f t="shared" si="400"/>
        <v>258634.88209999999</v>
      </c>
      <c r="K481" s="51">
        <f t="shared" si="400"/>
        <v>265573.88207289996</v>
      </c>
      <c r="L481" s="51">
        <f t="shared" si="400"/>
        <v>272653.40804946166</v>
      </c>
      <c r="M481" s="51">
        <f t="shared" si="400"/>
        <v>279679.89536610869</v>
      </c>
      <c r="N481" s="51">
        <f t="shared" si="400"/>
        <v>286891.87509861204</v>
      </c>
      <c r="O481" s="51">
        <f t="shared" si="400"/>
        <v>294882.48009922588</v>
      </c>
      <c r="P481" s="51">
        <f t="shared" si="400"/>
        <v>303229.88642589119</v>
      </c>
      <c r="Q481" s="51">
        <f t="shared" si="400"/>
        <v>311659.78049041826</v>
      </c>
      <c r="R481" s="51">
        <f t="shared" si="400"/>
        <v>317999.79779374565</v>
      </c>
    </row>
    <row r="482" spans="1:18" x14ac:dyDescent="0.25"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  <c r="P482" s="50"/>
      <c r="Q482" s="50"/>
      <c r="R482" s="50"/>
    </row>
    <row r="483" spans="1:18" x14ac:dyDescent="0.25">
      <c r="A483" s="41" t="s">
        <v>251</v>
      </c>
      <c r="B483" s="44"/>
      <c r="C483" s="50"/>
      <c r="D483" s="50"/>
      <c r="E483" s="50"/>
      <c r="F483" s="50"/>
      <c r="G483" s="50"/>
      <c r="H483" s="50"/>
      <c r="I483" s="50"/>
      <c r="J483" s="50"/>
      <c r="K483" s="50"/>
      <c r="L483" s="50"/>
      <c r="M483" s="50"/>
      <c r="N483" s="50"/>
      <c r="O483" s="50"/>
      <c r="P483" s="50"/>
      <c r="Q483" s="50"/>
      <c r="R483" s="50"/>
    </row>
    <row r="484" spans="1:18" x14ac:dyDescent="0.25">
      <c r="C484" s="50"/>
      <c r="D484" s="50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0"/>
    </row>
    <row r="485" spans="1:18" x14ac:dyDescent="0.25">
      <c r="A485" s="43" t="s">
        <v>313</v>
      </c>
      <c r="B485" s="82" t="s">
        <v>314</v>
      </c>
      <c r="C485" s="50">
        <v>0</v>
      </c>
      <c r="D485" s="54">
        <f>C485*1.025</f>
        <v>0</v>
      </c>
      <c r="E485" s="54">
        <f>D485*1.025</f>
        <v>0</v>
      </c>
      <c r="F485" s="54">
        <v>0</v>
      </c>
      <c r="G485" s="54">
        <v>0</v>
      </c>
      <c r="H485" s="54">
        <v>0</v>
      </c>
      <c r="I485" s="54">
        <v>0</v>
      </c>
      <c r="J485" s="54">
        <v>0</v>
      </c>
      <c r="K485" s="54">
        <v>0</v>
      </c>
      <c r="L485" s="54">
        <v>0</v>
      </c>
      <c r="M485" s="54">
        <v>0</v>
      </c>
      <c r="N485" s="54">
        <v>0</v>
      </c>
      <c r="O485" s="54">
        <v>0</v>
      </c>
      <c r="P485" s="54">
        <v>0</v>
      </c>
      <c r="Q485" s="54">
        <f>P485*1.025</f>
        <v>0</v>
      </c>
      <c r="R485" s="54">
        <f>Q485*1.025</f>
        <v>0</v>
      </c>
    </row>
    <row r="486" spans="1:18" x14ac:dyDescent="0.25">
      <c r="C486" s="50"/>
      <c r="D486" s="50"/>
      <c r="E486" s="50"/>
      <c r="F486" s="50"/>
      <c r="G486" s="50"/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0"/>
    </row>
    <row r="487" spans="1:18" x14ac:dyDescent="0.25">
      <c r="A487" s="41" t="s">
        <v>254</v>
      </c>
      <c r="B487" s="44"/>
      <c r="C487" s="51">
        <f t="shared" ref="C487" si="401">SUM(C485:C486)</f>
        <v>0</v>
      </c>
      <c r="D487" s="51">
        <f t="shared" ref="D487:E487" si="402">SUM(D485:D486)</f>
        <v>0</v>
      </c>
      <c r="E487" s="51">
        <f t="shared" si="402"/>
        <v>0</v>
      </c>
      <c r="F487" s="51">
        <v>0</v>
      </c>
      <c r="G487" s="51">
        <v>0</v>
      </c>
      <c r="H487" s="51">
        <v>0</v>
      </c>
      <c r="I487" s="51">
        <v>0</v>
      </c>
      <c r="J487" s="51">
        <v>0</v>
      </c>
      <c r="K487" s="51">
        <v>0</v>
      </c>
      <c r="L487" s="51">
        <v>0</v>
      </c>
      <c r="M487" s="51">
        <v>0</v>
      </c>
      <c r="N487" s="51">
        <v>0</v>
      </c>
      <c r="O487" s="51">
        <v>0</v>
      </c>
      <c r="P487" s="51">
        <v>0</v>
      </c>
      <c r="Q487" s="51">
        <f>SUM(Q485:Q486)</f>
        <v>0</v>
      </c>
      <c r="R487" s="51">
        <f>SUM(R485:R486)</f>
        <v>0</v>
      </c>
    </row>
    <row r="488" spans="1:18" x14ac:dyDescent="0.25">
      <c r="C488" s="50"/>
      <c r="D488" s="50"/>
      <c r="E488" s="50"/>
      <c r="F488" s="50"/>
      <c r="G488" s="50"/>
      <c r="H488" s="50"/>
      <c r="I488" s="50"/>
      <c r="J488" s="50"/>
      <c r="K488" s="50"/>
      <c r="L488" s="50"/>
      <c r="M488" s="50"/>
      <c r="N488" s="50"/>
      <c r="O488" s="50"/>
      <c r="P488" s="50"/>
      <c r="Q488" s="50"/>
      <c r="R488" s="50"/>
    </row>
    <row r="489" spans="1:18" x14ac:dyDescent="0.25">
      <c r="A489" s="41" t="s">
        <v>171</v>
      </c>
      <c r="B489" s="44"/>
      <c r="C489" s="50"/>
      <c r="D489" s="50"/>
      <c r="E489" s="50"/>
      <c r="F489" s="50"/>
      <c r="G489" s="50"/>
      <c r="H489" s="50"/>
      <c r="I489" s="50"/>
      <c r="J489" s="50"/>
      <c r="K489" s="50"/>
      <c r="L489" s="50"/>
      <c r="M489" s="50"/>
      <c r="N489" s="50"/>
      <c r="O489" s="50"/>
      <c r="P489" s="50"/>
      <c r="Q489" s="50"/>
      <c r="R489" s="50"/>
    </row>
    <row r="490" spans="1:18" x14ac:dyDescent="0.25">
      <c r="A490" s="41"/>
      <c r="B490" s="44"/>
      <c r="C490" s="50"/>
      <c r="D490" s="50"/>
      <c r="E490" s="50"/>
      <c r="F490" s="50"/>
      <c r="G490" s="50"/>
      <c r="H490" s="50"/>
      <c r="I490" s="50"/>
      <c r="J490" s="50"/>
      <c r="K490" s="50"/>
      <c r="L490" s="50"/>
      <c r="M490" s="50"/>
      <c r="N490" s="50"/>
      <c r="O490" s="50"/>
      <c r="P490" s="50"/>
      <c r="Q490" s="50"/>
      <c r="R490" s="50"/>
    </row>
    <row r="491" spans="1:18" x14ac:dyDescent="0.25">
      <c r="A491" s="41" t="s">
        <v>315</v>
      </c>
      <c r="B491" s="44"/>
      <c r="C491" s="50"/>
      <c r="D491" s="50"/>
      <c r="E491" s="50"/>
      <c r="F491" s="50"/>
      <c r="G491" s="50"/>
      <c r="H491" s="50"/>
      <c r="I491" s="50"/>
      <c r="J491" s="50"/>
      <c r="K491" s="50"/>
      <c r="L491" s="50"/>
      <c r="M491" s="50"/>
      <c r="N491" s="50"/>
      <c r="O491" s="50"/>
      <c r="P491" s="50"/>
      <c r="Q491" s="50"/>
      <c r="R491" s="50"/>
    </row>
    <row r="492" spans="1:18" x14ac:dyDescent="0.25">
      <c r="A492" s="83" t="s">
        <v>316</v>
      </c>
      <c r="B492" s="84" t="s">
        <v>317</v>
      </c>
      <c r="C492" s="50">
        <v>0</v>
      </c>
      <c r="D492" s="50">
        <v>0</v>
      </c>
      <c r="E492" s="50">
        <v>0</v>
      </c>
      <c r="F492" s="50">
        <v>0</v>
      </c>
      <c r="G492" s="50">
        <v>0</v>
      </c>
      <c r="H492" s="50">
        <v>0</v>
      </c>
      <c r="I492" s="50">
        <v>0</v>
      </c>
      <c r="J492" s="50">
        <v>0</v>
      </c>
      <c r="K492" s="50">
        <v>0</v>
      </c>
      <c r="L492" s="50">
        <v>0</v>
      </c>
      <c r="M492" s="50">
        <v>0</v>
      </c>
      <c r="N492" s="50">
        <v>0</v>
      </c>
      <c r="O492" s="50">
        <v>0</v>
      </c>
      <c r="P492" s="50">
        <v>0</v>
      </c>
      <c r="Q492" s="50">
        <v>0</v>
      </c>
      <c r="R492" s="50">
        <v>0</v>
      </c>
    </row>
    <row r="493" spans="1:18" x14ac:dyDescent="0.25">
      <c r="A493" s="83" t="s">
        <v>318</v>
      </c>
      <c r="B493" s="84" t="s">
        <v>317</v>
      </c>
      <c r="C493" s="50">
        <v>0</v>
      </c>
      <c r="D493" s="50"/>
      <c r="E493" s="85">
        <v>0</v>
      </c>
      <c r="F493" s="50">
        <v>0</v>
      </c>
      <c r="G493" s="50">
        <v>0</v>
      </c>
      <c r="H493" s="50">
        <v>0</v>
      </c>
      <c r="I493" s="50">
        <v>0</v>
      </c>
      <c r="J493" s="50">
        <v>0</v>
      </c>
      <c r="K493" s="50">
        <v>0</v>
      </c>
      <c r="L493" s="50">
        <v>0</v>
      </c>
      <c r="M493" s="50">
        <v>0</v>
      </c>
      <c r="N493" s="50">
        <v>0</v>
      </c>
      <c r="O493" s="50">
        <v>0</v>
      </c>
      <c r="P493" s="50">
        <v>0</v>
      </c>
      <c r="Q493" s="50">
        <v>0</v>
      </c>
      <c r="R493" s="50">
        <v>0</v>
      </c>
    </row>
    <row r="494" spans="1:18" x14ac:dyDescent="0.25">
      <c r="A494" s="83" t="s">
        <v>319</v>
      </c>
      <c r="B494" s="84" t="s">
        <v>317</v>
      </c>
      <c r="C494" s="50">
        <v>0</v>
      </c>
      <c r="D494" s="50"/>
      <c r="E494" s="85">
        <v>5717</v>
      </c>
      <c r="F494" s="50">
        <v>0</v>
      </c>
      <c r="G494" s="50">
        <v>0</v>
      </c>
      <c r="H494" s="50">
        <v>0</v>
      </c>
      <c r="I494" s="50">
        <v>0</v>
      </c>
      <c r="J494" s="50">
        <v>0</v>
      </c>
      <c r="K494" s="50">
        <v>0</v>
      </c>
      <c r="L494" s="50">
        <v>0</v>
      </c>
      <c r="M494" s="50">
        <v>0</v>
      </c>
      <c r="N494" s="50">
        <v>0</v>
      </c>
      <c r="O494" s="50">
        <v>0</v>
      </c>
      <c r="P494" s="50">
        <v>0</v>
      </c>
      <c r="Q494" s="50">
        <v>0</v>
      </c>
      <c r="R494" s="50">
        <v>0</v>
      </c>
    </row>
    <row r="495" spans="1:18" x14ac:dyDescent="0.25">
      <c r="A495" s="83" t="s">
        <v>320</v>
      </c>
      <c r="B495" s="84" t="s">
        <v>317</v>
      </c>
      <c r="C495" s="50">
        <v>0</v>
      </c>
      <c r="D495" s="50">
        <v>0</v>
      </c>
      <c r="E495" s="85">
        <v>0</v>
      </c>
      <c r="F495" s="50">
        <v>0</v>
      </c>
      <c r="G495" s="50">
        <v>0</v>
      </c>
      <c r="H495" s="50">
        <v>0</v>
      </c>
      <c r="I495" s="50">
        <v>0</v>
      </c>
      <c r="J495" s="50">
        <v>0</v>
      </c>
      <c r="K495" s="50">
        <v>0</v>
      </c>
      <c r="L495" s="50">
        <v>0</v>
      </c>
      <c r="M495" s="50">
        <v>0</v>
      </c>
      <c r="N495" s="50">
        <v>0</v>
      </c>
      <c r="O495" s="50">
        <v>0</v>
      </c>
      <c r="P495" s="50">
        <v>0</v>
      </c>
      <c r="Q495" s="50">
        <v>0</v>
      </c>
      <c r="R495" s="50">
        <v>0</v>
      </c>
    </row>
    <row r="496" spans="1:18" s="43" customFormat="1" x14ac:dyDescent="0.25">
      <c r="A496" s="86" t="s">
        <v>321</v>
      </c>
      <c r="B496" s="84" t="s">
        <v>317</v>
      </c>
      <c r="C496" s="50"/>
      <c r="D496" s="50"/>
      <c r="E496" s="85">
        <v>6360</v>
      </c>
      <c r="F496" s="50"/>
      <c r="G496" s="50"/>
      <c r="H496" s="50"/>
      <c r="I496" s="50"/>
      <c r="J496" s="50"/>
      <c r="K496" s="50"/>
      <c r="L496" s="50"/>
      <c r="M496" s="50"/>
      <c r="N496" s="50"/>
      <c r="O496" s="50"/>
      <c r="P496" s="50"/>
      <c r="Q496" s="50"/>
      <c r="R496" s="50"/>
    </row>
    <row r="497" spans="1:18" s="43" customFormat="1" x14ac:dyDescent="0.25">
      <c r="A497" s="87" t="s">
        <v>322</v>
      </c>
      <c r="B497" s="88" t="s">
        <v>323</v>
      </c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89">
        <v>0</v>
      </c>
      <c r="Q497" s="50"/>
      <c r="R497" s="50"/>
    </row>
    <row r="498" spans="1:18" s="43" customFormat="1" x14ac:dyDescent="0.25">
      <c r="A498" s="87" t="s">
        <v>324</v>
      </c>
      <c r="B498" s="88" t="s">
        <v>323</v>
      </c>
      <c r="C498" s="50"/>
      <c r="D498" s="50"/>
      <c r="E498" s="50"/>
      <c r="F498" s="50"/>
      <c r="G498" s="50"/>
      <c r="H498" s="50"/>
      <c r="I498" s="50"/>
      <c r="J498" s="50"/>
      <c r="K498" s="89">
        <v>0</v>
      </c>
      <c r="L498" s="50"/>
      <c r="M498" s="50"/>
      <c r="N498" s="50"/>
      <c r="O498" s="50"/>
      <c r="P498" s="89">
        <v>0</v>
      </c>
      <c r="Q498" s="50"/>
      <c r="R498" s="50"/>
    </row>
    <row r="499" spans="1:18" x14ac:dyDescent="0.25">
      <c r="A499" s="41" t="s">
        <v>325</v>
      </c>
      <c r="B499" s="44"/>
      <c r="C499" s="67"/>
      <c r="D499" s="67"/>
      <c r="E499" s="67"/>
      <c r="F499" s="67"/>
      <c r="G499" s="67"/>
      <c r="H499" s="67"/>
      <c r="I499" s="67"/>
      <c r="J499" s="67"/>
      <c r="K499" s="67"/>
      <c r="L499" s="67"/>
      <c r="M499" s="67"/>
      <c r="N499" s="67"/>
      <c r="O499" s="67"/>
      <c r="P499" s="67"/>
      <c r="Q499" s="67"/>
      <c r="R499" s="67"/>
    </row>
    <row r="500" spans="1:18" x14ac:dyDescent="0.25">
      <c r="A500" s="83" t="s">
        <v>319</v>
      </c>
      <c r="B500" s="84" t="s">
        <v>317</v>
      </c>
      <c r="C500" s="67">
        <v>0</v>
      </c>
      <c r="D500" s="67">
        <v>0</v>
      </c>
      <c r="E500" s="67">
        <v>0</v>
      </c>
      <c r="F500" s="67">
        <v>0</v>
      </c>
      <c r="G500" s="67">
        <v>0</v>
      </c>
      <c r="H500" s="67">
        <v>0</v>
      </c>
      <c r="I500" s="67">
        <v>0</v>
      </c>
      <c r="J500" s="67">
        <v>0</v>
      </c>
      <c r="K500" s="67">
        <v>0</v>
      </c>
      <c r="L500" s="67">
        <v>0</v>
      </c>
      <c r="M500" s="67">
        <v>0</v>
      </c>
      <c r="N500" s="67">
        <v>0</v>
      </c>
      <c r="O500" s="67"/>
      <c r="P500" s="67">
        <v>0</v>
      </c>
      <c r="Q500" s="67">
        <v>0</v>
      </c>
      <c r="R500" s="67">
        <v>0</v>
      </c>
    </row>
    <row r="501" spans="1:18" x14ac:dyDescent="0.25">
      <c r="A501" s="83" t="s">
        <v>326</v>
      </c>
      <c r="B501" s="84" t="s">
        <v>317</v>
      </c>
      <c r="C501" s="67">
        <v>0</v>
      </c>
      <c r="D501" s="90">
        <v>14182</v>
      </c>
      <c r="E501" s="67">
        <v>0</v>
      </c>
      <c r="F501" s="67">
        <v>0</v>
      </c>
      <c r="G501" s="67">
        <v>0</v>
      </c>
      <c r="H501" s="67">
        <v>0</v>
      </c>
      <c r="I501" s="67">
        <v>0</v>
      </c>
      <c r="J501" s="67">
        <v>0</v>
      </c>
      <c r="K501" s="67">
        <v>0</v>
      </c>
      <c r="L501" s="67">
        <v>0</v>
      </c>
      <c r="M501" s="67">
        <v>0</v>
      </c>
      <c r="N501" s="67">
        <v>0</v>
      </c>
      <c r="O501" s="67">
        <v>0</v>
      </c>
      <c r="P501" s="67">
        <v>0</v>
      </c>
      <c r="Q501" s="67">
        <v>0</v>
      </c>
      <c r="R501" s="67">
        <v>0</v>
      </c>
    </row>
    <row r="502" spans="1:18" x14ac:dyDescent="0.25">
      <c r="A502" s="91" t="s">
        <v>327</v>
      </c>
      <c r="B502" s="84" t="s">
        <v>317</v>
      </c>
      <c r="C502" s="90">
        <v>11451</v>
      </c>
      <c r="D502" s="67"/>
      <c r="E502" s="67"/>
      <c r="F502" s="67"/>
      <c r="G502" s="67"/>
      <c r="H502" s="67"/>
      <c r="I502" s="67"/>
      <c r="J502" s="67"/>
      <c r="K502" s="67"/>
      <c r="L502" s="67"/>
      <c r="M502" s="67"/>
      <c r="N502" s="67"/>
      <c r="O502" s="67"/>
      <c r="P502" s="67"/>
      <c r="Q502" s="67"/>
      <c r="R502" s="67"/>
    </row>
    <row r="503" spans="1:18" x14ac:dyDescent="0.25">
      <c r="A503" s="52" t="s">
        <v>328</v>
      </c>
      <c r="C503" s="67">
        <v>11850</v>
      </c>
      <c r="D503" s="67"/>
      <c r="E503" s="67"/>
      <c r="F503" s="67"/>
      <c r="G503" s="67"/>
      <c r="H503" s="67"/>
      <c r="I503" s="67"/>
      <c r="J503" s="67"/>
      <c r="K503" s="67"/>
      <c r="L503" s="67"/>
      <c r="M503" s="67"/>
      <c r="N503" s="67"/>
      <c r="O503" s="67"/>
      <c r="P503" s="67"/>
      <c r="Q503" s="67"/>
      <c r="R503" s="67"/>
    </row>
    <row r="504" spans="1:18" s="43" customFormat="1" x14ac:dyDescent="0.25">
      <c r="A504" s="92" t="s">
        <v>329</v>
      </c>
      <c r="B504" s="88" t="s">
        <v>330</v>
      </c>
      <c r="C504" s="67"/>
      <c r="D504" s="67"/>
      <c r="E504" s="67"/>
      <c r="F504" s="67"/>
      <c r="G504" s="67"/>
      <c r="H504" s="67"/>
      <c r="I504" s="67"/>
      <c r="J504" s="67"/>
      <c r="K504" s="67"/>
      <c r="L504" s="67"/>
      <c r="M504" s="67"/>
      <c r="N504" s="67"/>
      <c r="O504" s="67"/>
      <c r="P504" s="67">
        <v>0</v>
      </c>
      <c r="Q504" s="67">
        <v>0</v>
      </c>
      <c r="R504" s="67">
        <v>0</v>
      </c>
    </row>
    <row r="505" spans="1:18" s="43" customFormat="1" x14ac:dyDescent="0.25">
      <c r="A505" s="93" t="s">
        <v>321</v>
      </c>
      <c r="B505" s="88" t="s">
        <v>330</v>
      </c>
      <c r="C505" s="67"/>
      <c r="D505" s="67">
        <v>6050</v>
      </c>
      <c r="E505" s="67"/>
      <c r="F505" s="67"/>
      <c r="G505" s="67"/>
      <c r="H505" s="67"/>
      <c r="I505" s="67"/>
      <c r="J505" s="67"/>
      <c r="K505" s="67"/>
      <c r="L505" s="67"/>
      <c r="M505" s="67"/>
      <c r="N505" s="67"/>
      <c r="O505" s="67"/>
      <c r="P505" s="67"/>
      <c r="Q505" s="67"/>
      <c r="R505" s="67"/>
    </row>
    <row r="506" spans="1:18" s="43" customFormat="1" x14ac:dyDescent="0.25">
      <c r="A506" s="94" t="s">
        <v>331</v>
      </c>
      <c r="B506" s="42"/>
      <c r="C506" s="67"/>
      <c r="D506" s="67"/>
      <c r="E506" s="67">
        <v>1465</v>
      </c>
      <c r="F506" s="67"/>
      <c r="G506" s="67"/>
      <c r="H506" s="67"/>
      <c r="I506" s="67"/>
      <c r="J506" s="67"/>
      <c r="K506" s="67"/>
      <c r="L506" s="67"/>
      <c r="M506" s="67"/>
      <c r="N506" s="67"/>
      <c r="O506" s="67"/>
      <c r="P506" s="67"/>
      <c r="Q506" s="67"/>
      <c r="R506" s="67"/>
    </row>
    <row r="507" spans="1:18" s="43" customFormat="1" x14ac:dyDescent="0.25">
      <c r="A507" s="87" t="s">
        <v>322</v>
      </c>
      <c r="B507" s="88" t="s">
        <v>323</v>
      </c>
      <c r="C507" s="67"/>
      <c r="D507" s="67"/>
      <c r="E507" s="67"/>
      <c r="F507" s="67"/>
      <c r="G507" s="67"/>
      <c r="H507" s="67"/>
      <c r="I507" s="95">
        <v>0</v>
      </c>
      <c r="J507" s="67"/>
      <c r="K507" s="67"/>
      <c r="L507" s="67"/>
      <c r="M507" s="67"/>
      <c r="N507" s="95">
        <v>0</v>
      </c>
      <c r="O507" s="67"/>
      <c r="P507" s="67"/>
      <c r="Q507" s="67"/>
      <c r="R507" s="67"/>
    </row>
    <row r="508" spans="1:18" s="43" customFormat="1" x14ac:dyDescent="0.25">
      <c r="A508" s="87" t="s">
        <v>324</v>
      </c>
      <c r="B508" s="88" t="s">
        <v>323</v>
      </c>
      <c r="C508" s="67"/>
      <c r="D508" s="67"/>
      <c r="E508" s="67"/>
      <c r="F508" s="67"/>
      <c r="G508" s="67"/>
      <c r="H508" s="67"/>
      <c r="I508" s="67"/>
      <c r="J508" s="67"/>
      <c r="K508" s="95">
        <v>0</v>
      </c>
      <c r="L508" s="67"/>
      <c r="M508" s="67"/>
      <c r="N508" s="95">
        <v>0</v>
      </c>
      <c r="O508" s="67"/>
      <c r="P508" s="67"/>
      <c r="Q508" s="67"/>
      <c r="R508" s="67"/>
    </row>
    <row r="509" spans="1:18" x14ac:dyDescent="0.25">
      <c r="A509" s="41" t="s">
        <v>332</v>
      </c>
      <c r="B509" s="44"/>
      <c r="C509" s="50"/>
      <c r="D509" s="50"/>
      <c r="E509" s="50"/>
      <c r="F509" s="50"/>
      <c r="G509" s="50"/>
      <c r="H509" s="50"/>
      <c r="I509" s="50"/>
      <c r="J509" s="50"/>
      <c r="K509" s="50"/>
      <c r="L509" s="50"/>
      <c r="M509" s="50"/>
      <c r="N509" s="50"/>
      <c r="O509" s="50"/>
      <c r="P509" s="50"/>
      <c r="Q509" s="50"/>
      <c r="R509" s="50"/>
    </row>
    <row r="510" spans="1:18" x14ac:dyDescent="0.25">
      <c r="A510" s="83" t="s">
        <v>333</v>
      </c>
      <c r="B510" s="84" t="s">
        <v>317</v>
      </c>
      <c r="C510" s="50">
        <v>0</v>
      </c>
      <c r="D510" s="50">
        <v>0</v>
      </c>
      <c r="E510" s="50">
        <v>0</v>
      </c>
      <c r="F510" s="85">
        <v>0</v>
      </c>
      <c r="G510" s="50">
        <v>1590</v>
      </c>
      <c r="H510" s="50">
        <v>0</v>
      </c>
      <c r="I510" s="50">
        <v>0</v>
      </c>
      <c r="J510" s="50">
        <v>0</v>
      </c>
      <c r="K510" s="50">
        <v>0</v>
      </c>
      <c r="L510" s="50">
        <v>0</v>
      </c>
      <c r="M510" s="50">
        <v>0</v>
      </c>
      <c r="N510" s="50">
        <v>0</v>
      </c>
      <c r="O510" s="50">
        <v>0</v>
      </c>
      <c r="P510" s="50">
        <v>0</v>
      </c>
      <c r="Q510" s="50">
        <v>0</v>
      </c>
      <c r="R510" s="50">
        <v>0</v>
      </c>
    </row>
    <row r="511" spans="1:18" x14ac:dyDescent="0.25">
      <c r="A511" s="83" t="s">
        <v>334</v>
      </c>
      <c r="B511" s="84" t="s">
        <v>317</v>
      </c>
      <c r="C511" s="50">
        <v>0</v>
      </c>
      <c r="D511" s="50">
        <v>0</v>
      </c>
      <c r="E511" s="85">
        <v>4500</v>
      </c>
      <c r="F511" s="50">
        <v>0</v>
      </c>
      <c r="G511" s="50">
        <v>0</v>
      </c>
      <c r="H511" s="50">
        <v>0</v>
      </c>
      <c r="I511" s="50">
        <v>0</v>
      </c>
      <c r="J511" s="50">
        <v>0</v>
      </c>
      <c r="K511" s="50">
        <v>0</v>
      </c>
      <c r="L511" s="50">
        <v>0</v>
      </c>
      <c r="M511" s="50">
        <v>0</v>
      </c>
      <c r="N511" s="50">
        <v>0</v>
      </c>
      <c r="O511" s="50">
        <v>0</v>
      </c>
      <c r="P511" s="50">
        <v>0</v>
      </c>
      <c r="Q511" s="50">
        <v>0</v>
      </c>
      <c r="R511" s="50">
        <v>0</v>
      </c>
    </row>
    <row r="512" spans="1:18" x14ac:dyDescent="0.25">
      <c r="A512" s="91" t="s">
        <v>335</v>
      </c>
      <c r="B512" s="84" t="s">
        <v>317</v>
      </c>
      <c r="C512" s="50">
        <v>0</v>
      </c>
      <c r="D512" s="50">
        <v>0</v>
      </c>
      <c r="E512" s="85">
        <v>2122</v>
      </c>
      <c r="F512" s="50">
        <v>0</v>
      </c>
      <c r="G512" s="50">
        <v>0</v>
      </c>
      <c r="H512" s="50">
        <v>0</v>
      </c>
      <c r="I512" s="50">
        <v>0</v>
      </c>
      <c r="J512" s="50">
        <v>0</v>
      </c>
      <c r="K512" s="50">
        <v>0</v>
      </c>
      <c r="L512" s="50">
        <v>0</v>
      </c>
      <c r="M512" s="50">
        <v>0</v>
      </c>
      <c r="N512" s="67"/>
      <c r="O512" s="50">
        <v>0</v>
      </c>
      <c r="P512" s="50">
        <v>0</v>
      </c>
      <c r="Q512" s="50">
        <v>0</v>
      </c>
      <c r="R512" s="50">
        <v>0</v>
      </c>
    </row>
    <row r="513" spans="1:18" s="43" customFormat="1" x14ac:dyDescent="0.25">
      <c r="A513" s="93" t="s">
        <v>336</v>
      </c>
      <c r="B513" s="88" t="s">
        <v>330</v>
      </c>
      <c r="C513" s="50"/>
      <c r="D513" s="50"/>
      <c r="E513" s="50"/>
      <c r="F513" s="50"/>
      <c r="G513" s="50"/>
      <c r="H513" s="50"/>
      <c r="I513" s="50"/>
      <c r="J513" s="50"/>
      <c r="K513" s="50"/>
      <c r="L513" s="50"/>
      <c r="M513" s="50"/>
      <c r="N513" s="50"/>
      <c r="O513" s="50"/>
      <c r="P513" s="50"/>
      <c r="Q513" s="50"/>
      <c r="R513" s="50"/>
    </row>
    <row r="514" spans="1:18" s="43" customFormat="1" x14ac:dyDescent="0.25">
      <c r="A514" s="93" t="s">
        <v>321</v>
      </c>
      <c r="B514" s="88" t="s">
        <v>330</v>
      </c>
      <c r="C514" s="50"/>
      <c r="D514" s="50"/>
      <c r="E514" s="50"/>
      <c r="F514" s="50"/>
      <c r="G514" s="50"/>
      <c r="H514" s="50"/>
      <c r="I514" s="50"/>
      <c r="J514" s="50"/>
      <c r="K514" s="50"/>
      <c r="L514" s="50"/>
      <c r="M514" s="50"/>
      <c r="N514" s="50"/>
      <c r="O514" s="50"/>
      <c r="P514" s="50"/>
      <c r="Q514" s="50"/>
      <c r="R514" s="50"/>
    </row>
    <row r="515" spans="1:18" s="43" customFormat="1" x14ac:dyDescent="0.25">
      <c r="A515" s="86" t="s">
        <v>337</v>
      </c>
      <c r="B515" s="84" t="s">
        <v>317</v>
      </c>
      <c r="C515" s="85">
        <v>4850</v>
      </c>
      <c r="D515" s="50"/>
      <c r="E515" s="50"/>
      <c r="F515" s="50"/>
      <c r="G515" s="50"/>
      <c r="H515" s="50"/>
      <c r="I515" s="50"/>
      <c r="J515" s="50"/>
      <c r="K515" s="50"/>
      <c r="L515" s="50"/>
      <c r="M515" s="50"/>
      <c r="N515" s="50"/>
      <c r="O515" s="50"/>
      <c r="P515" s="50"/>
      <c r="Q515" s="50"/>
      <c r="R515" s="50"/>
    </row>
    <row r="516" spans="1:18" s="43" customFormat="1" x14ac:dyDescent="0.25">
      <c r="A516" s="93" t="s">
        <v>338</v>
      </c>
      <c r="B516" s="88" t="s">
        <v>330</v>
      </c>
      <c r="C516" s="50"/>
      <c r="D516" s="50"/>
      <c r="E516" s="50"/>
      <c r="F516" s="50"/>
      <c r="G516" s="50"/>
      <c r="H516" s="50"/>
      <c r="I516" s="50"/>
      <c r="J516" s="50"/>
      <c r="K516" s="50"/>
      <c r="L516" s="50"/>
      <c r="M516" s="50"/>
      <c r="N516" s="67"/>
      <c r="O516" s="50"/>
      <c r="P516" s="50"/>
      <c r="Q516" s="50"/>
      <c r="R516" s="50"/>
    </row>
    <row r="517" spans="1:18" s="43" customFormat="1" x14ac:dyDescent="0.25">
      <c r="A517" s="87" t="s">
        <v>322</v>
      </c>
      <c r="B517" s="96" t="s">
        <v>323</v>
      </c>
      <c r="C517" s="50"/>
      <c r="D517" s="50"/>
      <c r="E517" s="50"/>
      <c r="F517" s="50"/>
      <c r="G517" s="50"/>
      <c r="H517" s="50"/>
      <c r="I517" s="50"/>
      <c r="J517" s="50"/>
      <c r="K517" s="50"/>
      <c r="L517" s="89">
        <v>0</v>
      </c>
      <c r="M517" s="50"/>
      <c r="N517" s="67"/>
      <c r="O517" s="50"/>
      <c r="P517" s="50"/>
      <c r="Q517" s="50"/>
      <c r="R517" s="50"/>
    </row>
    <row r="518" spans="1:18" s="43" customFormat="1" x14ac:dyDescent="0.25">
      <c r="A518" s="87" t="s">
        <v>324</v>
      </c>
      <c r="B518" s="96" t="s">
        <v>323</v>
      </c>
      <c r="C518" s="50"/>
      <c r="D518" s="50"/>
      <c r="E518" s="50"/>
      <c r="F518" s="50"/>
      <c r="G518" s="50"/>
      <c r="H518" s="50"/>
      <c r="I518" s="50"/>
      <c r="J518" s="50"/>
      <c r="K518" s="89">
        <v>0</v>
      </c>
      <c r="L518" s="50"/>
      <c r="M518" s="50"/>
      <c r="N518" s="67"/>
      <c r="O518" s="50"/>
      <c r="P518" s="50"/>
      <c r="Q518" s="50"/>
      <c r="R518" s="50"/>
    </row>
    <row r="519" spans="1:18" x14ac:dyDescent="0.25">
      <c r="A519" s="41" t="s">
        <v>339</v>
      </c>
      <c r="B519" s="43"/>
      <c r="C519" s="50"/>
      <c r="D519" s="50"/>
      <c r="E519" s="50"/>
      <c r="F519" s="50"/>
      <c r="G519" s="50"/>
      <c r="H519" s="50"/>
      <c r="I519" s="50"/>
      <c r="J519" s="50"/>
      <c r="K519" s="50"/>
      <c r="L519" s="50"/>
      <c r="M519" s="50"/>
      <c r="N519" s="50"/>
      <c r="O519" s="50"/>
      <c r="P519" s="50"/>
      <c r="Q519" s="50"/>
      <c r="R519" s="50"/>
    </row>
    <row r="520" spans="1:18" x14ac:dyDescent="0.25">
      <c r="A520" s="52" t="s">
        <v>340</v>
      </c>
      <c r="B520" s="43"/>
      <c r="C520" s="50">
        <v>8000</v>
      </c>
      <c r="D520" s="50"/>
      <c r="E520" s="50"/>
      <c r="F520" s="50"/>
      <c r="G520" s="50"/>
      <c r="H520" s="50"/>
      <c r="I520" s="50"/>
      <c r="J520" s="50"/>
      <c r="K520" s="50"/>
      <c r="L520" s="50"/>
      <c r="M520" s="50"/>
      <c r="N520" s="50"/>
      <c r="O520" s="50"/>
      <c r="P520" s="50"/>
      <c r="Q520" s="50"/>
      <c r="R520" s="50"/>
    </row>
    <row r="521" spans="1:18" x14ac:dyDescent="0.25">
      <c r="A521" s="52" t="s">
        <v>341</v>
      </c>
      <c r="B521" s="43"/>
      <c r="C521" s="50">
        <v>9223</v>
      </c>
      <c r="D521" s="50"/>
      <c r="E521" s="50"/>
      <c r="F521" s="50"/>
      <c r="G521" s="50"/>
      <c r="H521" s="50"/>
      <c r="I521" s="50"/>
      <c r="J521" s="50"/>
      <c r="K521" s="50"/>
      <c r="L521" s="50"/>
      <c r="M521" s="50"/>
      <c r="N521" s="50"/>
      <c r="O521" s="50"/>
      <c r="P521" s="50"/>
      <c r="Q521" s="50"/>
      <c r="R521" s="50"/>
    </row>
    <row r="522" spans="1:18" x14ac:dyDescent="0.25">
      <c r="A522" s="52" t="s">
        <v>342</v>
      </c>
      <c r="B522" s="43"/>
      <c r="C522" s="50">
        <v>8500</v>
      </c>
      <c r="D522" s="50"/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  <c r="P522" s="50"/>
      <c r="Q522" s="50"/>
      <c r="R522" s="50"/>
    </row>
    <row r="523" spans="1:18" x14ac:dyDescent="0.25">
      <c r="A523" s="91" t="s">
        <v>343</v>
      </c>
      <c r="B523" s="84" t="s">
        <v>317</v>
      </c>
      <c r="C523" s="50">
        <v>37286</v>
      </c>
      <c r="D523" s="50"/>
      <c r="E523" s="50"/>
      <c r="F523" s="50"/>
      <c r="G523" s="50"/>
      <c r="H523" s="50"/>
      <c r="I523" s="50"/>
      <c r="J523" s="50"/>
      <c r="K523" s="50"/>
      <c r="L523" s="50"/>
      <c r="M523" s="50"/>
      <c r="N523" s="50"/>
      <c r="O523" s="50"/>
      <c r="P523" s="50"/>
      <c r="Q523" s="50"/>
      <c r="R523" s="50"/>
    </row>
    <row r="524" spans="1:18" x14ac:dyDescent="0.25">
      <c r="A524" s="91" t="s">
        <v>344</v>
      </c>
      <c r="B524" s="84" t="s">
        <v>317</v>
      </c>
      <c r="C524" s="50">
        <v>4800</v>
      </c>
      <c r="D524" s="50"/>
      <c r="E524" s="50"/>
      <c r="F524" s="50"/>
      <c r="G524" s="50"/>
      <c r="H524" s="50"/>
      <c r="I524" s="50"/>
      <c r="J524" s="50"/>
      <c r="K524" s="50"/>
      <c r="L524" s="50"/>
      <c r="M524" s="50"/>
      <c r="N524" s="50"/>
      <c r="O524" s="50"/>
      <c r="P524" s="50"/>
      <c r="Q524" s="50"/>
      <c r="R524" s="50"/>
    </row>
    <row r="525" spans="1:18" x14ac:dyDescent="0.25">
      <c r="A525" s="91" t="s">
        <v>345</v>
      </c>
      <c r="B525" s="84" t="s">
        <v>317</v>
      </c>
      <c r="C525" s="50">
        <v>33855</v>
      </c>
      <c r="D525" s="50"/>
      <c r="E525" s="50"/>
      <c r="F525" s="50"/>
      <c r="G525" s="50"/>
      <c r="H525" s="50"/>
      <c r="I525" s="50"/>
      <c r="J525" s="50"/>
      <c r="K525" s="50"/>
      <c r="L525" s="50"/>
      <c r="M525" s="50"/>
      <c r="N525" s="50"/>
      <c r="O525" s="50"/>
      <c r="P525" s="50"/>
      <c r="Q525" s="50"/>
      <c r="R525" s="50"/>
    </row>
    <row r="526" spans="1:18" x14ac:dyDescent="0.25">
      <c r="A526" s="91" t="s">
        <v>346</v>
      </c>
      <c r="B526" s="84" t="s">
        <v>317</v>
      </c>
      <c r="C526" s="50">
        <v>5044</v>
      </c>
      <c r="D526" s="50"/>
      <c r="E526" s="50"/>
      <c r="F526" s="50"/>
      <c r="G526" s="50"/>
      <c r="H526" s="50"/>
      <c r="I526" s="50"/>
      <c r="J526" s="50"/>
      <c r="K526" s="50"/>
      <c r="L526" s="50"/>
      <c r="M526" s="50"/>
      <c r="N526" s="50"/>
      <c r="O526" s="50"/>
      <c r="P526" s="50"/>
      <c r="Q526" s="50"/>
      <c r="R526" s="50"/>
    </row>
    <row r="527" spans="1:18" x14ac:dyDescent="0.25">
      <c r="A527" s="91" t="s">
        <v>347</v>
      </c>
      <c r="B527" s="84" t="s">
        <v>317</v>
      </c>
      <c r="C527" s="50"/>
      <c r="D527" s="50"/>
      <c r="E527" s="50"/>
      <c r="F527" s="85">
        <v>80156</v>
      </c>
      <c r="G527" s="50"/>
      <c r="H527" s="50"/>
      <c r="I527" s="50"/>
      <c r="J527" s="50"/>
      <c r="K527" s="50"/>
      <c r="L527" s="50"/>
      <c r="M527" s="50"/>
      <c r="N527" s="50"/>
      <c r="O527" s="50"/>
      <c r="P527" s="50"/>
      <c r="Q527" s="50"/>
      <c r="R527" s="50"/>
    </row>
    <row r="528" spans="1:18" x14ac:dyDescent="0.25">
      <c r="A528" s="91" t="s">
        <v>348</v>
      </c>
      <c r="B528" s="84" t="s">
        <v>317</v>
      </c>
      <c r="C528" s="50"/>
      <c r="D528" s="50"/>
      <c r="E528" s="50"/>
      <c r="F528" s="85">
        <v>850</v>
      </c>
      <c r="G528" s="50"/>
      <c r="H528" s="50"/>
      <c r="I528" s="50"/>
      <c r="J528" s="50"/>
      <c r="K528" s="50"/>
      <c r="L528" s="50"/>
      <c r="M528" s="50"/>
      <c r="N528" s="50"/>
      <c r="O528" s="50"/>
      <c r="P528" s="50"/>
      <c r="Q528" s="50"/>
      <c r="R528" s="50"/>
    </row>
    <row r="529" spans="1:18" x14ac:dyDescent="0.25">
      <c r="A529" s="91" t="s">
        <v>349</v>
      </c>
      <c r="B529" s="84"/>
      <c r="C529" s="91">
        <v>9448</v>
      </c>
      <c r="D529" s="50"/>
      <c r="E529" s="50"/>
      <c r="F529" s="50"/>
      <c r="G529" s="50"/>
      <c r="H529" s="50"/>
      <c r="I529" s="50"/>
      <c r="J529" s="50"/>
      <c r="K529" s="50"/>
      <c r="L529" s="50"/>
      <c r="M529" s="50"/>
      <c r="N529" s="50"/>
      <c r="O529" s="50"/>
      <c r="P529" s="50"/>
      <c r="Q529" s="50"/>
      <c r="R529" s="50"/>
    </row>
    <row r="530" spans="1:18" s="43" customFormat="1" x14ac:dyDescent="0.25">
      <c r="A530" s="97" t="s">
        <v>350</v>
      </c>
      <c r="B530" s="88" t="s">
        <v>330</v>
      </c>
      <c r="C530" s="50"/>
      <c r="D530" s="50"/>
      <c r="E530" s="50"/>
      <c r="F530" s="50"/>
      <c r="G530" s="50"/>
      <c r="H530" s="50"/>
      <c r="I530" s="50"/>
      <c r="J530" s="50"/>
      <c r="K530" s="50"/>
      <c r="L530" s="50"/>
      <c r="M530" s="50"/>
      <c r="N530" s="50"/>
      <c r="O530" s="50"/>
      <c r="P530" s="50"/>
      <c r="Q530" s="50"/>
      <c r="R530" s="50"/>
    </row>
    <row r="531" spans="1:18" s="43" customFormat="1" x14ac:dyDescent="0.25">
      <c r="A531" s="97" t="s">
        <v>351</v>
      </c>
      <c r="B531" s="88" t="s">
        <v>330</v>
      </c>
      <c r="C531" s="50"/>
      <c r="D531" s="50"/>
      <c r="E531" s="50"/>
      <c r="F531" s="50"/>
      <c r="G531" s="50"/>
      <c r="H531" s="50"/>
      <c r="I531" s="50"/>
      <c r="J531" s="50"/>
      <c r="K531" s="50"/>
      <c r="L531" s="50"/>
      <c r="M531" s="50"/>
      <c r="N531" s="50"/>
      <c r="O531" s="50"/>
      <c r="P531" s="50"/>
      <c r="Q531" s="50"/>
      <c r="R531" s="50"/>
    </row>
    <row r="532" spans="1:18" s="43" customFormat="1" x14ac:dyDescent="0.25">
      <c r="A532" s="97" t="s">
        <v>352</v>
      </c>
      <c r="B532" s="88" t="s">
        <v>330</v>
      </c>
      <c r="C532" s="50"/>
      <c r="D532" s="50"/>
      <c r="E532" s="50"/>
      <c r="F532" s="50"/>
      <c r="G532" s="50"/>
      <c r="H532" s="50"/>
      <c r="I532" s="50"/>
      <c r="J532" s="50"/>
      <c r="K532" s="50"/>
      <c r="L532" s="50"/>
      <c r="M532" s="50"/>
      <c r="N532" s="50"/>
      <c r="O532" s="50"/>
      <c r="P532" s="50"/>
      <c r="Q532" s="50"/>
      <c r="R532" s="50"/>
    </row>
    <row r="533" spans="1:18" s="43" customFormat="1" x14ac:dyDescent="0.25">
      <c r="A533" s="97" t="s">
        <v>353</v>
      </c>
      <c r="B533" s="88" t="s">
        <v>330</v>
      </c>
      <c r="C533" s="50"/>
      <c r="D533" s="50"/>
      <c r="E533" s="50"/>
      <c r="F533" s="50"/>
      <c r="G533" s="50"/>
      <c r="H533" s="50"/>
      <c r="I533" s="50"/>
      <c r="J533" s="50"/>
      <c r="K533" s="50"/>
      <c r="L533" s="50"/>
      <c r="M533" s="50"/>
      <c r="N533" s="50"/>
      <c r="O533" s="50"/>
      <c r="P533" s="50"/>
      <c r="Q533" s="50"/>
      <c r="R533" s="50"/>
    </row>
    <row r="534" spans="1:18" s="43" customFormat="1" x14ac:dyDescent="0.25">
      <c r="A534" s="97" t="s">
        <v>354</v>
      </c>
      <c r="B534" s="88" t="s">
        <v>330</v>
      </c>
      <c r="C534" s="50"/>
      <c r="D534" s="50"/>
      <c r="E534" s="50"/>
      <c r="F534" s="50"/>
      <c r="G534" s="50"/>
      <c r="H534" s="50"/>
      <c r="I534" s="50"/>
      <c r="J534" s="50"/>
      <c r="K534" s="50"/>
      <c r="L534" s="50"/>
      <c r="M534" s="50"/>
      <c r="N534" s="50"/>
      <c r="O534" s="50"/>
      <c r="P534" s="50"/>
      <c r="Q534" s="50"/>
      <c r="R534" s="50"/>
    </row>
    <row r="535" spans="1:18" s="43" customFormat="1" x14ac:dyDescent="0.25">
      <c r="A535" s="87" t="s">
        <v>322</v>
      </c>
      <c r="B535" s="96" t="s">
        <v>323</v>
      </c>
      <c r="C535" s="50"/>
      <c r="D535" s="50"/>
      <c r="E535" s="50"/>
      <c r="F535" s="50"/>
      <c r="G535" s="50"/>
      <c r="H535" s="50"/>
      <c r="I535" s="50"/>
      <c r="J535" s="50"/>
      <c r="K535" s="89">
        <v>0</v>
      </c>
      <c r="L535" s="50"/>
      <c r="M535" s="50"/>
      <c r="N535" s="50"/>
      <c r="O535" s="50"/>
      <c r="P535" s="50"/>
      <c r="Q535" s="50"/>
      <c r="R535" s="50"/>
    </row>
    <row r="536" spans="1:18" s="43" customFormat="1" x14ac:dyDescent="0.25">
      <c r="A536" s="87" t="s">
        <v>324</v>
      </c>
      <c r="B536" s="96" t="s">
        <v>323</v>
      </c>
      <c r="C536" s="50"/>
      <c r="D536" s="50"/>
      <c r="E536" s="50"/>
      <c r="F536" s="50"/>
      <c r="G536" s="50"/>
      <c r="H536" s="50"/>
      <c r="I536" s="50"/>
      <c r="J536" s="50"/>
      <c r="K536" s="50"/>
      <c r="L536" s="50"/>
      <c r="M536" s="89">
        <v>0</v>
      </c>
      <c r="N536" s="50"/>
      <c r="O536" s="50"/>
      <c r="P536" s="50"/>
      <c r="Q536" s="50"/>
      <c r="R536" s="50"/>
    </row>
    <row r="537" spans="1:18" s="43" customFormat="1" x14ac:dyDescent="0.25">
      <c r="A537" s="87" t="s">
        <v>355</v>
      </c>
      <c r="B537" s="96" t="s">
        <v>323</v>
      </c>
      <c r="C537" s="50"/>
      <c r="D537" s="50"/>
      <c r="E537" s="50"/>
      <c r="F537" s="50"/>
      <c r="G537" s="50"/>
      <c r="H537" s="50"/>
      <c r="I537" s="50"/>
      <c r="J537" s="50"/>
      <c r="K537" s="50"/>
      <c r="L537" s="50"/>
      <c r="M537" s="50"/>
      <c r="N537" s="50"/>
      <c r="O537" s="89">
        <v>0</v>
      </c>
      <c r="P537" s="50"/>
      <c r="Q537" s="50"/>
      <c r="R537" s="50"/>
    </row>
    <row r="538" spans="1:18" x14ac:dyDescent="0.25">
      <c r="A538" s="52" t="s">
        <v>356</v>
      </c>
      <c r="B538" s="53"/>
      <c r="C538" s="59">
        <v>0</v>
      </c>
      <c r="D538" s="50"/>
      <c r="E538" s="50"/>
      <c r="F538" s="50"/>
      <c r="G538" s="50"/>
      <c r="H538" s="50"/>
      <c r="I538" s="50"/>
      <c r="J538" s="50"/>
      <c r="K538" s="50"/>
      <c r="L538" s="50"/>
      <c r="M538" s="50"/>
      <c r="N538" s="50"/>
      <c r="O538" s="50"/>
      <c r="P538" s="50"/>
      <c r="Q538" s="50"/>
      <c r="R538" s="50"/>
    </row>
    <row r="539" spans="1:18" x14ac:dyDescent="0.25">
      <c r="A539" s="52"/>
      <c r="C539" s="50"/>
      <c r="D539" s="50"/>
      <c r="E539" s="50"/>
      <c r="F539" s="50"/>
      <c r="G539" s="50"/>
      <c r="H539" s="50"/>
      <c r="I539" s="50"/>
      <c r="J539" s="50"/>
      <c r="K539" s="50"/>
      <c r="L539" s="50"/>
      <c r="M539" s="50"/>
      <c r="N539" s="50"/>
      <c r="O539" s="50"/>
      <c r="P539" s="50"/>
      <c r="Q539" s="50"/>
      <c r="R539" s="50"/>
    </row>
    <row r="540" spans="1:18" x14ac:dyDescent="0.25">
      <c r="A540" s="41" t="s">
        <v>107</v>
      </c>
      <c r="B540" s="44"/>
      <c r="C540" s="51">
        <f t="shared" ref="C540:R540" si="403">SUM(C491:C539)</f>
        <v>144307</v>
      </c>
      <c r="D540" s="51">
        <f t="shared" si="403"/>
        <v>20232</v>
      </c>
      <c r="E540" s="51">
        <f>SUM(E491:E539)</f>
        <v>20164</v>
      </c>
      <c r="F540" s="51">
        <f t="shared" ref="F540:G540" si="404">SUM(F491:F539)</f>
        <v>81006</v>
      </c>
      <c r="G540" s="51">
        <f t="shared" si="404"/>
        <v>1590</v>
      </c>
      <c r="H540" s="51">
        <f t="shared" si="403"/>
        <v>0</v>
      </c>
      <c r="I540" s="51">
        <f t="shared" si="403"/>
        <v>0</v>
      </c>
      <c r="J540" s="51">
        <f t="shared" si="403"/>
        <v>0</v>
      </c>
      <c r="K540" s="51">
        <f t="shared" si="403"/>
        <v>0</v>
      </c>
      <c r="L540" s="51">
        <f t="shared" si="403"/>
        <v>0</v>
      </c>
      <c r="M540" s="51">
        <f t="shared" si="403"/>
        <v>0</v>
      </c>
      <c r="N540" s="51">
        <f t="shared" si="403"/>
        <v>0</v>
      </c>
      <c r="O540" s="51">
        <f t="shared" si="403"/>
        <v>0</v>
      </c>
      <c r="P540" s="51">
        <f t="shared" si="403"/>
        <v>0</v>
      </c>
      <c r="Q540" s="51">
        <f t="shared" si="403"/>
        <v>0</v>
      </c>
      <c r="R540" s="51">
        <f t="shared" si="403"/>
        <v>0</v>
      </c>
    </row>
    <row r="541" spans="1:18" x14ac:dyDescent="0.25">
      <c r="A541" s="41"/>
      <c r="B541" s="44"/>
      <c r="C541" s="50"/>
      <c r="D541" s="50"/>
      <c r="E541" s="50"/>
      <c r="F541" s="50"/>
      <c r="G541" s="50"/>
      <c r="H541" s="50"/>
      <c r="I541" s="50"/>
      <c r="J541" s="50"/>
      <c r="K541" s="50"/>
      <c r="L541" s="50"/>
      <c r="M541" s="50"/>
      <c r="N541" s="50"/>
      <c r="O541" s="50"/>
      <c r="P541" s="50"/>
      <c r="Q541" s="50"/>
      <c r="R541" s="50"/>
    </row>
    <row r="542" spans="1:18" x14ac:dyDescent="0.25">
      <c r="A542" s="41" t="s">
        <v>357</v>
      </c>
      <c r="B542" s="44"/>
      <c r="C542" s="51">
        <f t="shared" ref="C542:R542" si="405">-C454+C481+C540-C487</f>
        <v>259630</v>
      </c>
      <c r="D542" s="51">
        <f t="shared" si="405"/>
        <v>114632</v>
      </c>
      <c r="E542" s="51">
        <f t="shared" si="405"/>
        <v>87412.959999999992</v>
      </c>
      <c r="F542" s="51">
        <f t="shared" si="405"/>
        <v>175318</v>
      </c>
      <c r="G542" s="51">
        <f t="shared" si="405"/>
        <v>73320</v>
      </c>
      <c r="H542" s="51">
        <f t="shared" si="405"/>
        <v>150910</v>
      </c>
      <c r="I542" s="51">
        <f t="shared" si="405"/>
        <v>154788.40000000002</v>
      </c>
      <c r="J542" s="51">
        <f t="shared" si="405"/>
        <v>159012.68689999997</v>
      </c>
      <c r="K542" s="51">
        <f t="shared" si="405"/>
        <v>163560.75418809993</v>
      </c>
      <c r="L542" s="51">
        <f t="shared" si="405"/>
        <v>168293.97822331128</v>
      </c>
      <c r="M542" s="51">
        <f t="shared" si="405"/>
        <v>173024.55808378296</v>
      </c>
      <c r="N542" s="51">
        <f t="shared" si="405"/>
        <v>177783.46505879285</v>
      </c>
      <c r="O542" s="51">
        <f t="shared" si="405"/>
        <v>183046.35980841122</v>
      </c>
      <c r="P542" s="51">
        <f t="shared" si="405"/>
        <v>188597.86312780617</v>
      </c>
      <c r="Q542" s="51">
        <f t="shared" si="405"/>
        <v>194276.5886331792</v>
      </c>
      <c r="R542" s="51">
        <f t="shared" si="405"/>
        <v>197799.40933193284</v>
      </c>
    </row>
    <row r="543" spans="1:18" x14ac:dyDescent="0.25">
      <c r="A543" s="41"/>
      <c r="B543" s="44"/>
      <c r="C543" s="51"/>
      <c r="D543" s="51"/>
      <c r="E543" s="51"/>
      <c r="F543" s="51"/>
      <c r="G543" s="51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R543" s="51"/>
    </row>
    <row r="544" spans="1:18" x14ac:dyDescent="0.25">
      <c r="A544" s="41"/>
      <c r="B544" s="44"/>
      <c r="C544" s="50"/>
      <c r="D544" s="50"/>
      <c r="E544" s="50"/>
      <c r="F544" s="50"/>
      <c r="G544" s="50"/>
      <c r="H544" s="50"/>
      <c r="I544" s="50"/>
      <c r="J544" s="50"/>
      <c r="K544" s="50"/>
      <c r="L544" s="50"/>
      <c r="M544" s="50"/>
      <c r="N544" s="50"/>
      <c r="O544" s="50"/>
      <c r="P544" s="50"/>
      <c r="Q544" s="50"/>
      <c r="R544" s="50"/>
    </row>
    <row r="545" spans="1:18" x14ac:dyDescent="0.25">
      <c r="A545" s="41" t="s">
        <v>358</v>
      </c>
      <c r="B545" s="44"/>
      <c r="C545" s="50"/>
      <c r="D545" s="50"/>
      <c r="E545" s="50"/>
      <c r="F545" s="50"/>
      <c r="G545" s="50"/>
      <c r="H545" s="50"/>
      <c r="I545" s="50"/>
      <c r="J545" s="50"/>
      <c r="K545" s="50"/>
      <c r="L545" s="50"/>
      <c r="M545" s="50"/>
      <c r="N545" s="50"/>
      <c r="O545" s="50"/>
      <c r="P545" s="50"/>
      <c r="Q545" s="50"/>
      <c r="R545" s="50"/>
    </row>
    <row r="546" spans="1:18" x14ac:dyDescent="0.25"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M546" s="50"/>
      <c r="N546" s="50"/>
      <c r="O546" s="50"/>
      <c r="P546" s="50"/>
      <c r="Q546" s="50"/>
      <c r="R546" s="50"/>
    </row>
    <row r="547" spans="1:18" x14ac:dyDescent="0.25">
      <c r="A547" s="41" t="s">
        <v>202</v>
      </c>
      <c r="B547" s="44"/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M547" s="50"/>
      <c r="N547" s="50"/>
      <c r="O547" s="50"/>
      <c r="P547" s="50"/>
      <c r="Q547" s="50"/>
      <c r="R547" s="50"/>
    </row>
    <row r="548" spans="1:18" x14ac:dyDescent="0.25">
      <c r="C548" s="50"/>
      <c r="D548" s="50"/>
      <c r="E548" s="50"/>
      <c r="F548" s="50"/>
      <c r="G548" s="50"/>
      <c r="H548" s="50"/>
      <c r="I548" s="50"/>
      <c r="J548" s="50"/>
      <c r="K548" s="50"/>
      <c r="L548" s="50"/>
      <c r="M548" s="50"/>
      <c r="N548" s="50"/>
      <c r="O548" s="50"/>
      <c r="P548" s="50"/>
      <c r="Q548" s="50"/>
      <c r="R548" s="50"/>
    </row>
    <row r="549" spans="1:18" x14ac:dyDescent="0.25">
      <c r="A549" s="52" t="s">
        <v>359</v>
      </c>
      <c r="B549" s="53"/>
      <c r="C549" s="68">
        <v>1353</v>
      </c>
      <c r="D549" s="54">
        <v>1353</v>
      </c>
      <c r="E549" s="54">
        <v>1230</v>
      </c>
      <c r="F549" s="43">
        <v>1230</v>
      </c>
      <c r="G549" s="43">
        <v>1425</v>
      </c>
      <c r="H549" s="43">
        <v>1400</v>
      </c>
      <c r="I549" s="54">
        <f>H549*1.023</f>
        <v>1432.1999999999998</v>
      </c>
      <c r="J549" s="54">
        <f t="shared" ref="J549:K549" si="406">I549*1.024</f>
        <v>1466.5727999999999</v>
      </c>
      <c r="K549" s="54">
        <f t="shared" si="406"/>
        <v>1501.7705472</v>
      </c>
      <c r="L549" s="54">
        <f t="shared" ref="L549" si="407">K549*1.023</f>
        <v>1536.3112697856</v>
      </c>
      <c r="M549" s="54">
        <f t="shared" ref="M549" si="408">L549*1.022</f>
        <v>1570.1101177208832</v>
      </c>
      <c r="N549" s="54">
        <f t="shared" ref="N549" si="409">M549*1.023</f>
        <v>1606.2226504284633</v>
      </c>
      <c r="O549" s="54">
        <f t="shared" ref="O549:P549" si="410">N549*1.025</f>
        <v>1646.3782166891747</v>
      </c>
      <c r="P549" s="54">
        <f t="shared" si="410"/>
        <v>1687.537672106404</v>
      </c>
      <c r="Q549" s="54">
        <f t="shared" ref="Q549:R549" si="411">P549*1.024</f>
        <v>1728.0385762369576</v>
      </c>
      <c r="R549" s="54">
        <f t="shared" si="411"/>
        <v>1769.5115020666447</v>
      </c>
    </row>
    <row r="550" spans="1:18" x14ac:dyDescent="0.25">
      <c r="A550" s="52" t="s">
        <v>360</v>
      </c>
      <c r="B550" s="53"/>
      <c r="C550" s="59"/>
      <c r="D550" s="50">
        <v>0</v>
      </c>
      <c r="E550" s="50">
        <v>0</v>
      </c>
      <c r="F550" s="50">
        <v>0</v>
      </c>
      <c r="G550" s="50">
        <v>0</v>
      </c>
      <c r="H550" s="50">
        <v>0</v>
      </c>
      <c r="I550" s="50">
        <v>0</v>
      </c>
      <c r="J550" s="50">
        <v>0</v>
      </c>
      <c r="K550" s="50">
        <v>0</v>
      </c>
      <c r="L550" s="50">
        <v>0</v>
      </c>
      <c r="M550" s="50">
        <v>0</v>
      </c>
      <c r="N550" s="50">
        <v>0</v>
      </c>
      <c r="O550" s="50">
        <v>0</v>
      </c>
      <c r="P550" s="50">
        <v>0</v>
      </c>
      <c r="Q550" s="50">
        <v>0</v>
      </c>
      <c r="R550" s="50">
        <v>0</v>
      </c>
    </row>
    <row r="551" spans="1:18" x14ac:dyDescent="0.25">
      <c r="A551" s="52" t="s">
        <v>361</v>
      </c>
      <c r="B551" s="53"/>
      <c r="C551" s="68">
        <v>218</v>
      </c>
      <c r="D551" s="54">
        <v>64</v>
      </c>
      <c r="E551" s="54">
        <v>0</v>
      </c>
      <c r="F551" s="54">
        <v>0</v>
      </c>
      <c r="G551" s="54">
        <v>0</v>
      </c>
      <c r="H551" s="54">
        <v>0</v>
      </c>
      <c r="I551" s="54">
        <v>0</v>
      </c>
      <c r="J551" s="54">
        <v>0</v>
      </c>
      <c r="K551" s="54">
        <v>0</v>
      </c>
      <c r="L551" s="54">
        <v>0</v>
      </c>
      <c r="M551" s="54">
        <v>0</v>
      </c>
      <c r="N551" s="54">
        <v>0</v>
      </c>
      <c r="O551" s="54">
        <v>0</v>
      </c>
      <c r="P551" s="54">
        <v>0</v>
      </c>
      <c r="Q551" s="54">
        <v>0</v>
      </c>
      <c r="R551" s="54">
        <v>0</v>
      </c>
    </row>
    <row r="552" spans="1:18" x14ac:dyDescent="0.25">
      <c r="A552" s="52" t="s">
        <v>362</v>
      </c>
      <c r="B552" s="53"/>
      <c r="C552" s="50">
        <v>0</v>
      </c>
      <c r="D552" s="50">
        <v>0</v>
      </c>
      <c r="E552" s="50">
        <v>0</v>
      </c>
      <c r="F552" s="50">
        <v>0</v>
      </c>
      <c r="G552" s="50">
        <v>0</v>
      </c>
      <c r="H552" s="50">
        <v>0</v>
      </c>
      <c r="I552" s="50">
        <v>0</v>
      </c>
      <c r="J552" s="50">
        <v>0</v>
      </c>
      <c r="K552" s="50">
        <v>0</v>
      </c>
      <c r="L552" s="50">
        <v>0</v>
      </c>
      <c r="M552" s="50">
        <v>0</v>
      </c>
      <c r="N552" s="50">
        <v>0</v>
      </c>
      <c r="O552" s="50">
        <v>0</v>
      </c>
      <c r="P552" s="50">
        <v>0</v>
      </c>
      <c r="Q552" s="50">
        <v>0</v>
      </c>
      <c r="R552" s="50">
        <v>0</v>
      </c>
    </row>
    <row r="553" spans="1:18" x14ac:dyDescent="0.25">
      <c r="A553" s="52" t="s">
        <v>363</v>
      </c>
      <c r="B553" s="53"/>
      <c r="C553" s="50">
        <v>1818</v>
      </c>
      <c r="D553" s="50"/>
      <c r="E553" s="50">
        <v>1700</v>
      </c>
      <c r="F553" s="50">
        <v>1164</v>
      </c>
      <c r="G553" s="50"/>
      <c r="H553" s="50"/>
      <c r="I553" s="50"/>
      <c r="J553" s="50"/>
      <c r="K553" s="50"/>
      <c r="L553" s="50"/>
      <c r="M553" s="50"/>
      <c r="N553" s="50"/>
      <c r="O553" s="50"/>
      <c r="P553" s="50"/>
      <c r="Q553" s="50"/>
      <c r="R553" s="50"/>
    </row>
    <row r="554" spans="1:18" x14ac:dyDescent="0.25">
      <c r="A554" s="98"/>
      <c r="B554" s="53"/>
      <c r="C554" s="50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</row>
    <row r="555" spans="1:18" x14ac:dyDescent="0.25">
      <c r="A555" s="41" t="s">
        <v>216</v>
      </c>
      <c r="B555" s="44"/>
      <c r="C555" s="51">
        <f>SUM(C549:C554)</f>
        <v>3389</v>
      </c>
      <c r="D555" s="51">
        <f t="shared" ref="D555" si="412">SUM(D549:D552)</f>
        <v>1417</v>
      </c>
      <c r="E555" s="51">
        <f>SUM(E549:E553)</f>
        <v>2930</v>
      </c>
      <c r="F555" s="51">
        <f>SUM(F549:F553)</f>
        <v>2394</v>
      </c>
      <c r="G555" s="51">
        <f t="shared" ref="G555:R555" si="413">SUM(G549:G552)</f>
        <v>1425</v>
      </c>
      <c r="H555" s="51">
        <f t="shared" si="413"/>
        <v>1400</v>
      </c>
      <c r="I555" s="51">
        <f t="shared" si="413"/>
        <v>1432.1999999999998</v>
      </c>
      <c r="J555" s="51">
        <f t="shared" si="413"/>
        <v>1466.5727999999999</v>
      </c>
      <c r="K555" s="51">
        <f t="shared" si="413"/>
        <v>1501.7705472</v>
      </c>
      <c r="L555" s="51">
        <f t="shared" si="413"/>
        <v>1536.3112697856</v>
      </c>
      <c r="M555" s="51">
        <f t="shared" si="413"/>
        <v>1570.1101177208832</v>
      </c>
      <c r="N555" s="51">
        <f t="shared" si="413"/>
        <v>1606.2226504284633</v>
      </c>
      <c r="O555" s="51">
        <f t="shared" si="413"/>
        <v>1646.3782166891747</v>
      </c>
      <c r="P555" s="51">
        <f t="shared" si="413"/>
        <v>1687.537672106404</v>
      </c>
      <c r="Q555" s="51">
        <f t="shared" si="413"/>
        <v>1728.0385762369576</v>
      </c>
      <c r="R555" s="51">
        <f t="shared" si="413"/>
        <v>1769.5115020666447</v>
      </c>
    </row>
    <row r="556" spans="1:18" x14ac:dyDescent="0.25">
      <c r="C556" s="50"/>
      <c r="D556" s="50"/>
      <c r="E556" s="50"/>
      <c r="F556" s="50"/>
      <c r="G556" s="50"/>
      <c r="H556" s="50"/>
      <c r="I556" s="50"/>
      <c r="J556" s="50"/>
      <c r="K556" s="50"/>
      <c r="L556" s="50"/>
      <c r="M556" s="50"/>
      <c r="N556" s="50"/>
      <c r="O556" s="50"/>
      <c r="P556" s="50"/>
      <c r="Q556" s="50"/>
      <c r="R556" s="50"/>
    </row>
    <row r="557" spans="1:18" x14ac:dyDescent="0.25">
      <c r="A557" s="41" t="s">
        <v>165</v>
      </c>
      <c r="B557" s="44"/>
      <c r="C557" s="50"/>
      <c r="D557" s="50"/>
      <c r="E557" s="50"/>
      <c r="F557" s="50"/>
      <c r="G557" s="50"/>
      <c r="H557" s="50"/>
      <c r="I557" s="50"/>
      <c r="J557" s="50"/>
      <c r="K557" s="50"/>
      <c r="L557" s="50"/>
      <c r="M557" s="50"/>
      <c r="N557" s="50"/>
      <c r="O557" s="50"/>
      <c r="P557" s="50"/>
      <c r="Q557" s="50"/>
      <c r="R557" s="50"/>
    </row>
    <row r="558" spans="1:18" x14ac:dyDescent="0.25">
      <c r="C558" s="50"/>
      <c r="D558" s="50"/>
      <c r="E558" s="50"/>
      <c r="F558" s="50"/>
      <c r="G558" s="50"/>
      <c r="H558" s="50"/>
      <c r="I558" s="50"/>
      <c r="J558" s="50"/>
      <c r="K558" s="50"/>
      <c r="L558" s="50"/>
      <c r="M558" s="50"/>
      <c r="N558" s="50"/>
      <c r="O558" s="50"/>
      <c r="P558" s="50"/>
      <c r="Q558" s="50"/>
      <c r="R558" s="50"/>
    </row>
    <row r="559" spans="1:18" x14ac:dyDescent="0.25">
      <c r="A559" s="52" t="s">
        <v>364</v>
      </c>
      <c r="B559" s="53"/>
      <c r="C559" s="59">
        <v>4334</v>
      </c>
      <c r="D559" s="50">
        <v>2460</v>
      </c>
      <c r="E559" s="50">
        <v>2460</v>
      </c>
      <c r="F559">
        <v>2182</v>
      </c>
      <c r="G559">
        <v>2850</v>
      </c>
      <c r="H559">
        <v>3000</v>
      </c>
      <c r="I559" s="54">
        <f t="shared" ref="I559:I560" si="414">H559*1.023</f>
        <v>3068.9999999999995</v>
      </c>
      <c r="J559" s="54">
        <f t="shared" ref="J559:K560" si="415">I559*1.024</f>
        <v>3142.6559999999995</v>
      </c>
      <c r="K559" s="54">
        <f t="shared" si="415"/>
        <v>3218.0797439999997</v>
      </c>
      <c r="L559" s="54">
        <f t="shared" ref="L559:L560" si="416">K559*1.023</f>
        <v>3292.0955781119992</v>
      </c>
      <c r="M559" s="54">
        <f t="shared" ref="M559:M560" si="417">L559*1.022</f>
        <v>3364.5216808304631</v>
      </c>
      <c r="N559" s="54">
        <f t="shared" ref="N559:N560" si="418">M559*1.023</f>
        <v>3441.9056794895632</v>
      </c>
      <c r="O559" s="54">
        <f t="shared" ref="O559:P560" si="419">N559*1.025</f>
        <v>3527.9533214768021</v>
      </c>
      <c r="P559" s="54">
        <f t="shared" si="419"/>
        <v>3616.1521545137221</v>
      </c>
      <c r="Q559" s="54">
        <f t="shared" ref="Q559:R560" si="420">P559*1.024</f>
        <v>3702.9398062220516</v>
      </c>
      <c r="R559" s="54">
        <f t="shared" si="420"/>
        <v>3791.8103615713808</v>
      </c>
    </row>
    <row r="560" spans="1:18" x14ac:dyDescent="0.25">
      <c r="A560" s="52" t="s">
        <v>365</v>
      </c>
      <c r="B560" s="53"/>
      <c r="C560" s="59">
        <v>0</v>
      </c>
      <c r="D560" s="54">
        <v>209</v>
      </c>
      <c r="E560" s="54">
        <v>0</v>
      </c>
      <c r="F560" s="54">
        <v>0</v>
      </c>
      <c r="G560" s="54">
        <v>735</v>
      </c>
      <c r="H560" s="54">
        <v>800</v>
      </c>
      <c r="I560" s="54">
        <f t="shared" si="414"/>
        <v>818.4</v>
      </c>
      <c r="J560" s="54">
        <f t="shared" si="415"/>
        <v>838.04160000000002</v>
      </c>
      <c r="K560" s="54">
        <f t="shared" si="415"/>
        <v>858.15459840000005</v>
      </c>
      <c r="L560" s="54">
        <f t="shared" si="416"/>
        <v>877.89215416319996</v>
      </c>
      <c r="M560" s="54">
        <f t="shared" si="417"/>
        <v>897.20578155479041</v>
      </c>
      <c r="N560" s="54">
        <f t="shared" si="418"/>
        <v>917.84151453055051</v>
      </c>
      <c r="O560" s="54">
        <f t="shared" si="419"/>
        <v>940.78755239381417</v>
      </c>
      <c r="P560" s="54">
        <f t="shared" si="419"/>
        <v>964.30724120365949</v>
      </c>
      <c r="Q560" s="54">
        <f t="shared" si="420"/>
        <v>987.45061499254734</v>
      </c>
      <c r="R560" s="54">
        <f t="shared" si="420"/>
        <v>1011.1494297523685</v>
      </c>
    </row>
    <row r="561" spans="1:18" x14ac:dyDescent="0.25">
      <c r="A561" s="43" t="s">
        <v>366</v>
      </c>
      <c r="B561" s="53"/>
      <c r="D561" s="50">
        <v>0</v>
      </c>
      <c r="E561" s="50">
        <v>0</v>
      </c>
      <c r="F561" s="50">
        <v>0</v>
      </c>
      <c r="G561" s="50">
        <v>0</v>
      </c>
      <c r="H561" s="50">
        <v>0</v>
      </c>
      <c r="I561" s="50">
        <v>0</v>
      </c>
      <c r="J561" s="50">
        <v>0</v>
      </c>
      <c r="K561" s="50">
        <v>0</v>
      </c>
      <c r="L561" s="50">
        <v>0</v>
      </c>
      <c r="M561" s="50">
        <v>0</v>
      </c>
      <c r="N561" s="50">
        <v>0</v>
      </c>
      <c r="O561" s="50">
        <v>0</v>
      </c>
      <c r="P561" s="50">
        <v>0</v>
      </c>
      <c r="Q561" s="50">
        <v>0</v>
      </c>
      <c r="R561" s="50">
        <v>0</v>
      </c>
    </row>
    <row r="562" spans="1:18" x14ac:dyDescent="0.25">
      <c r="A562" s="52" t="s">
        <v>362</v>
      </c>
      <c r="B562" s="53"/>
      <c r="C562" s="50">
        <v>0</v>
      </c>
      <c r="D562" s="50">
        <v>0</v>
      </c>
      <c r="E562" s="50">
        <v>0</v>
      </c>
      <c r="F562" s="50">
        <v>0</v>
      </c>
      <c r="G562" s="50">
        <v>0</v>
      </c>
      <c r="H562" s="50">
        <v>0</v>
      </c>
      <c r="I562" s="50">
        <v>0</v>
      </c>
      <c r="J562" s="50">
        <v>0</v>
      </c>
      <c r="K562" s="50">
        <v>0</v>
      </c>
      <c r="L562" s="50">
        <v>0</v>
      </c>
      <c r="M562" s="50">
        <v>0</v>
      </c>
      <c r="N562" s="50">
        <v>0</v>
      </c>
      <c r="O562" s="50">
        <v>0</v>
      </c>
      <c r="P562" s="50">
        <v>0</v>
      </c>
      <c r="Q562" s="50">
        <v>0</v>
      </c>
      <c r="R562" s="50">
        <v>0</v>
      </c>
    </row>
    <row r="563" spans="1:18" x14ac:dyDescent="0.25">
      <c r="A563" s="52" t="s">
        <v>367</v>
      </c>
      <c r="B563" s="53"/>
      <c r="C563" s="50"/>
      <c r="D563" s="50"/>
      <c r="E563" s="50"/>
      <c r="F563" s="50"/>
      <c r="G563" s="50"/>
      <c r="H563" s="50"/>
      <c r="I563" s="50">
        <v>0</v>
      </c>
      <c r="J563" s="50">
        <v>0</v>
      </c>
      <c r="K563" s="50">
        <v>0</v>
      </c>
      <c r="L563" s="50">
        <v>0</v>
      </c>
      <c r="M563" s="50">
        <v>0</v>
      </c>
      <c r="N563" s="50">
        <v>0</v>
      </c>
      <c r="O563" s="50">
        <v>0</v>
      </c>
      <c r="P563" s="50">
        <v>0</v>
      </c>
      <c r="Q563" s="50">
        <v>0</v>
      </c>
      <c r="R563" s="50">
        <v>0</v>
      </c>
    </row>
    <row r="564" spans="1:18" x14ac:dyDescent="0.25">
      <c r="A564" s="52" t="s">
        <v>363</v>
      </c>
      <c r="B564" s="53"/>
      <c r="C564" s="50">
        <v>1233</v>
      </c>
      <c r="D564" s="50"/>
      <c r="E564" s="50">
        <v>840</v>
      </c>
      <c r="F564" s="50">
        <v>1164</v>
      </c>
      <c r="G564" s="50"/>
      <c r="H564" s="50"/>
      <c r="I564" s="50"/>
      <c r="J564" s="50"/>
      <c r="K564" s="50"/>
      <c r="L564" s="50"/>
      <c r="M564" s="50"/>
      <c r="N564" s="50"/>
      <c r="O564" s="50"/>
      <c r="P564" s="50"/>
      <c r="Q564" s="50"/>
      <c r="R564" s="50"/>
    </row>
    <row r="565" spans="1:18" x14ac:dyDescent="0.25">
      <c r="C565" s="50"/>
      <c r="D565" s="50"/>
      <c r="E565" s="50"/>
      <c r="F565" s="50"/>
      <c r="G565" s="50"/>
      <c r="H565" s="50"/>
      <c r="I565" s="50"/>
      <c r="J565" s="50"/>
      <c r="K565" s="50"/>
      <c r="L565" s="50"/>
      <c r="M565" s="50"/>
      <c r="N565" s="50"/>
      <c r="O565" s="50"/>
      <c r="P565" s="50"/>
      <c r="Q565" s="50"/>
      <c r="R565" s="50"/>
    </row>
    <row r="566" spans="1:18" x14ac:dyDescent="0.25">
      <c r="A566" s="41" t="s">
        <v>230</v>
      </c>
      <c r="B566" s="44"/>
      <c r="C566" s="51">
        <f t="shared" ref="C566" si="421">SUM(C559:C565)</f>
        <v>5567</v>
      </c>
      <c r="D566" s="51">
        <f t="shared" ref="D566:R566" si="422">SUM(D559:D565)</f>
        <v>2669</v>
      </c>
      <c r="E566" s="51">
        <f t="shared" si="422"/>
        <v>3300</v>
      </c>
      <c r="F566" s="51">
        <f t="shared" si="422"/>
        <v>3346</v>
      </c>
      <c r="G566" s="51">
        <f t="shared" si="422"/>
        <v>3585</v>
      </c>
      <c r="H566" s="51">
        <f t="shared" si="422"/>
        <v>3800</v>
      </c>
      <c r="I566" s="51">
        <f t="shared" si="422"/>
        <v>3887.3999999999996</v>
      </c>
      <c r="J566" s="51">
        <f t="shared" si="422"/>
        <v>3980.6975999999995</v>
      </c>
      <c r="K566" s="51">
        <f t="shared" si="422"/>
        <v>4076.2343423999996</v>
      </c>
      <c r="L566" s="51">
        <f t="shared" si="422"/>
        <v>4169.9877322751991</v>
      </c>
      <c r="M566" s="51">
        <f t="shared" si="422"/>
        <v>4261.7274623852536</v>
      </c>
      <c r="N566" s="51">
        <f t="shared" si="422"/>
        <v>4359.747194020114</v>
      </c>
      <c r="O566" s="51">
        <f t="shared" si="422"/>
        <v>4468.7408738706163</v>
      </c>
      <c r="P566" s="51">
        <f t="shared" si="422"/>
        <v>4580.459395717382</v>
      </c>
      <c r="Q566" s="51">
        <f t="shared" si="422"/>
        <v>4690.390421214599</v>
      </c>
      <c r="R566" s="51">
        <f t="shared" si="422"/>
        <v>4802.9597913237494</v>
      </c>
    </row>
    <row r="567" spans="1:18" x14ac:dyDescent="0.25">
      <c r="A567" s="41"/>
      <c r="B567" s="44"/>
      <c r="C567" s="51"/>
      <c r="D567" s="51"/>
      <c r="E567" s="51"/>
      <c r="F567" s="51"/>
      <c r="G567" s="51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R567" s="51"/>
    </row>
    <row r="568" spans="1:18" x14ac:dyDescent="0.25">
      <c r="A568" s="41" t="s">
        <v>251</v>
      </c>
      <c r="B568" s="44"/>
      <c r="C568" s="51"/>
      <c r="D568" s="51"/>
      <c r="E568" s="51"/>
      <c r="F568" s="51"/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</row>
    <row r="569" spans="1:18" x14ac:dyDescent="0.25">
      <c r="A569" s="41"/>
      <c r="B569" s="44"/>
      <c r="C569" s="51"/>
      <c r="D569" s="51"/>
      <c r="E569" s="51"/>
      <c r="F569" s="51"/>
      <c r="G569" s="51"/>
      <c r="H569" s="51"/>
      <c r="I569" s="51"/>
      <c r="J569" s="51"/>
      <c r="K569" s="51"/>
      <c r="L569" s="51"/>
      <c r="M569" s="51"/>
      <c r="N569" s="51"/>
      <c r="O569" s="51"/>
      <c r="P569" s="51"/>
      <c r="Q569" s="51"/>
      <c r="R569" s="51"/>
    </row>
    <row r="570" spans="1:18" x14ac:dyDescent="0.25">
      <c r="A570" s="43" t="s">
        <v>368</v>
      </c>
      <c r="C570" s="50">
        <v>0</v>
      </c>
      <c r="D570" s="54">
        <f>C570*1.025</f>
        <v>0</v>
      </c>
      <c r="E570" s="54">
        <f>D570*1.025</f>
        <v>0</v>
      </c>
      <c r="F570" s="54">
        <v>0</v>
      </c>
      <c r="G570" s="54">
        <v>0</v>
      </c>
      <c r="H570" s="54">
        <v>0</v>
      </c>
      <c r="I570" s="54">
        <v>0</v>
      </c>
      <c r="J570" s="54">
        <v>0</v>
      </c>
      <c r="K570" s="54">
        <v>0</v>
      </c>
      <c r="L570" s="54">
        <v>0</v>
      </c>
      <c r="M570" s="54">
        <v>0</v>
      </c>
      <c r="N570" s="54">
        <v>0</v>
      </c>
      <c r="O570" s="54">
        <v>0</v>
      </c>
      <c r="P570" s="54">
        <v>0</v>
      </c>
      <c r="Q570" s="54">
        <f>P570*1.025</f>
        <v>0</v>
      </c>
      <c r="R570" s="54">
        <f>Q570*1.025</f>
        <v>0</v>
      </c>
    </row>
    <row r="571" spans="1:18" x14ac:dyDescent="0.25">
      <c r="C571" s="51"/>
      <c r="D571" s="51"/>
      <c r="E571" s="51"/>
      <c r="F571" s="51"/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</row>
    <row r="572" spans="1:18" x14ac:dyDescent="0.25">
      <c r="A572" s="41" t="s">
        <v>254</v>
      </c>
      <c r="B572" s="44"/>
      <c r="C572" s="51">
        <f t="shared" ref="C572" si="423">SUM(C570:C571)</f>
        <v>0</v>
      </c>
      <c r="D572" s="51">
        <f t="shared" ref="D572:E572" si="424">SUM(D570:D571)</f>
        <v>0</v>
      </c>
      <c r="E572" s="51">
        <f t="shared" si="424"/>
        <v>0</v>
      </c>
      <c r="F572" s="51">
        <v>0</v>
      </c>
      <c r="G572" s="51">
        <v>0</v>
      </c>
      <c r="H572" s="51">
        <v>0</v>
      </c>
      <c r="I572" s="51">
        <v>0</v>
      </c>
      <c r="J572" s="51">
        <v>0</v>
      </c>
      <c r="K572" s="51">
        <v>0</v>
      </c>
      <c r="L572" s="51">
        <v>0</v>
      </c>
      <c r="M572" s="51">
        <v>0</v>
      </c>
      <c r="N572" s="51">
        <v>0</v>
      </c>
      <c r="O572" s="51">
        <v>0</v>
      </c>
      <c r="P572" s="51">
        <v>0</v>
      </c>
      <c r="Q572" s="51">
        <f>SUM(Q570:Q571)</f>
        <v>0</v>
      </c>
      <c r="R572" s="51">
        <f>SUM(R570:R571)</f>
        <v>0</v>
      </c>
    </row>
    <row r="573" spans="1:18" x14ac:dyDescent="0.25">
      <c r="A573" s="41"/>
      <c r="B573" s="44"/>
      <c r="C573" s="51"/>
      <c r="D573" s="51"/>
      <c r="E573" s="51"/>
      <c r="F573" s="51"/>
      <c r="G573" s="51"/>
      <c r="H573" s="51"/>
      <c r="I573" s="51"/>
      <c r="J573" s="51"/>
      <c r="K573" s="51"/>
      <c r="L573" s="51"/>
      <c r="M573" s="51"/>
      <c r="N573" s="51"/>
      <c r="O573" s="51"/>
      <c r="P573" s="51"/>
      <c r="Q573" s="51"/>
      <c r="R573" s="51"/>
    </row>
    <row r="574" spans="1:18" x14ac:dyDescent="0.25">
      <c r="A574" s="41" t="s">
        <v>171</v>
      </c>
      <c r="B574" s="44"/>
      <c r="C574" s="51"/>
      <c r="D574" s="51"/>
      <c r="E574" s="51"/>
      <c r="F574" s="51"/>
      <c r="G574" s="51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</row>
    <row r="575" spans="1:18" x14ac:dyDescent="0.25">
      <c r="A575" s="41"/>
      <c r="B575" s="44"/>
      <c r="C575" s="51"/>
      <c r="D575" s="51"/>
      <c r="E575" s="51"/>
      <c r="F575" s="51"/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</row>
    <row r="576" spans="1:18" x14ac:dyDescent="0.25">
      <c r="A576" s="52" t="s">
        <v>369</v>
      </c>
      <c r="B576" s="53"/>
      <c r="C576" s="50">
        <v>0</v>
      </c>
      <c r="D576" s="54">
        <f>C576*1.025</f>
        <v>0</v>
      </c>
      <c r="E576" s="54">
        <f>D576*1.025</f>
        <v>0</v>
      </c>
      <c r="F576" s="54">
        <v>0</v>
      </c>
      <c r="G576" s="54">
        <v>0</v>
      </c>
      <c r="H576" s="54">
        <v>0</v>
      </c>
      <c r="I576" s="54">
        <v>0</v>
      </c>
      <c r="J576" s="54">
        <v>0</v>
      </c>
      <c r="K576" s="54">
        <v>0</v>
      </c>
      <c r="L576" s="54">
        <v>0</v>
      </c>
      <c r="M576" s="54">
        <v>0</v>
      </c>
      <c r="N576" s="54">
        <v>0</v>
      </c>
      <c r="O576" s="54">
        <v>0</v>
      </c>
      <c r="P576" s="54">
        <v>0</v>
      </c>
      <c r="Q576" s="54">
        <f>P576*1.025</f>
        <v>0</v>
      </c>
      <c r="R576" s="54">
        <f>Q576*1.025</f>
        <v>0</v>
      </c>
    </row>
    <row r="577" spans="1:18" x14ac:dyDescent="0.25">
      <c r="C577" s="51"/>
      <c r="D577" s="51"/>
      <c r="E577" s="51"/>
      <c r="F577" s="51"/>
      <c r="G577" s="51"/>
      <c r="H577" s="51"/>
      <c r="I577" s="51"/>
      <c r="J577" s="51"/>
      <c r="K577" s="51"/>
      <c r="L577" s="51"/>
      <c r="M577" s="51"/>
      <c r="N577" s="51"/>
      <c r="O577" s="51"/>
      <c r="P577" s="51"/>
      <c r="Q577" s="51"/>
      <c r="R577" s="51"/>
    </row>
    <row r="578" spans="1:18" x14ac:dyDescent="0.25">
      <c r="A578" s="41" t="s">
        <v>107</v>
      </c>
      <c r="B578" s="44"/>
      <c r="C578" s="51">
        <f t="shared" ref="C578" si="425">SUM(C576:C577)</f>
        <v>0</v>
      </c>
      <c r="D578" s="51">
        <f t="shared" ref="D578:E578" si="426">SUM(D576:D577)</f>
        <v>0</v>
      </c>
      <c r="E578" s="51">
        <f t="shared" si="426"/>
        <v>0</v>
      </c>
      <c r="F578" s="51">
        <v>0</v>
      </c>
      <c r="G578" s="51">
        <v>0</v>
      </c>
      <c r="H578" s="51">
        <v>0</v>
      </c>
      <c r="I578" s="51">
        <v>0</v>
      </c>
      <c r="J578" s="51">
        <v>0</v>
      </c>
      <c r="K578" s="51">
        <v>0</v>
      </c>
      <c r="L578" s="51">
        <v>0</v>
      </c>
      <c r="M578" s="51">
        <v>0</v>
      </c>
      <c r="N578" s="51">
        <v>0</v>
      </c>
      <c r="O578" s="51">
        <v>0</v>
      </c>
      <c r="P578" s="51">
        <v>0</v>
      </c>
      <c r="Q578" s="51">
        <f>SUM(Q576:Q577)</f>
        <v>0</v>
      </c>
      <c r="R578" s="51">
        <f>SUM(R576:R577)</f>
        <v>0</v>
      </c>
    </row>
    <row r="579" spans="1:18" x14ac:dyDescent="0.25">
      <c r="A579" s="41"/>
      <c r="B579" s="44"/>
      <c r="C579" s="51"/>
      <c r="D579" s="51"/>
      <c r="E579" s="51"/>
      <c r="F579" s="51"/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</row>
    <row r="580" spans="1:18" x14ac:dyDescent="0.25">
      <c r="A580" s="41" t="s">
        <v>370</v>
      </c>
      <c r="B580" s="44"/>
      <c r="C580" s="51">
        <f t="shared" ref="C580:R580" si="427">C578-C572+C566-C555</f>
        <v>2178</v>
      </c>
      <c r="D580" s="51">
        <f t="shared" si="427"/>
        <v>1252</v>
      </c>
      <c r="E580" s="51">
        <f t="shared" si="427"/>
        <v>370</v>
      </c>
      <c r="F580" s="51">
        <f t="shared" si="427"/>
        <v>952</v>
      </c>
      <c r="G580" s="51">
        <f t="shared" si="427"/>
        <v>2160</v>
      </c>
      <c r="H580" s="51">
        <f t="shared" si="427"/>
        <v>2400</v>
      </c>
      <c r="I580" s="51">
        <f t="shared" si="427"/>
        <v>2455.1999999999998</v>
      </c>
      <c r="J580" s="51">
        <f t="shared" si="427"/>
        <v>2514.1247999999996</v>
      </c>
      <c r="K580" s="51">
        <f t="shared" si="427"/>
        <v>2574.4637951999994</v>
      </c>
      <c r="L580" s="51">
        <f t="shared" si="427"/>
        <v>2633.6764624895991</v>
      </c>
      <c r="M580" s="51">
        <f t="shared" si="427"/>
        <v>2691.6173446643706</v>
      </c>
      <c r="N580" s="51">
        <f t="shared" si="427"/>
        <v>2753.5245435916504</v>
      </c>
      <c r="O580" s="51">
        <f t="shared" si="427"/>
        <v>2822.3626571814416</v>
      </c>
      <c r="P580" s="51">
        <f t="shared" si="427"/>
        <v>2892.921723610978</v>
      </c>
      <c r="Q580" s="51">
        <f t="shared" si="427"/>
        <v>2962.3518449776411</v>
      </c>
      <c r="R580" s="51">
        <f t="shared" si="427"/>
        <v>3033.448289257105</v>
      </c>
    </row>
    <row r="581" spans="1:18" x14ac:dyDescent="0.25">
      <c r="A581" s="41"/>
      <c r="B581" s="44"/>
      <c r="C581" s="50"/>
      <c r="D581" s="50"/>
      <c r="E581" s="50"/>
      <c r="F581" s="50"/>
      <c r="G581" s="50"/>
      <c r="H581" s="50"/>
      <c r="I581" s="50"/>
      <c r="J581" s="50"/>
      <c r="K581" s="50"/>
      <c r="L581" s="50"/>
      <c r="M581" s="50"/>
      <c r="N581" s="50"/>
      <c r="O581" s="50"/>
      <c r="P581" s="50"/>
      <c r="Q581" s="50"/>
      <c r="R581" s="50"/>
    </row>
    <row r="582" spans="1:18" x14ac:dyDescent="0.25">
      <c r="C582" s="50"/>
      <c r="D582" s="50"/>
      <c r="E582" s="50"/>
      <c r="F582" s="50"/>
      <c r="G582" s="50"/>
      <c r="H582" s="50"/>
      <c r="I582" s="50"/>
      <c r="J582" s="50"/>
      <c r="K582" s="50"/>
      <c r="L582" s="50"/>
      <c r="M582" s="50"/>
      <c r="N582" s="50"/>
      <c r="O582" s="50"/>
      <c r="P582" s="50"/>
      <c r="Q582" s="50"/>
      <c r="R582" s="50"/>
    </row>
    <row r="583" spans="1:18" x14ac:dyDescent="0.25">
      <c r="A583" s="41" t="s">
        <v>371</v>
      </c>
      <c r="B583" s="44"/>
      <c r="C583" s="50"/>
      <c r="D583" s="50"/>
      <c r="E583" s="50"/>
      <c r="F583" s="50"/>
      <c r="G583" s="50"/>
      <c r="H583" s="50"/>
      <c r="I583" s="50"/>
      <c r="J583" s="50"/>
      <c r="K583" s="50"/>
      <c r="L583" s="50"/>
      <c r="M583" s="50"/>
      <c r="N583" s="50"/>
      <c r="O583" s="50"/>
      <c r="P583" s="50"/>
      <c r="Q583" s="50"/>
      <c r="R583" s="50"/>
    </row>
    <row r="584" spans="1:18" x14ac:dyDescent="0.25">
      <c r="C584" s="50"/>
      <c r="D584" s="50"/>
      <c r="E584" s="50"/>
      <c r="F584" s="50"/>
      <c r="G584" s="50"/>
      <c r="H584" s="50"/>
      <c r="I584" s="50"/>
      <c r="J584" s="50"/>
      <c r="K584" s="50"/>
      <c r="L584" s="50"/>
      <c r="M584" s="50"/>
      <c r="N584" s="50"/>
      <c r="O584" s="50"/>
      <c r="P584" s="50"/>
      <c r="Q584" s="50"/>
      <c r="R584" s="50"/>
    </row>
    <row r="585" spans="1:18" x14ac:dyDescent="0.25">
      <c r="A585" s="41" t="s">
        <v>202</v>
      </c>
      <c r="B585" s="44"/>
      <c r="C585" s="50"/>
      <c r="D585" s="50"/>
      <c r="E585" s="50"/>
      <c r="F585" s="50"/>
      <c r="G585" s="50"/>
      <c r="H585" s="50"/>
      <c r="I585" s="50"/>
      <c r="J585" s="50"/>
      <c r="K585" s="50"/>
      <c r="L585" s="50"/>
      <c r="M585" s="50"/>
      <c r="N585" s="50"/>
      <c r="O585" s="50"/>
      <c r="P585" s="50"/>
      <c r="Q585" s="50"/>
      <c r="R585" s="50"/>
    </row>
    <row r="586" spans="1:18" x14ac:dyDescent="0.25">
      <c r="C586" s="50"/>
      <c r="D586" s="50"/>
      <c r="E586" s="50"/>
      <c r="F586" s="50"/>
      <c r="G586" s="50"/>
      <c r="H586" s="50"/>
      <c r="I586" s="50"/>
      <c r="J586" s="50"/>
      <c r="K586" s="50"/>
      <c r="L586" s="50"/>
      <c r="M586" s="50"/>
      <c r="N586" s="50"/>
      <c r="O586" s="50"/>
      <c r="P586" s="50"/>
      <c r="Q586" s="50"/>
      <c r="R586" s="50"/>
    </row>
    <row r="587" spans="1:18" x14ac:dyDescent="0.25">
      <c r="A587" s="43" t="s">
        <v>372</v>
      </c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  <c r="P587" s="50"/>
      <c r="Q587" s="50"/>
      <c r="R587" s="50"/>
    </row>
    <row r="588" spans="1:18" x14ac:dyDescent="0.25">
      <c r="A588" s="52" t="s">
        <v>373</v>
      </c>
      <c r="B588" s="53"/>
      <c r="C588" s="59">
        <v>38027</v>
      </c>
      <c r="D588" s="54">
        <v>38838</v>
      </c>
      <c r="E588" s="43">
        <v>39630</v>
      </c>
      <c r="F588" s="50">
        <v>80663</v>
      </c>
      <c r="G588" s="50">
        <v>82099</v>
      </c>
      <c r="H588" s="50">
        <v>84100</v>
      </c>
      <c r="I588" s="54">
        <f>H588*1.023</f>
        <v>86034.299999999988</v>
      </c>
      <c r="J588" s="54">
        <f t="shared" ref="J588:K589" si="428">I588*1.024</f>
        <v>88099.123199999987</v>
      </c>
      <c r="K588" s="54">
        <f t="shared" si="428"/>
        <v>90213.502156799994</v>
      </c>
      <c r="L588" s="54">
        <f t="shared" ref="L588:L589" si="429">K588*1.023</f>
        <v>92288.41270640638</v>
      </c>
      <c r="M588" s="54">
        <f t="shared" ref="M588:M589" si="430">L588*1.022</f>
        <v>94318.757785947324</v>
      </c>
      <c r="N588" s="54">
        <f t="shared" ref="N588:N589" si="431">M588*1.023</f>
        <v>96488.089215024098</v>
      </c>
      <c r="O588" s="54">
        <f t="shared" ref="O588:P589" si="432">N588*1.025</f>
        <v>98900.291445399693</v>
      </c>
      <c r="P588" s="54">
        <f t="shared" si="432"/>
        <v>101372.79873153467</v>
      </c>
      <c r="Q588" s="54">
        <f t="shared" ref="Q588:R589" si="433">P588*1.024</f>
        <v>103805.7459010915</v>
      </c>
      <c r="R588" s="54">
        <f t="shared" si="433"/>
        <v>106297.08380271771</v>
      </c>
    </row>
    <row r="589" spans="1:18" x14ac:dyDescent="0.25">
      <c r="A589" s="43" t="s">
        <v>374</v>
      </c>
      <c r="B589" s="53"/>
      <c r="C589" s="59">
        <v>809</v>
      </c>
      <c r="D589" s="54">
        <v>6320</v>
      </c>
      <c r="E589" s="43">
        <v>3219</v>
      </c>
      <c r="F589" s="50">
        <v>3227</v>
      </c>
      <c r="G589" s="50">
        <v>3676</v>
      </c>
      <c r="H589" s="50">
        <v>3800</v>
      </c>
      <c r="I589" s="54">
        <f>H589*1.023</f>
        <v>3887.3999999999996</v>
      </c>
      <c r="J589" s="54">
        <f t="shared" si="428"/>
        <v>3980.6975999999995</v>
      </c>
      <c r="K589" s="54">
        <f t="shared" si="428"/>
        <v>4076.2343423999996</v>
      </c>
      <c r="L589" s="54">
        <f t="shared" si="429"/>
        <v>4169.9877322751991</v>
      </c>
      <c r="M589" s="54">
        <f t="shared" si="430"/>
        <v>4261.7274623852536</v>
      </c>
      <c r="N589" s="54">
        <f t="shared" si="431"/>
        <v>4359.747194020114</v>
      </c>
      <c r="O589" s="54">
        <f t="shared" si="432"/>
        <v>4468.7408738706163</v>
      </c>
      <c r="P589" s="54">
        <f t="shared" si="432"/>
        <v>4580.4593957173811</v>
      </c>
      <c r="Q589" s="54">
        <f t="shared" si="433"/>
        <v>4690.3904212145981</v>
      </c>
      <c r="R589" s="54">
        <f t="shared" si="433"/>
        <v>4802.9597913237485</v>
      </c>
    </row>
    <row r="590" spans="1:18" x14ac:dyDescent="0.25">
      <c r="A590" s="43" t="s">
        <v>375</v>
      </c>
      <c r="C590" s="59"/>
      <c r="D590" s="50"/>
      <c r="F590" s="50"/>
      <c r="G590" s="50">
        <v>0</v>
      </c>
      <c r="H590" s="50"/>
      <c r="I590" s="50"/>
      <c r="J590" s="50"/>
      <c r="K590" s="50"/>
      <c r="L590" s="50"/>
      <c r="M590" s="50"/>
      <c r="N590" s="50"/>
      <c r="O590" s="50"/>
      <c r="P590" s="50"/>
      <c r="Q590" s="50"/>
      <c r="R590" s="50"/>
    </row>
    <row r="591" spans="1:18" x14ac:dyDescent="0.25">
      <c r="A591" s="52" t="s">
        <v>376</v>
      </c>
      <c r="B591" s="53"/>
      <c r="C591" s="59">
        <v>718</v>
      </c>
      <c r="D591" s="43">
        <v>668</v>
      </c>
      <c r="E591" s="43">
        <f>515+46</f>
        <v>561</v>
      </c>
      <c r="F591" s="43">
        <v>517</v>
      </c>
      <c r="G591" s="43">
        <v>455</v>
      </c>
      <c r="H591" s="43">
        <v>480</v>
      </c>
      <c r="I591" s="54">
        <v>500</v>
      </c>
      <c r="J591" s="54">
        <v>600</v>
      </c>
      <c r="K591" s="54">
        <v>620</v>
      </c>
      <c r="L591" s="54">
        <v>580</v>
      </c>
      <c r="M591" s="54">
        <v>540</v>
      </c>
      <c r="N591" s="54">
        <v>620</v>
      </c>
      <c r="O591" s="54">
        <v>700.00000000000011</v>
      </c>
      <c r="P591" s="54">
        <v>720</v>
      </c>
      <c r="Q591" s="54">
        <v>680</v>
      </c>
      <c r="R591" s="54">
        <v>680</v>
      </c>
    </row>
    <row r="592" spans="1:18" x14ac:dyDescent="0.25">
      <c r="A592" s="43" t="s">
        <v>377</v>
      </c>
      <c r="C592" s="59"/>
      <c r="D592" s="50"/>
      <c r="F592" s="50"/>
      <c r="G592" s="50"/>
      <c r="H592" s="50"/>
      <c r="I592" s="50"/>
      <c r="J592" s="50"/>
      <c r="K592" s="50"/>
      <c r="L592" s="50"/>
      <c r="M592" s="50"/>
      <c r="N592" s="50"/>
      <c r="O592" s="50"/>
      <c r="P592" s="50"/>
      <c r="Q592" s="50"/>
      <c r="R592" s="50"/>
    </row>
    <row r="593" spans="1:18" x14ac:dyDescent="0.25">
      <c r="A593" s="52" t="s">
        <v>378</v>
      </c>
      <c r="B593" s="53"/>
      <c r="C593" s="59">
        <v>5251</v>
      </c>
      <c r="D593" s="54">
        <v>5399</v>
      </c>
      <c r="E593" s="43">
        <v>2743</v>
      </c>
      <c r="F593" s="54">
        <v>12164</v>
      </c>
      <c r="G593" s="54">
        <v>8297</v>
      </c>
      <c r="H593" s="54">
        <v>8400</v>
      </c>
      <c r="I593" s="54">
        <f t="shared" ref="I593:I597" si="434">H593*1.023</f>
        <v>8593.1999999999989</v>
      </c>
      <c r="J593" s="54">
        <f t="shared" ref="J593:K594" si="435">I593*1.024</f>
        <v>8799.4367999999995</v>
      </c>
      <c r="K593" s="54">
        <f t="shared" si="435"/>
        <v>9010.6232832000005</v>
      </c>
      <c r="L593" s="54">
        <f t="shared" ref="L593:L594" si="436">K593*1.023</f>
        <v>9217.8676187135989</v>
      </c>
      <c r="M593" s="54">
        <f t="shared" ref="M593:M594" si="437">L593*1.022</f>
        <v>9420.6607063252977</v>
      </c>
      <c r="N593" s="54">
        <f t="shared" ref="N593:N594" si="438">M593*1.023</f>
        <v>9637.3359025707796</v>
      </c>
      <c r="O593" s="54">
        <f t="shared" ref="O593:P594" si="439">N593*1.025</f>
        <v>9878.269300135049</v>
      </c>
      <c r="P593" s="54">
        <f t="shared" si="439"/>
        <v>10125.226032638424</v>
      </c>
      <c r="Q593" s="54">
        <f t="shared" ref="Q593:R594" si="440">P593*1.024</f>
        <v>10368.231457421747</v>
      </c>
      <c r="R593" s="54">
        <f t="shared" si="440"/>
        <v>10617.069012399868</v>
      </c>
    </row>
    <row r="594" spans="1:18" x14ac:dyDescent="0.25">
      <c r="A594" s="52" t="s">
        <v>379</v>
      </c>
      <c r="B594" s="53"/>
      <c r="C594" s="59">
        <v>6960</v>
      </c>
      <c r="D594" s="54">
        <v>7109</v>
      </c>
      <c r="E594" s="43">
        <v>7166</v>
      </c>
      <c r="F594" s="54">
        <v>7190</v>
      </c>
      <c r="G594" s="54">
        <v>7250</v>
      </c>
      <c r="H594" s="54">
        <v>7400</v>
      </c>
      <c r="I594" s="54">
        <f t="shared" si="434"/>
        <v>7570.1999999999989</v>
      </c>
      <c r="J594" s="54">
        <f t="shared" si="435"/>
        <v>7751.8847999999989</v>
      </c>
      <c r="K594" s="54">
        <f t="shared" si="435"/>
        <v>7937.9300351999991</v>
      </c>
      <c r="L594" s="54">
        <f t="shared" si="436"/>
        <v>8120.5024260095988</v>
      </c>
      <c r="M594" s="54">
        <f t="shared" si="437"/>
        <v>8299.15347938181</v>
      </c>
      <c r="N594" s="54">
        <f t="shared" si="438"/>
        <v>8490.0340094075909</v>
      </c>
      <c r="O594" s="54">
        <f t="shared" si="439"/>
        <v>8702.2848596427793</v>
      </c>
      <c r="P594" s="54">
        <f t="shared" si="439"/>
        <v>8919.8419811338481</v>
      </c>
      <c r="Q594" s="54">
        <f t="shared" si="440"/>
        <v>9133.9181886810602</v>
      </c>
      <c r="R594" s="54">
        <f t="shared" si="440"/>
        <v>9353.1322252094051</v>
      </c>
    </row>
    <row r="595" spans="1:18" x14ac:dyDescent="0.25">
      <c r="A595" s="43" t="s">
        <v>380</v>
      </c>
      <c r="C595" s="59"/>
      <c r="D595" s="50"/>
      <c r="F595" s="50"/>
      <c r="G595" s="50"/>
      <c r="H595" s="50"/>
      <c r="I595" s="50"/>
      <c r="J595" s="50"/>
      <c r="K595" s="50"/>
      <c r="L595" s="50"/>
      <c r="M595" s="50"/>
      <c r="N595" s="50"/>
      <c r="O595" s="50"/>
      <c r="P595" s="50"/>
      <c r="Q595" s="50"/>
      <c r="R595" s="50"/>
    </row>
    <row r="596" spans="1:18" x14ac:dyDescent="0.25">
      <c r="A596" s="52" t="s">
        <v>381</v>
      </c>
      <c r="B596" s="53"/>
      <c r="C596" s="59">
        <v>17136</v>
      </c>
      <c r="D596" s="54">
        <v>17530</v>
      </c>
      <c r="E596" s="43">
        <v>17951</v>
      </c>
      <c r="F596" s="54">
        <v>18274</v>
      </c>
      <c r="G596" s="54">
        <v>18548</v>
      </c>
      <c r="H596" s="50">
        <v>18700</v>
      </c>
      <c r="I596" s="54">
        <f t="shared" si="434"/>
        <v>19130.099999999999</v>
      </c>
      <c r="J596" s="54">
        <f t="shared" ref="J596:K597" si="441">I596*1.024</f>
        <v>19589.222399999999</v>
      </c>
      <c r="K596" s="54">
        <f t="shared" si="441"/>
        <v>20059.363737600001</v>
      </c>
      <c r="L596" s="54">
        <f t="shared" ref="L596:L597" si="442">K596*1.023</f>
        <v>20520.729103564798</v>
      </c>
      <c r="M596" s="54">
        <f t="shared" ref="M596:M597" si="443">L596*1.022</f>
        <v>20972.185143843224</v>
      </c>
      <c r="N596" s="54">
        <f t="shared" ref="N596:N597" si="444">M596*1.023</f>
        <v>21454.545402151616</v>
      </c>
      <c r="O596" s="54">
        <f t="shared" ref="O596:P597" si="445">N596*1.025</f>
        <v>21990.909037205405</v>
      </c>
      <c r="P596" s="54">
        <f t="shared" si="445"/>
        <v>22540.681763135537</v>
      </c>
      <c r="Q596" s="54">
        <f t="shared" ref="Q596:R597" si="446">P596*1.024</f>
        <v>23081.658125450791</v>
      </c>
      <c r="R596" s="54">
        <f t="shared" si="446"/>
        <v>23635.617920461609</v>
      </c>
    </row>
    <row r="597" spans="1:18" x14ac:dyDescent="0.25">
      <c r="A597" s="52" t="s">
        <v>382</v>
      </c>
      <c r="B597" s="53"/>
      <c r="C597" s="59">
        <v>2916</v>
      </c>
      <c r="D597" s="50">
        <v>3352</v>
      </c>
      <c r="E597" s="43">
        <v>3376</v>
      </c>
      <c r="F597" s="50">
        <v>2715</v>
      </c>
      <c r="G597" s="50">
        <v>836</v>
      </c>
      <c r="H597" s="50">
        <v>1000</v>
      </c>
      <c r="I597" s="54">
        <f t="shared" si="434"/>
        <v>1022.9999999999999</v>
      </c>
      <c r="J597" s="54">
        <f t="shared" si="441"/>
        <v>1047.5519999999999</v>
      </c>
      <c r="K597" s="54">
        <f t="shared" si="441"/>
        <v>1072.693248</v>
      </c>
      <c r="L597" s="54">
        <f t="shared" si="442"/>
        <v>1097.365192704</v>
      </c>
      <c r="M597" s="54">
        <f t="shared" si="443"/>
        <v>1121.5072269434881</v>
      </c>
      <c r="N597" s="54">
        <f t="shared" si="444"/>
        <v>1147.3018931631882</v>
      </c>
      <c r="O597" s="54">
        <f t="shared" si="445"/>
        <v>1175.9844404922678</v>
      </c>
      <c r="P597" s="54">
        <f t="shared" si="445"/>
        <v>1205.3840515045745</v>
      </c>
      <c r="Q597" s="54">
        <f t="shared" si="446"/>
        <v>1234.3132687406842</v>
      </c>
      <c r="R597" s="54">
        <f t="shared" si="446"/>
        <v>1263.9367871904606</v>
      </c>
    </row>
    <row r="598" spans="1:18" x14ac:dyDescent="0.25">
      <c r="C598" s="50"/>
      <c r="D598" s="50"/>
      <c r="E598" s="50"/>
      <c r="F598" s="50"/>
      <c r="G598" s="50"/>
      <c r="H598" s="50"/>
      <c r="I598" s="50"/>
      <c r="J598" s="50"/>
      <c r="K598" s="50"/>
      <c r="L598" s="50"/>
      <c r="M598" s="50"/>
      <c r="N598" s="50"/>
      <c r="O598" s="50"/>
      <c r="P598" s="50"/>
      <c r="Q598" s="50"/>
      <c r="R598" s="50"/>
    </row>
    <row r="599" spans="1:18" x14ac:dyDescent="0.25">
      <c r="A599" s="41" t="s">
        <v>216</v>
      </c>
      <c r="B599" s="44"/>
      <c r="C599" s="51">
        <f>SUM(C588:C598)</f>
        <v>71817</v>
      </c>
      <c r="D599" s="51">
        <f t="shared" ref="D599:R599" si="447">SUM(D588:D598)</f>
        <v>79216</v>
      </c>
      <c r="E599" s="51">
        <f t="shared" si="447"/>
        <v>74646</v>
      </c>
      <c r="F599" s="51">
        <f t="shared" si="447"/>
        <v>124750</v>
      </c>
      <c r="G599" s="51">
        <f t="shared" si="447"/>
        <v>121161</v>
      </c>
      <c r="H599" s="51">
        <f t="shared" si="447"/>
        <v>123880</v>
      </c>
      <c r="I599" s="51">
        <f t="shared" si="447"/>
        <v>126738.19999999998</v>
      </c>
      <c r="J599" s="51">
        <f t="shared" si="447"/>
        <v>129867.91679999998</v>
      </c>
      <c r="K599" s="51">
        <f t="shared" si="447"/>
        <v>132990.34680319999</v>
      </c>
      <c r="L599" s="51">
        <f t="shared" si="447"/>
        <v>135994.86477967357</v>
      </c>
      <c r="M599" s="51">
        <f t="shared" si="447"/>
        <v>138933.99180482639</v>
      </c>
      <c r="N599" s="51">
        <f t="shared" si="447"/>
        <v>142197.05361633739</v>
      </c>
      <c r="O599" s="51">
        <f t="shared" si="447"/>
        <v>145816.47995674581</v>
      </c>
      <c r="P599" s="51">
        <f t="shared" si="447"/>
        <v>149464.39195566444</v>
      </c>
      <c r="Q599" s="51">
        <f t="shared" si="447"/>
        <v>152994.25736260039</v>
      </c>
      <c r="R599" s="51">
        <f t="shared" si="447"/>
        <v>156649.7995393028</v>
      </c>
    </row>
    <row r="600" spans="1:18" x14ac:dyDescent="0.25">
      <c r="C600" s="50"/>
      <c r="D600" s="50"/>
      <c r="E600" s="50"/>
      <c r="F600" s="50"/>
      <c r="G600" s="50"/>
      <c r="H600" s="50"/>
      <c r="I600" s="50"/>
      <c r="J600" s="50"/>
      <c r="K600" s="50"/>
      <c r="L600" s="50"/>
      <c r="M600" s="50"/>
      <c r="N600" s="50"/>
      <c r="O600" s="50"/>
      <c r="P600" s="50"/>
      <c r="Q600" s="50"/>
      <c r="R600" s="50"/>
    </row>
    <row r="601" spans="1:18" x14ac:dyDescent="0.25">
      <c r="A601" s="41" t="s">
        <v>165</v>
      </c>
      <c r="B601" s="44"/>
      <c r="C601" s="99"/>
      <c r="D601" s="50"/>
      <c r="E601" s="50"/>
      <c r="F601" s="50"/>
      <c r="G601" s="50"/>
      <c r="H601" s="50"/>
      <c r="I601" s="50"/>
      <c r="J601" s="50"/>
      <c r="K601" s="50"/>
      <c r="L601" s="50"/>
      <c r="M601" s="50"/>
      <c r="N601" s="50"/>
      <c r="O601" s="50"/>
      <c r="P601" s="50"/>
      <c r="Q601" s="50"/>
      <c r="R601" s="50"/>
    </row>
    <row r="602" spans="1:18" x14ac:dyDescent="0.25">
      <c r="C602" s="50"/>
      <c r="D602" s="50"/>
      <c r="E602" s="50"/>
      <c r="F602" s="50"/>
      <c r="G602" s="50"/>
      <c r="H602" s="50"/>
      <c r="I602" s="50"/>
      <c r="J602" s="50"/>
      <c r="K602" s="50"/>
      <c r="L602" s="50"/>
      <c r="M602" s="50"/>
      <c r="N602" s="50"/>
      <c r="O602" s="50"/>
      <c r="P602" s="50"/>
      <c r="Q602" s="50"/>
      <c r="R602" s="50"/>
    </row>
    <row r="603" spans="1:18" x14ac:dyDescent="0.25">
      <c r="A603" s="52" t="s">
        <v>372</v>
      </c>
      <c r="B603" s="53"/>
      <c r="C603" s="50"/>
      <c r="D603" s="50"/>
      <c r="E603" s="50"/>
      <c r="F603" s="50"/>
      <c r="G603" s="50"/>
      <c r="H603" s="50"/>
      <c r="I603" s="50"/>
      <c r="J603" s="50"/>
      <c r="K603" s="50"/>
      <c r="L603" s="50"/>
      <c r="M603" s="50"/>
      <c r="N603" s="50"/>
      <c r="O603" s="50"/>
      <c r="P603" s="50"/>
      <c r="Q603" s="50"/>
      <c r="R603" s="50"/>
    </row>
    <row r="604" spans="1:18" x14ac:dyDescent="0.25">
      <c r="A604" s="52" t="s">
        <v>383</v>
      </c>
      <c r="B604" s="53"/>
      <c r="C604" s="68">
        <v>5131</v>
      </c>
      <c r="D604" s="50">
        <v>8414</v>
      </c>
      <c r="E604" s="50">
        <v>6969</v>
      </c>
      <c r="F604" s="50">
        <v>13948</v>
      </c>
      <c r="G604" s="50">
        <v>9556</v>
      </c>
      <c r="H604" s="50">
        <v>11900</v>
      </c>
      <c r="I604" s="50">
        <v>12192.5</v>
      </c>
      <c r="J604" s="50">
        <v>12497.215</v>
      </c>
      <c r="K604" s="50">
        <v>12810.823504999998</v>
      </c>
      <c r="L604" s="50">
        <v>13130.950249464999</v>
      </c>
      <c r="M604" s="50">
        <v>13455.711653567778</v>
      </c>
      <c r="N604" s="50">
        <v>13789.974665336111</v>
      </c>
      <c r="O604" s="50">
        <v>14139.738956934594</v>
      </c>
      <c r="P604" s="50">
        <v>14499.886519868773</v>
      </c>
      <c r="Q604" s="50">
        <v>14866.250550773908</v>
      </c>
      <c r="R604" s="50">
        <v>15241.935290561847</v>
      </c>
    </row>
    <row r="605" spans="1:18" x14ac:dyDescent="0.25">
      <c r="A605" s="43" t="s">
        <v>303</v>
      </c>
      <c r="C605" s="77">
        <v>122</v>
      </c>
      <c r="D605" s="100">
        <v>122</v>
      </c>
      <c r="E605" s="100">
        <v>0</v>
      </c>
      <c r="F605" s="100">
        <v>0</v>
      </c>
      <c r="G605" s="100">
        <v>0</v>
      </c>
      <c r="H605" s="100">
        <v>0</v>
      </c>
      <c r="I605" s="100">
        <v>0</v>
      </c>
      <c r="J605" s="100">
        <v>0</v>
      </c>
      <c r="K605" s="100">
        <v>0</v>
      </c>
      <c r="L605" s="100">
        <v>0</v>
      </c>
      <c r="M605" s="100">
        <v>0</v>
      </c>
      <c r="N605" s="100">
        <v>0</v>
      </c>
      <c r="O605" s="100">
        <v>0</v>
      </c>
      <c r="P605" s="100">
        <v>0</v>
      </c>
      <c r="Q605" s="100">
        <v>0</v>
      </c>
      <c r="R605" s="100">
        <v>0</v>
      </c>
    </row>
    <row r="606" spans="1:18" x14ac:dyDescent="0.25">
      <c r="A606" s="59" t="s">
        <v>384</v>
      </c>
      <c r="C606" s="77"/>
      <c r="D606" s="100"/>
      <c r="E606" s="101">
        <v>269</v>
      </c>
      <c r="F606" s="101">
        <v>269</v>
      </c>
      <c r="G606" s="101">
        <v>269</v>
      </c>
      <c r="H606" s="101">
        <v>280</v>
      </c>
      <c r="I606" s="101">
        <v>290</v>
      </c>
      <c r="J606" s="101">
        <v>290</v>
      </c>
      <c r="K606" s="101">
        <v>300</v>
      </c>
      <c r="L606" s="101">
        <v>310</v>
      </c>
      <c r="M606" s="101">
        <v>310</v>
      </c>
      <c r="N606" s="101">
        <v>320</v>
      </c>
      <c r="O606" s="101">
        <v>330</v>
      </c>
      <c r="P606" s="101">
        <v>340</v>
      </c>
      <c r="Q606" s="101">
        <v>340</v>
      </c>
      <c r="R606" s="101">
        <v>340</v>
      </c>
    </row>
    <row r="607" spans="1:18" x14ac:dyDescent="0.25">
      <c r="A607" s="52" t="s">
        <v>385</v>
      </c>
      <c r="B607" s="53"/>
      <c r="C607" s="59">
        <v>5830</v>
      </c>
      <c r="D607" s="50">
        <v>8391</v>
      </c>
      <c r="E607" s="50">
        <v>9338</v>
      </c>
      <c r="F607" s="50">
        <v>20523</v>
      </c>
      <c r="G607" s="50">
        <v>10765</v>
      </c>
      <c r="H607" s="50">
        <v>16470</v>
      </c>
      <c r="I607" s="54">
        <v>16904.949999999997</v>
      </c>
      <c r="J607" s="54">
        <v>17349.432950000002</v>
      </c>
      <c r="K607" s="54">
        <v>17806.30977955</v>
      </c>
      <c r="L607" s="54">
        <v>18268.342836167139</v>
      </c>
      <c r="M607" s="54">
        <v>18735.390462529234</v>
      </c>
      <c r="N607" s="54">
        <v>19223.248402235491</v>
      </c>
      <c r="O607" s="54">
        <v>19740.998122095269</v>
      </c>
      <c r="P607" s="54">
        <v>20273.550010441759</v>
      </c>
      <c r="Q607" s="54">
        <v>20812.80881599593</v>
      </c>
      <c r="R607" s="54">
        <v>21367.39260834951</v>
      </c>
    </row>
    <row r="608" spans="1:18" x14ac:dyDescent="0.25">
      <c r="A608" s="43" t="s">
        <v>303</v>
      </c>
      <c r="C608" s="77">
        <v>16615</v>
      </c>
      <c r="D608" s="74">
        <v>16615</v>
      </c>
      <c r="E608" s="74">
        <v>16615</v>
      </c>
      <c r="F608" s="102">
        <v>16615</v>
      </c>
      <c r="G608" s="71">
        <v>16615</v>
      </c>
      <c r="H608" s="73">
        <v>17300</v>
      </c>
      <c r="I608" s="73">
        <v>17670</v>
      </c>
      <c r="J608" s="73">
        <v>18080</v>
      </c>
      <c r="K608" s="73">
        <v>18500</v>
      </c>
      <c r="L608" s="73">
        <v>18930</v>
      </c>
      <c r="M608" s="73">
        <v>19330</v>
      </c>
      <c r="N608" s="73">
        <v>19760</v>
      </c>
      <c r="O608" s="73">
        <v>20250</v>
      </c>
      <c r="P608" s="73">
        <v>20750</v>
      </c>
      <c r="Q608" s="73">
        <v>20750</v>
      </c>
      <c r="R608" s="73">
        <v>20750</v>
      </c>
    </row>
    <row r="609" spans="1:18" x14ac:dyDescent="0.25">
      <c r="A609" s="59" t="s">
        <v>384</v>
      </c>
      <c r="C609" s="77"/>
      <c r="D609" s="81">
        <v>173</v>
      </c>
      <c r="E609" s="81">
        <v>412</v>
      </c>
      <c r="F609" s="81">
        <v>412</v>
      </c>
      <c r="G609" s="81">
        <v>412</v>
      </c>
      <c r="H609" s="81">
        <v>430</v>
      </c>
      <c r="I609" s="81">
        <v>440</v>
      </c>
      <c r="J609" s="101">
        <v>450</v>
      </c>
      <c r="K609" s="101">
        <v>460</v>
      </c>
      <c r="L609" s="101">
        <v>470</v>
      </c>
      <c r="M609" s="101">
        <v>480</v>
      </c>
      <c r="N609" s="101">
        <v>490</v>
      </c>
      <c r="O609" s="101">
        <v>500</v>
      </c>
      <c r="P609" s="101">
        <v>520</v>
      </c>
      <c r="Q609" s="101">
        <v>520</v>
      </c>
      <c r="R609" s="101">
        <v>520</v>
      </c>
    </row>
    <row r="610" spans="1:18" x14ac:dyDescent="0.25">
      <c r="A610" s="59"/>
      <c r="C610" s="77"/>
      <c r="D610" s="81"/>
      <c r="E610" s="81"/>
      <c r="F610" s="81"/>
      <c r="G610" s="81">
        <v>0</v>
      </c>
      <c r="H610" s="81"/>
      <c r="I610" s="81"/>
      <c r="J610" s="81"/>
      <c r="K610" s="101"/>
      <c r="L610" s="101"/>
      <c r="M610" s="101"/>
      <c r="N610" s="101"/>
      <c r="O610" s="101"/>
      <c r="P610" s="101"/>
      <c r="Q610" s="101"/>
      <c r="R610" s="101"/>
    </row>
    <row r="611" spans="1:18" x14ac:dyDescent="0.25">
      <c r="A611" s="43" t="s">
        <v>375</v>
      </c>
      <c r="C611" s="59"/>
      <c r="D611" s="50"/>
      <c r="E611" s="81"/>
      <c r="F611" s="81"/>
      <c r="G611" s="81">
        <v>0</v>
      </c>
      <c r="H611" s="81"/>
      <c r="I611" s="81"/>
      <c r="J611" s="81"/>
      <c r="K611" s="81"/>
      <c r="L611" s="81"/>
      <c r="M611" s="81"/>
      <c r="N611" s="81"/>
      <c r="O611" s="81"/>
      <c r="P611" s="81"/>
      <c r="Q611" s="81"/>
      <c r="R611" s="81"/>
    </row>
    <row r="612" spans="1:18" x14ac:dyDescent="0.25">
      <c r="A612" s="52" t="s">
        <v>386</v>
      </c>
      <c r="B612" s="53"/>
      <c r="C612" s="59">
        <v>15000</v>
      </c>
      <c r="D612" s="54">
        <v>15000</v>
      </c>
      <c r="E612" s="54">
        <v>15000</v>
      </c>
      <c r="F612" s="54">
        <v>15000</v>
      </c>
      <c r="G612" s="54">
        <v>15000</v>
      </c>
      <c r="H612" s="54">
        <v>15000</v>
      </c>
      <c r="I612" s="54">
        <f>H612*1.023</f>
        <v>15344.999999999998</v>
      </c>
      <c r="J612" s="54">
        <f t="shared" ref="J612:K612" si="448">I612*1.024</f>
        <v>15713.279999999999</v>
      </c>
      <c r="K612" s="54">
        <f t="shared" si="448"/>
        <v>16090.398719999999</v>
      </c>
      <c r="L612" s="54">
        <f t="shared" ref="L612" si="449">K612*1.023</f>
        <v>16460.477890559996</v>
      </c>
      <c r="M612" s="54">
        <f t="shared" ref="M612" si="450">L612*1.022</f>
        <v>16822.608404152317</v>
      </c>
      <c r="N612" s="54">
        <f t="shared" ref="N612" si="451">M612*1.023</f>
        <v>17209.528397447819</v>
      </c>
      <c r="O612" s="54">
        <f t="shared" ref="O612:P612" si="452">N612*1.025</f>
        <v>17639.766607384012</v>
      </c>
      <c r="P612" s="54">
        <f t="shared" si="452"/>
        <v>18080.76077256861</v>
      </c>
      <c r="Q612" s="54">
        <f t="shared" ref="Q612:R612" si="453">P612*1.024</f>
        <v>18514.699031110256</v>
      </c>
      <c r="R612" s="54">
        <f t="shared" si="453"/>
        <v>18959.051807856904</v>
      </c>
    </row>
    <row r="613" spans="1:18" x14ac:dyDescent="0.25">
      <c r="A613" s="43" t="s">
        <v>377</v>
      </c>
      <c r="C613" s="59"/>
      <c r="D613" s="50"/>
      <c r="E613" s="50"/>
      <c r="F613" s="50"/>
      <c r="G613" s="50"/>
      <c r="H613" s="50"/>
      <c r="I613" s="50"/>
      <c r="J613" s="50"/>
      <c r="K613" s="50"/>
      <c r="L613" s="50"/>
      <c r="M613" s="50"/>
      <c r="N613" s="50"/>
      <c r="O613" s="50"/>
      <c r="P613" s="50"/>
      <c r="Q613" s="50"/>
      <c r="R613" s="50"/>
    </row>
    <row r="614" spans="1:18" x14ac:dyDescent="0.25">
      <c r="A614" s="52" t="s">
        <v>387</v>
      </c>
      <c r="B614" s="53"/>
      <c r="C614" s="59">
        <v>3256</v>
      </c>
      <c r="D614" s="50">
        <v>2031</v>
      </c>
      <c r="E614" s="50">
        <v>5787</v>
      </c>
      <c r="F614" s="50">
        <v>4423</v>
      </c>
      <c r="G614" s="50">
        <v>2417</v>
      </c>
      <c r="H614" s="50">
        <v>5200</v>
      </c>
      <c r="I614" s="50">
        <v>5352.7999999999993</v>
      </c>
      <c r="J614" s="50">
        <v>5508.0977999999996</v>
      </c>
      <c r="K614" s="50">
        <v>5669.265007199996</v>
      </c>
      <c r="L614" s="50">
        <v>5832.3791925156002</v>
      </c>
      <c r="M614" s="50">
        <v>5996.0780671356442</v>
      </c>
      <c r="N614" s="50">
        <v>6168.5132419916554</v>
      </c>
      <c r="O614" s="50">
        <v>6356.4799552819713</v>
      </c>
      <c r="P614" s="50">
        <v>6551.7591423815538</v>
      </c>
      <c r="Q614" s="50">
        <v>6748.966693819184</v>
      </c>
      <c r="R614" s="50">
        <v>6952.8239484637561</v>
      </c>
    </row>
    <row r="615" spans="1:18" x14ac:dyDescent="0.25">
      <c r="A615" s="43" t="s">
        <v>302</v>
      </c>
      <c r="B615" s="103"/>
      <c r="C615" s="52">
        <v>0</v>
      </c>
      <c r="D615" s="50"/>
      <c r="E615" s="50"/>
      <c r="F615" s="50"/>
      <c r="G615" s="50">
        <v>0</v>
      </c>
      <c r="H615" s="50"/>
      <c r="I615" s="50"/>
      <c r="J615" s="50"/>
      <c r="K615" s="50"/>
      <c r="L615" s="50"/>
      <c r="M615" s="50"/>
      <c r="N615" s="50"/>
      <c r="O615" s="50"/>
      <c r="P615" s="50"/>
      <c r="Q615" s="50"/>
      <c r="R615" s="50"/>
    </row>
    <row r="616" spans="1:18" x14ac:dyDescent="0.25">
      <c r="A616" s="43" t="s">
        <v>388</v>
      </c>
      <c r="C616" s="74">
        <v>10872</v>
      </c>
      <c r="D616" s="74">
        <v>13069</v>
      </c>
      <c r="E616" s="72">
        <v>13069</v>
      </c>
      <c r="F616" s="74">
        <v>13069</v>
      </c>
      <c r="G616" s="73">
        <v>13069</v>
      </c>
      <c r="H616" s="73">
        <v>13610</v>
      </c>
      <c r="I616" s="73">
        <v>13900</v>
      </c>
      <c r="J616" s="73">
        <v>14220</v>
      </c>
      <c r="K616" s="73">
        <v>14560</v>
      </c>
      <c r="L616" s="73">
        <v>14890</v>
      </c>
      <c r="M616" s="73">
        <v>15200</v>
      </c>
      <c r="N616" s="73">
        <v>15540</v>
      </c>
      <c r="O616" s="73">
        <v>15930</v>
      </c>
      <c r="P616" s="73">
        <v>16330</v>
      </c>
      <c r="Q616" s="73">
        <v>16330</v>
      </c>
      <c r="R616" s="73">
        <v>16330</v>
      </c>
    </row>
    <row r="617" spans="1:18" x14ac:dyDescent="0.25">
      <c r="A617" s="52" t="s">
        <v>389</v>
      </c>
      <c r="C617" s="81">
        <v>666</v>
      </c>
      <c r="D617" s="81">
        <v>1323</v>
      </c>
      <c r="E617" s="81">
        <v>1358</v>
      </c>
      <c r="F617" s="81">
        <v>1358</v>
      </c>
      <c r="G617" s="79">
        <v>1358</v>
      </c>
      <c r="H617" s="101">
        <v>1410</v>
      </c>
      <c r="I617" s="101">
        <v>1450</v>
      </c>
      <c r="J617" s="101">
        <v>1470</v>
      </c>
      <c r="K617" s="101">
        <v>1510</v>
      </c>
      <c r="L617" s="101">
        <v>1550</v>
      </c>
      <c r="M617" s="101">
        <v>1580</v>
      </c>
      <c r="N617" s="101">
        <v>1610</v>
      </c>
      <c r="O617" s="101">
        <v>1650</v>
      </c>
      <c r="P617" s="101">
        <v>1700</v>
      </c>
      <c r="Q617" s="101">
        <v>1700</v>
      </c>
      <c r="R617" s="101">
        <v>1700</v>
      </c>
    </row>
    <row r="618" spans="1:18" x14ac:dyDescent="0.25">
      <c r="A618" s="52" t="s">
        <v>390</v>
      </c>
      <c r="B618" s="53"/>
      <c r="C618" s="59">
        <v>0</v>
      </c>
      <c r="D618" s="54">
        <v>0</v>
      </c>
      <c r="E618" s="54">
        <v>0</v>
      </c>
      <c r="F618" s="50">
        <v>0</v>
      </c>
      <c r="G618" s="50">
        <v>0</v>
      </c>
      <c r="H618" s="50">
        <f>300-300</f>
        <v>0</v>
      </c>
      <c r="I618" s="54">
        <f>H618*1.02</f>
        <v>0</v>
      </c>
      <c r="J618" s="54">
        <f t="shared" ref="J618" si="454">I618*1.021</f>
        <v>0</v>
      </c>
      <c r="K618" s="54">
        <f t="shared" ref="K618" si="455">J618*1.023</f>
        <v>0</v>
      </c>
      <c r="L618" s="54">
        <f t="shared" ref="L618" si="456">K618*1.024</f>
        <v>0</v>
      </c>
      <c r="M618" s="54">
        <f t="shared" ref="M618" si="457">L618*1.023</f>
        <v>0</v>
      </c>
      <c r="N618" s="54">
        <f t="shared" ref="N618" si="458">M618*1.021</f>
        <v>0</v>
      </c>
      <c r="O618" s="54">
        <f t="shared" ref="O618" si="459">N618*1.022</f>
        <v>0</v>
      </c>
      <c r="P618" s="54">
        <f t="shared" ref="P618:R618" si="460">O618*1.025</f>
        <v>0</v>
      </c>
      <c r="Q618" s="54">
        <f t="shared" si="460"/>
        <v>0</v>
      </c>
      <c r="R618" s="54">
        <f t="shared" si="460"/>
        <v>0</v>
      </c>
    </row>
    <row r="619" spans="1:18" x14ac:dyDescent="0.25">
      <c r="A619" s="52" t="s">
        <v>379</v>
      </c>
      <c r="B619" s="53"/>
      <c r="C619" s="59">
        <v>6379</v>
      </c>
      <c r="D619" s="50">
        <v>6447</v>
      </c>
      <c r="E619" s="50">
        <v>5259</v>
      </c>
      <c r="F619" s="54">
        <v>8140</v>
      </c>
      <c r="G619" s="50">
        <v>7728</v>
      </c>
      <c r="H619" s="54">
        <v>7080</v>
      </c>
      <c r="I619" s="50">
        <v>7287.5999999999985</v>
      </c>
      <c r="J619" s="50">
        <v>7498.7142999999996</v>
      </c>
      <c r="K619" s="50">
        <v>7718.2617857000005</v>
      </c>
      <c r="L619" s="50">
        <v>7942.9910699460997</v>
      </c>
      <c r="M619" s="50">
        <v>8170.3761715402507</v>
      </c>
      <c r="N619" s="50">
        <v>8407.0449162029763</v>
      </c>
      <c r="O619" s="50">
        <v>8661.0761155320652</v>
      </c>
      <c r="P619" s="50">
        <v>8925.5020723955531</v>
      </c>
      <c r="Q619" s="50">
        <v>9194.6933712053724</v>
      </c>
      <c r="R619" s="50">
        <v>9472.8769154541296</v>
      </c>
    </row>
    <row r="620" spans="1:18" x14ac:dyDescent="0.25">
      <c r="A620" s="43" t="s">
        <v>391</v>
      </c>
      <c r="C620" s="102">
        <v>9281</v>
      </c>
      <c r="D620" s="74">
        <v>10657</v>
      </c>
      <c r="E620" s="74">
        <v>10657</v>
      </c>
      <c r="F620" s="102">
        <v>10657</v>
      </c>
      <c r="G620" s="73">
        <v>10657</v>
      </c>
      <c r="H620" s="73">
        <v>11100</v>
      </c>
      <c r="I620" s="73">
        <v>11330</v>
      </c>
      <c r="J620" s="73">
        <v>11590</v>
      </c>
      <c r="K620" s="73">
        <v>11870</v>
      </c>
      <c r="L620" s="73">
        <v>12140</v>
      </c>
      <c r="M620" s="73">
        <v>12400</v>
      </c>
      <c r="N620" s="73">
        <v>12670</v>
      </c>
      <c r="O620" s="73">
        <v>12990</v>
      </c>
      <c r="P620" s="73">
        <v>13310</v>
      </c>
      <c r="Q620" s="73">
        <v>13310</v>
      </c>
      <c r="R620" s="73">
        <v>13310</v>
      </c>
    </row>
    <row r="621" spans="1:18" x14ac:dyDescent="0.25">
      <c r="A621" s="52" t="s">
        <v>389</v>
      </c>
      <c r="C621" s="80">
        <v>65</v>
      </c>
      <c r="D621" s="80">
        <v>65</v>
      </c>
      <c r="E621" s="81">
        <v>246</v>
      </c>
      <c r="F621" s="81">
        <v>246</v>
      </c>
      <c r="G621" s="79">
        <v>246</v>
      </c>
      <c r="H621" s="101">
        <v>260</v>
      </c>
      <c r="I621" s="101">
        <v>260</v>
      </c>
      <c r="J621" s="101">
        <v>270</v>
      </c>
      <c r="K621" s="101">
        <v>270</v>
      </c>
      <c r="L621" s="101">
        <v>280</v>
      </c>
      <c r="M621" s="101">
        <v>290</v>
      </c>
      <c r="N621" s="101">
        <v>290</v>
      </c>
      <c r="O621" s="101">
        <v>300</v>
      </c>
      <c r="P621" s="101">
        <v>310</v>
      </c>
      <c r="Q621" s="101">
        <v>310</v>
      </c>
      <c r="R621" s="101">
        <v>310</v>
      </c>
    </row>
    <row r="622" spans="1:18" x14ac:dyDescent="0.25">
      <c r="A622" s="43" t="s">
        <v>380</v>
      </c>
      <c r="C622" s="59"/>
      <c r="D622" s="50"/>
      <c r="E622" s="50"/>
      <c r="F622" s="50"/>
      <c r="G622" s="50">
        <v>0</v>
      </c>
      <c r="H622" s="50"/>
      <c r="I622" s="50"/>
      <c r="J622" s="50"/>
      <c r="K622" s="50"/>
      <c r="L622" s="50"/>
      <c r="M622" s="50"/>
      <c r="N622" s="50"/>
      <c r="O622" s="50"/>
      <c r="P622" s="50"/>
      <c r="Q622" s="50"/>
      <c r="R622" s="50"/>
    </row>
    <row r="623" spans="1:18" x14ac:dyDescent="0.25">
      <c r="A623" s="52" t="s">
        <v>392</v>
      </c>
      <c r="B623" s="53"/>
      <c r="C623" s="68">
        <v>14611</v>
      </c>
      <c r="D623" s="50">
        <v>17936</v>
      </c>
      <c r="E623" s="50">
        <v>19457</v>
      </c>
      <c r="F623">
        <v>18560</v>
      </c>
      <c r="G623" s="43">
        <v>18848</v>
      </c>
      <c r="H623" s="43">
        <v>25000</v>
      </c>
      <c r="I623" s="50">
        <v>25627.199999999993</v>
      </c>
      <c r="J623" s="50">
        <v>26300.784099999997</v>
      </c>
      <c r="K623" s="50">
        <v>27005.685035899995</v>
      </c>
      <c r="L623" s="50">
        <v>27732.025174050686</v>
      </c>
      <c r="M623" s="50">
        <v>28459.976353522346</v>
      </c>
      <c r="N623" s="50">
        <v>29205.714393663082</v>
      </c>
      <c r="O623" s="50">
        <v>30011.330832867548</v>
      </c>
      <c r="P623" s="50">
        <v>30855.208345927509</v>
      </c>
      <c r="Q623" s="50">
        <v>31710.744218453197</v>
      </c>
      <c r="R623" s="50">
        <v>32591.077195258738</v>
      </c>
    </row>
    <row r="624" spans="1:18" x14ac:dyDescent="0.25">
      <c r="A624" s="43" t="s">
        <v>302</v>
      </c>
      <c r="C624" s="69">
        <v>227</v>
      </c>
      <c r="D624" s="70">
        <v>227</v>
      </c>
      <c r="E624" s="70">
        <v>227</v>
      </c>
      <c r="F624" s="69">
        <v>344</v>
      </c>
      <c r="G624" s="104">
        <v>344</v>
      </c>
      <c r="H624" s="104">
        <v>240</v>
      </c>
      <c r="I624" s="104">
        <v>240</v>
      </c>
      <c r="J624" s="104">
        <v>250</v>
      </c>
      <c r="K624" s="104">
        <v>250</v>
      </c>
      <c r="L624" s="70">
        <v>260</v>
      </c>
      <c r="M624" s="70">
        <v>260</v>
      </c>
      <c r="N624" s="70">
        <v>270</v>
      </c>
      <c r="O624" s="70">
        <v>280</v>
      </c>
      <c r="P624" s="70">
        <v>280</v>
      </c>
      <c r="Q624" s="70">
        <v>280</v>
      </c>
      <c r="R624" s="70">
        <v>280</v>
      </c>
    </row>
    <row r="625" spans="1:18" x14ac:dyDescent="0.25">
      <c r="A625" s="43" t="s">
        <v>303</v>
      </c>
      <c r="C625" s="74">
        <v>6098</v>
      </c>
      <c r="D625" s="74">
        <v>6098</v>
      </c>
      <c r="E625" s="72">
        <v>6309</v>
      </c>
      <c r="F625" s="74">
        <v>6309</v>
      </c>
      <c r="G625" s="105">
        <v>6309</v>
      </c>
      <c r="H625" s="73">
        <v>6570</v>
      </c>
      <c r="I625" s="73">
        <v>6710</v>
      </c>
      <c r="J625" s="73">
        <v>6860</v>
      </c>
      <c r="K625" s="73">
        <v>7030</v>
      </c>
      <c r="L625" s="73">
        <v>7190</v>
      </c>
      <c r="M625" s="73">
        <v>7340</v>
      </c>
      <c r="N625" s="73">
        <v>7500</v>
      </c>
      <c r="O625" s="73">
        <v>7690</v>
      </c>
      <c r="P625" s="73">
        <v>7880</v>
      </c>
      <c r="Q625" s="73">
        <v>7880</v>
      </c>
      <c r="R625" s="73">
        <v>7880</v>
      </c>
    </row>
    <row r="626" spans="1:18" x14ac:dyDescent="0.25">
      <c r="A626" s="52" t="s">
        <v>393</v>
      </c>
      <c r="B626" s="53"/>
      <c r="C626" s="68">
        <v>7380</v>
      </c>
      <c r="D626" s="50">
        <v>7792</v>
      </c>
      <c r="E626" s="50">
        <v>8767</v>
      </c>
      <c r="F626" s="50">
        <v>8621</v>
      </c>
      <c r="G626" s="50">
        <v>8242</v>
      </c>
      <c r="H626" s="50">
        <v>11230</v>
      </c>
      <c r="I626" s="50">
        <v>11517.55</v>
      </c>
      <c r="J626" s="50">
        <v>11821.797349999997</v>
      </c>
      <c r="K626" s="50">
        <v>12138.28921015</v>
      </c>
      <c r="L626" s="50">
        <v>12460.329893970946</v>
      </c>
      <c r="M626" s="50">
        <v>12781.994424948363</v>
      </c>
      <c r="N626" s="50">
        <v>13116.033373758466</v>
      </c>
      <c r="O626" s="50">
        <v>13479.252715617989</v>
      </c>
      <c r="P626" s="50">
        <v>13857.483719792199</v>
      </c>
      <c r="Q626" s="50">
        <v>14238.716975562216</v>
      </c>
      <c r="R626" s="50">
        <v>14631.103727019752</v>
      </c>
    </row>
    <row r="627" spans="1:18" x14ac:dyDescent="0.25">
      <c r="A627" s="43" t="s">
        <v>302</v>
      </c>
      <c r="C627" s="69">
        <v>182</v>
      </c>
      <c r="D627" s="69">
        <v>182</v>
      </c>
      <c r="E627" s="70">
        <v>182</v>
      </c>
      <c r="F627" s="69">
        <v>182</v>
      </c>
      <c r="G627" s="104">
        <v>182</v>
      </c>
      <c r="H627" s="104">
        <v>190</v>
      </c>
      <c r="I627" s="104">
        <v>190</v>
      </c>
      <c r="J627" s="104">
        <v>200</v>
      </c>
      <c r="K627" s="104">
        <v>200</v>
      </c>
      <c r="L627" s="104">
        <v>210</v>
      </c>
      <c r="M627" s="70">
        <v>210</v>
      </c>
      <c r="N627" s="70">
        <v>220</v>
      </c>
      <c r="O627" s="70">
        <v>220</v>
      </c>
      <c r="P627" s="70">
        <v>230</v>
      </c>
      <c r="Q627" s="70">
        <v>230</v>
      </c>
      <c r="R627" s="70">
        <v>230</v>
      </c>
    </row>
    <row r="628" spans="1:18" x14ac:dyDescent="0.25">
      <c r="A628" s="43" t="s">
        <v>303</v>
      </c>
      <c r="C628" s="74">
        <v>5832</v>
      </c>
      <c r="D628" s="74">
        <v>5832</v>
      </c>
      <c r="E628" s="74">
        <v>5832</v>
      </c>
      <c r="F628" s="74">
        <v>5832</v>
      </c>
      <c r="G628" s="73">
        <v>5832</v>
      </c>
      <c r="H628" s="73">
        <v>6070</v>
      </c>
      <c r="I628" s="73">
        <v>6200</v>
      </c>
      <c r="J628" s="73">
        <v>6340</v>
      </c>
      <c r="K628" s="73">
        <v>6500</v>
      </c>
      <c r="L628" s="73">
        <v>6650</v>
      </c>
      <c r="M628" s="73">
        <v>6780</v>
      </c>
      <c r="N628" s="73">
        <v>6930</v>
      </c>
      <c r="O628" s="77">
        <v>7110</v>
      </c>
      <c r="P628" s="77">
        <v>7290</v>
      </c>
      <c r="Q628" s="77">
        <v>7290</v>
      </c>
      <c r="R628" s="77">
        <v>7290</v>
      </c>
    </row>
    <row r="629" spans="1:18" x14ac:dyDescent="0.25">
      <c r="C629" s="50"/>
      <c r="D629" s="50"/>
      <c r="E629" s="50"/>
      <c r="F629" s="50"/>
      <c r="G629" s="50"/>
      <c r="H629" s="50"/>
      <c r="I629" s="50"/>
      <c r="J629" s="50"/>
      <c r="K629" s="50"/>
      <c r="L629" s="50"/>
      <c r="M629" s="50"/>
      <c r="N629" s="50"/>
      <c r="O629" s="50"/>
      <c r="P629" s="50"/>
      <c r="Q629" s="50"/>
      <c r="R629" s="50"/>
    </row>
    <row r="630" spans="1:18" x14ac:dyDescent="0.25">
      <c r="A630" s="41" t="s">
        <v>230</v>
      </c>
      <c r="B630" s="44"/>
      <c r="C630" s="51">
        <f t="shared" ref="C630" si="461">SUM(C604:C629)</f>
        <v>107547</v>
      </c>
      <c r="D630" s="51">
        <f t="shared" ref="D630:R630" si="462">SUM(D604:D629)</f>
        <v>120374</v>
      </c>
      <c r="E630" s="51">
        <f t="shared" si="462"/>
        <v>125753</v>
      </c>
      <c r="F630" s="51">
        <f t="shared" si="462"/>
        <v>144508</v>
      </c>
      <c r="G630" s="51">
        <f t="shared" si="462"/>
        <v>127849</v>
      </c>
      <c r="H630" s="51">
        <f t="shared" si="462"/>
        <v>149340</v>
      </c>
      <c r="I630" s="51">
        <f t="shared" si="462"/>
        <v>152907.59999999998</v>
      </c>
      <c r="J630" s="51">
        <f t="shared" si="462"/>
        <v>156709.32149999999</v>
      </c>
      <c r="K630" s="51">
        <f t="shared" si="462"/>
        <v>160689.03304349998</v>
      </c>
      <c r="L630" s="51">
        <f t="shared" si="462"/>
        <v>164707.49630667549</v>
      </c>
      <c r="M630" s="51">
        <f t="shared" si="462"/>
        <v>168602.13553739592</v>
      </c>
      <c r="N630" s="51">
        <f t="shared" si="462"/>
        <v>172720.0573906356</v>
      </c>
      <c r="O630" s="51">
        <f t="shared" si="462"/>
        <v>177278.64330571346</v>
      </c>
      <c r="P630" s="51">
        <f t="shared" si="462"/>
        <v>181984.15058337594</v>
      </c>
      <c r="Q630" s="51">
        <f t="shared" si="462"/>
        <v>185026.87965692006</v>
      </c>
      <c r="R630" s="51">
        <f t="shared" si="462"/>
        <v>188156.26149296464</v>
      </c>
    </row>
    <row r="631" spans="1:18" x14ac:dyDescent="0.25">
      <c r="C631" s="50"/>
      <c r="D631" s="50"/>
      <c r="E631" s="50"/>
      <c r="F631" s="50"/>
      <c r="G631" s="50"/>
      <c r="H631" s="50"/>
      <c r="I631" s="50"/>
      <c r="J631" s="50"/>
      <c r="K631" s="50"/>
      <c r="L631" s="50"/>
      <c r="M631" s="50"/>
      <c r="N631" s="50"/>
      <c r="O631" s="50"/>
      <c r="P631" s="50"/>
      <c r="Q631" s="50"/>
      <c r="R631" s="50"/>
    </row>
    <row r="632" spans="1:18" x14ac:dyDescent="0.25">
      <c r="A632" s="41" t="s">
        <v>251</v>
      </c>
      <c r="B632" s="44"/>
      <c r="C632" s="50"/>
      <c r="D632" s="50"/>
      <c r="E632" s="50"/>
      <c r="F632" s="50"/>
      <c r="G632" s="50"/>
      <c r="H632" s="50"/>
      <c r="I632" s="50"/>
      <c r="J632" s="50"/>
      <c r="K632" s="50"/>
      <c r="L632" s="50"/>
      <c r="M632" s="50"/>
      <c r="N632" s="50"/>
      <c r="O632" s="50"/>
      <c r="P632" s="50"/>
      <c r="Q632" s="50"/>
      <c r="R632" s="50"/>
    </row>
    <row r="633" spans="1:18" x14ac:dyDescent="0.25">
      <c r="C633" s="50"/>
      <c r="D633" s="50"/>
      <c r="E633" s="50"/>
      <c r="F633" s="50"/>
      <c r="G633" s="50"/>
      <c r="H633" s="50"/>
      <c r="I633" s="50"/>
      <c r="J633" s="50"/>
      <c r="K633" s="50"/>
      <c r="L633" s="50"/>
      <c r="M633" s="50"/>
      <c r="N633" s="50"/>
      <c r="O633" s="50"/>
      <c r="P633" s="50"/>
      <c r="Q633" s="50"/>
      <c r="R633" s="50"/>
    </row>
    <row r="634" spans="1:18" x14ac:dyDescent="0.25">
      <c r="A634" s="43" t="s">
        <v>394</v>
      </c>
      <c r="C634" s="50">
        <v>0</v>
      </c>
      <c r="D634" s="54">
        <f>C634*1.025</f>
        <v>0</v>
      </c>
      <c r="E634" s="54">
        <f>D634*1.025</f>
        <v>0</v>
      </c>
      <c r="F634" s="54">
        <v>0</v>
      </c>
      <c r="G634" s="54">
        <v>0</v>
      </c>
      <c r="H634" s="54">
        <v>0</v>
      </c>
      <c r="I634" s="54">
        <v>0</v>
      </c>
      <c r="J634" s="54">
        <v>0</v>
      </c>
      <c r="K634" s="54">
        <v>0</v>
      </c>
      <c r="L634" s="54">
        <v>0</v>
      </c>
      <c r="M634" s="54">
        <v>0</v>
      </c>
      <c r="N634" s="54">
        <v>0</v>
      </c>
      <c r="O634" s="54">
        <v>0</v>
      </c>
      <c r="P634" s="54">
        <v>0</v>
      </c>
      <c r="Q634" s="54">
        <f>P634*1.025</f>
        <v>0</v>
      </c>
      <c r="R634" s="54">
        <f>Q634*1.025</f>
        <v>0</v>
      </c>
    </row>
    <row r="635" spans="1:18" x14ac:dyDescent="0.25">
      <c r="C635" s="50"/>
      <c r="D635" s="50"/>
      <c r="E635" s="50"/>
      <c r="F635" s="50"/>
      <c r="G635" s="50"/>
      <c r="H635" s="50"/>
      <c r="I635" s="50"/>
      <c r="J635" s="50"/>
      <c r="K635" s="50"/>
      <c r="L635" s="50"/>
      <c r="M635" s="50"/>
      <c r="N635" s="50"/>
      <c r="O635" s="50"/>
      <c r="P635" s="50"/>
      <c r="Q635" s="50"/>
      <c r="R635" s="50"/>
    </row>
    <row r="636" spans="1:18" x14ac:dyDescent="0.25">
      <c r="A636" s="41" t="s">
        <v>254</v>
      </c>
      <c r="B636" s="44"/>
      <c r="C636" s="51">
        <f t="shared" ref="C636" si="463">SUM(C634:C635)</f>
        <v>0</v>
      </c>
      <c r="D636" s="51">
        <f t="shared" ref="D636:E636" si="464">SUM(D634:D635)</f>
        <v>0</v>
      </c>
      <c r="E636" s="51">
        <f t="shared" si="464"/>
        <v>0</v>
      </c>
      <c r="F636" s="51">
        <v>0</v>
      </c>
      <c r="G636" s="51">
        <v>0</v>
      </c>
      <c r="H636" s="51">
        <v>0</v>
      </c>
      <c r="I636" s="51">
        <v>0</v>
      </c>
      <c r="J636" s="51">
        <v>0</v>
      </c>
      <c r="K636" s="51">
        <v>0</v>
      </c>
      <c r="L636" s="51">
        <v>0</v>
      </c>
      <c r="M636" s="51">
        <v>0</v>
      </c>
      <c r="N636" s="51">
        <v>0</v>
      </c>
      <c r="O636" s="51">
        <v>0</v>
      </c>
      <c r="P636" s="51">
        <v>0</v>
      </c>
      <c r="Q636" s="51">
        <f>SUM(Q634:Q635)</f>
        <v>0</v>
      </c>
      <c r="R636" s="51">
        <f>SUM(R634:R635)</f>
        <v>0</v>
      </c>
    </row>
    <row r="637" spans="1:18" x14ac:dyDescent="0.25">
      <c r="A637" s="41"/>
      <c r="B637" s="44"/>
      <c r="C637" s="50"/>
      <c r="D637" s="50"/>
      <c r="E637" s="50"/>
      <c r="F637" s="50"/>
      <c r="G637" s="50"/>
      <c r="H637" s="50"/>
      <c r="I637" s="50"/>
      <c r="J637" s="50"/>
      <c r="K637" s="50"/>
      <c r="L637" s="50"/>
      <c r="M637" s="50"/>
      <c r="N637" s="50"/>
      <c r="O637" s="50"/>
      <c r="P637" s="50"/>
      <c r="Q637" s="50"/>
      <c r="R637" s="50"/>
    </row>
    <row r="638" spans="1:18" x14ac:dyDescent="0.25">
      <c r="A638" s="41" t="s">
        <v>171</v>
      </c>
      <c r="B638" s="44"/>
      <c r="C638" s="50"/>
      <c r="D638" s="50"/>
      <c r="E638" s="50"/>
      <c r="F638" s="50"/>
      <c r="G638" s="50"/>
      <c r="H638" s="50"/>
      <c r="I638" s="50"/>
      <c r="J638" s="50"/>
      <c r="K638" s="50"/>
      <c r="L638" s="50"/>
      <c r="M638" s="50"/>
      <c r="N638" s="50"/>
      <c r="O638" s="50"/>
      <c r="P638" s="50"/>
      <c r="Q638" s="50"/>
      <c r="R638" s="50"/>
    </row>
    <row r="639" spans="1:18" x14ac:dyDescent="0.25">
      <c r="A639" s="41"/>
      <c r="B639" s="44"/>
      <c r="C639" s="50"/>
      <c r="D639" s="50"/>
      <c r="E639" s="50"/>
      <c r="F639" s="50"/>
      <c r="G639" s="50"/>
      <c r="H639" s="50"/>
      <c r="I639" s="50"/>
      <c r="J639" s="50"/>
      <c r="K639" s="50"/>
      <c r="L639" s="50"/>
      <c r="M639" s="50"/>
      <c r="N639" s="50"/>
      <c r="O639" s="50"/>
      <c r="P639" s="50"/>
      <c r="Q639" s="50"/>
      <c r="R639" s="50"/>
    </row>
    <row r="640" spans="1:18" x14ac:dyDescent="0.25">
      <c r="A640" s="41" t="s">
        <v>395</v>
      </c>
      <c r="B640" s="44"/>
      <c r="C640" s="50"/>
      <c r="D640" s="50"/>
      <c r="E640" s="50"/>
      <c r="F640" s="50"/>
      <c r="G640" s="50"/>
      <c r="H640" s="50"/>
      <c r="I640" s="50"/>
      <c r="J640" s="50"/>
      <c r="K640" s="50"/>
      <c r="L640" s="50"/>
      <c r="M640" s="50"/>
      <c r="N640" s="50"/>
      <c r="O640" s="50"/>
      <c r="P640" s="50"/>
      <c r="Q640" s="50"/>
      <c r="R640" s="50"/>
    </row>
    <row r="641" spans="1:18" x14ac:dyDescent="0.25">
      <c r="A641" s="83" t="s">
        <v>319</v>
      </c>
      <c r="B641" s="84" t="s">
        <v>317</v>
      </c>
      <c r="C641" s="50">
        <v>0</v>
      </c>
      <c r="D641" s="50">
        <v>0</v>
      </c>
      <c r="E641" s="50">
        <v>0</v>
      </c>
      <c r="F641" s="85"/>
      <c r="G641" s="50"/>
      <c r="H641" s="50"/>
      <c r="I641" s="50">
        <v>0</v>
      </c>
      <c r="J641" s="50">
        <v>0</v>
      </c>
      <c r="K641" s="50">
        <v>0</v>
      </c>
      <c r="L641" s="50">
        <v>0</v>
      </c>
      <c r="M641" s="50">
        <v>0</v>
      </c>
      <c r="N641" s="50">
        <v>0</v>
      </c>
      <c r="O641" s="50"/>
      <c r="P641" s="50"/>
      <c r="Q641" s="50"/>
      <c r="R641" s="50"/>
    </row>
    <row r="642" spans="1:18" x14ac:dyDescent="0.25">
      <c r="A642" s="106" t="s">
        <v>326</v>
      </c>
      <c r="B642" s="84"/>
      <c r="C642" s="59">
        <v>0</v>
      </c>
      <c r="D642" s="50"/>
      <c r="E642" s="50"/>
      <c r="F642" s="50"/>
      <c r="G642" s="50"/>
      <c r="H642" s="50"/>
      <c r="I642" s="50"/>
      <c r="J642" s="50"/>
      <c r="K642" s="50"/>
      <c r="L642" s="50"/>
      <c r="M642" s="50"/>
      <c r="N642" s="50"/>
      <c r="O642" s="50"/>
      <c r="P642" s="50"/>
      <c r="Q642" s="50"/>
      <c r="R642" s="50"/>
    </row>
    <row r="643" spans="1:18" x14ac:dyDescent="0.25">
      <c r="A643" s="93" t="s">
        <v>321</v>
      </c>
      <c r="B643" s="88" t="s">
        <v>330</v>
      </c>
      <c r="C643" s="50"/>
      <c r="D643" s="50"/>
      <c r="E643" s="50"/>
      <c r="F643" s="50"/>
      <c r="G643" s="50"/>
      <c r="H643" s="50"/>
      <c r="I643" s="50"/>
      <c r="J643" s="50"/>
      <c r="K643" s="50"/>
      <c r="L643" s="50"/>
      <c r="M643" s="50"/>
      <c r="N643" s="50"/>
      <c r="O643" s="50"/>
      <c r="P643" s="50"/>
      <c r="Q643" s="50"/>
      <c r="R643" s="50"/>
    </row>
    <row r="644" spans="1:18" x14ac:dyDescent="0.25">
      <c r="A644" s="93" t="s">
        <v>396</v>
      </c>
      <c r="B644" s="88" t="s">
        <v>330</v>
      </c>
      <c r="C644" s="50"/>
      <c r="D644" s="50"/>
      <c r="E644" s="50"/>
      <c r="F644" s="50"/>
      <c r="G644" s="50"/>
      <c r="H644" s="50"/>
      <c r="I644" s="50"/>
      <c r="J644" s="50"/>
      <c r="K644" s="50"/>
      <c r="L644" s="50"/>
      <c r="M644" s="50"/>
      <c r="N644" s="50"/>
      <c r="O644" s="50"/>
      <c r="P644" s="50"/>
      <c r="Q644" s="50"/>
      <c r="R644" s="50"/>
    </row>
    <row r="645" spans="1:18" x14ac:dyDescent="0.25">
      <c r="A645" s="93" t="s">
        <v>397</v>
      </c>
      <c r="B645" s="88" t="s">
        <v>330</v>
      </c>
      <c r="C645" s="50"/>
      <c r="D645" s="50"/>
      <c r="E645" s="50"/>
      <c r="F645" s="50"/>
      <c r="G645" s="50"/>
      <c r="H645" s="50"/>
      <c r="I645" s="50"/>
      <c r="J645" s="50"/>
      <c r="K645" s="50"/>
      <c r="L645" s="50"/>
      <c r="M645" s="50"/>
      <c r="N645" s="50"/>
      <c r="O645" s="50"/>
      <c r="P645" s="50"/>
      <c r="Q645" s="50"/>
      <c r="R645" s="50"/>
    </row>
    <row r="646" spans="1:18" x14ac:dyDescent="0.25">
      <c r="A646" s="86" t="s">
        <v>398</v>
      </c>
      <c r="B646" s="84" t="s">
        <v>317</v>
      </c>
      <c r="C646" s="50"/>
      <c r="D646" s="50"/>
      <c r="E646" s="50"/>
      <c r="F646" s="50">
        <v>1173</v>
      </c>
      <c r="G646" s="50"/>
      <c r="H646" s="50"/>
      <c r="I646" s="50"/>
      <c r="J646" s="50"/>
      <c r="K646" s="50"/>
      <c r="L646" s="50"/>
      <c r="M646" s="50"/>
      <c r="N646" s="50"/>
      <c r="O646" s="50"/>
      <c r="P646" s="50"/>
      <c r="Q646" s="50"/>
      <c r="R646" s="50"/>
    </row>
    <row r="647" spans="1:18" x14ac:dyDescent="0.25">
      <c r="A647" s="86" t="s">
        <v>344</v>
      </c>
      <c r="B647" s="84" t="s">
        <v>317</v>
      </c>
      <c r="C647" s="50"/>
      <c r="D647" s="50"/>
      <c r="E647" s="85">
        <v>4228</v>
      </c>
      <c r="F647" s="50"/>
      <c r="G647" s="50"/>
      <c r="H647" s="50"/>
      <c r="I647" s="50"/>
      <c r="J647" s="50"/>
      <c r="K647" s="50"/>
      <c r="L647" s="50"/>
      <c r="M647" s="50"/>
      <c r="N647" s="50"/>
      <c r="O647" s="50"/>
      <c r="P647" s="50"/>
      <c r="Q647" s="50"/>
      <c r="R647" s="50"/>
    </row>
    <row r="648" spans="1:18" s="43" customFormat="1" x14ac:dyDescent="0.25">
      <c r="A648" s="87" t="s">
        <v>322</v>
      </c>
      <c r="B648" s="88" t="s">
        <v>323</v>
      </c>
      <c r="C648" s="50"/>
      <c r="D648" s="50"/>
      <c r="E648" s="50"/>
      <c r="F648" s="50"/>
      <c r="G648" s="50"/>
      <c r="H648" s="50"/>
      <c r="I648" s="89">
        <v>0</v>
      </c>
      <c r="J648" s="50"/>
      <c r="K648" s="50"/>
      <c r="L648" s="50"/>
      <c r="M648" s="50"/>
      <c r="N648" s="50"/>
      <c r="O648" s="50"/>
      <c r="P648" s="50"/>
      <c r="Q648" s="89">
        <v>0</v>
      </c>
      <c r="R648" s="89"/>
    </row>
    <row r="649" spans="1:18" s="43" customFormat="1" x14ac:dyDescent="0.25">
      <c r="A649" s="87" t="s">
        <v>324</v>
      </c>
      <c r="B649" s="88" t="s">
        <v>323</v>
      </c>
      <c r="C649" s="50"/>
      <c r="D649" s="50"/>
      <c r="E649" s="50"/>
      <c r="F649" s="50"/>
      <c r="G649" s="50"/>
      <c r="H649" s="50"/>
      <c r="I649" s="50"/>
      <c r="J649" s="50"/>
      <c r="K649" s="89">
        <v>0</v>
      </c>
      <c r="L649" s="50"/>
      <c r="M649" s="50"/>
      <c r="N649" s="50"/>
      <c r="O649" s="50"/>
      <c r="P649" s="50"/>
      <c r="Q649" s="50"/>
      <c r="R649" s="50"/>
    </row>
    <row r="650" spans="1:18" x14ac:dyDescent="0.25">
      <c r="A650" s="41" t="s">
        <v>399</v>
      </c>
      <c r="B650" s="44"/>
      <c r="C650" s="50"/>
      <c r="D650" s="50"/>
      <c r="E650" s="50"/>
      <c r="F650" s="50"/>
      <c r="G650" s="50"/>
      <c r="H650" s="50"/>
      <c r="I650" s="50"/>
      <c r="J650" s="50"/>
      <c r="K650" s="50"/>
      <c r="L650" s="50"/>
      <c r="M650" s="50"/>
      <c r="N650" s="50"/>
      <c r="O650" s="50"/>
      <c r="P650" s="50"/>
      <c r="Q650" s="50"/>
      <c r="R650" s="50"/>
    </row>
    <row r="651" spans="1:18" x14ac:dyDescent="0.25">
      <c r="A651" s="83" t="s">
        <v>400</v>
      </c>
      <c r="B651" s="84" t="s">
        <v>317</v>
      </c>
      <c r="C651" s="50">
        <v>0</v>
      </c>
      <c r="D651" s="85">
        <v>6880</v>
      </c>
      <c r="E651" s="50">
        <v>0</v>
      </c>
      <c r="F651" s="50">
        <v>0</v>
      </c>
      <c r="G651" s="50">
        <v>0</v>
      </c>
      <c r="H651" s="50">
        <v>0</v>
      </c>
      <c r="I651" s="50">
        <v>0</v>
      </c>
      <c r="J651" s="50">
        <v>0</v>
      </c>
      <c r="K651" s="50">
        <v>0</v>
      </c>
      <c r="L651" s="50">
        <v>0</v>
      </c>
      <c r="M651" s="50"/>
      <c r="N651" s="50"/>
      <c r="O651" s="50"/>
      <c r="P651" s="50"/>
      <c r="Q651" s="50"/>
      <c r="R651" s="50"/>
    </row>
    <row r="652" spans="1:18" x14ac:dyDescent="0.25">
      <c r="A652" s="107" t="s">
        <v>401</v>
      </c>
      <c r="B652" s="88" t="s">
        <v>323</v>
      </c>
      <c r="C652" s="50"/>
      <c r="D652" s="50"/>
      <c r="E652" s="50"/>
      <c r="F652" s="50"/>
      <c r="G652" s="50"/>
      <c r="H652" s="50"/>
      <c r="I652" s="50"/>
      <c r="J652" s="50"/>
      <c r="K652" s="50"/>
      <c r="L652" s="50"/>
      <c r="M652" s="50"/>
      <c r="N652" s="50"/>
      <c r="O652" s="50"/>
      <c r="P652" s="89">
        <v>0</v>
      </c>
      <c r="Q652" s="50"/>
      <c r="R652" s="50"/>
    </row>
    <row r="653" spans="1:18" x14ac:dyDescent="0.25">
      <c r="A653" s="41" t="s">
        <v>402</v>
      </c>
      <c r="B653" s="44"/>
      <c r="C653" s="50"/>
      <c r="D653" s="50"/>
      <c r="E653" s="50"/>
      <c r="F653" s="50"/>
      <c r="G653" s="50"/>
      <c r="H653" s="50"/>
      <c r="I653" s="50"/>
      <c r="J653" s="50"/>
      <c r="K653" s="50"/>
      <c r="L653" s="50"/>
      <c r="M653" s="50"/>
      <c r="N653" s="50"/>
      <c r="O653" s="50"/>
      <c r="P653" s="50"/>
      <c r="Q653" s="50"/>
      <c r="R653" s="50"/>
    </row>
    <row r="654" spans="1:18" x14ac:dyDescent="0.25">
      <c r="A654" s="83" t="s">
        <v>400</v>
      </c>
      <c r="B654" s="84" t="s">
        <v>317</v>
      </c>
      <c r="C654" s="50">
        <v>0</v>
      </c>
      <c r="D654" s="85">
        <v>10985</v>
      </c>
      <c r="E654" s="50">
        <v>0</v>
      </c>
      <c r="F654" s="50">
        <v>0</v>
      </c>
      <c r="G654" s="50">
        <v>0</v>
      </c>
      <c r="H654" s="50">
        <v>0</v>
      </c>
      <c r="I654" s="50">
        <v>0</v>
      </c>
      <c r="J654" s="50">
        <v>0</v>
      </c>
      <c r="K654" s="50">
        <v>0</v>
      </c>
      <c r="L654" s="50">
        <v>0</v>
      </c>
      <c r="M654" s="50">
        <v>0</v>
      </c>
      <c r="N654" s="50">
        <v>0</v>
      </c>
      <c r="O654" s="50">
        <v>0</v>
      </c>
      <c r="P654" s="50">
        <v>0</v>
      </c>
      <c r="Q654" s="50">
        <v>0</v>
      </c>
      <c r="R654" s="50">
        <v>0</v>
      </c>
    </row>
    <row r="655" spans="1:18" s="43" customFormat="1" x14ac:dyDescent="0.25">
      <c r="A655" s="93" t="s">
        <v>403</v>
      </c>
      <c r="B655" s="88" t="s">
        <v>330</v>
      </c>
      <c r="C655" s="50"/>
      <c r="D655" s="50"/>
      <c r="E655" s="50"/>
      <c r="F655" s="50"/>
      <c r="G655" s="50"/>
      <c r="H655" s="50"/>
      <c r="I655" s="50"/>
      <c r="J655" s="50"/>
      <c r="K655" s="50"/>
      <c r="L655" s="50"/>
      <c r="M655" s="50"/>
      <c r="N655" s="50"/>
      <c r="O655" s="50"/>
      <c r="P655" s="50"/>
      <c r="Q655" s="50"/>
      <c r="R655" s="50"/>
    </row>
    <row r="656" spans="1:18" s="43" customFormat="1" x14ac:dyDescent="0.25">
      <c r="A656" s="93" t="s">
        <v>404</v>
      </c>
      <c r="B656" s="88" t="s">
        <v>330</v>
      </c>
      <c r="C656" s="50"/>
      <c r="D656" s="50"/>
      <c r="E656" s="50"/>
      <c r="F656" s="50"/>
      <c r="G656" s="50"/>
      <c r="H656" s="50"/>
      <c r="I656" s="50"/>
      <c r="J656" s="50"/>
      <c r="K656" s="50"/>
      <c r="L656" s="50"/>
      <c r="M656" s="50"/>
      <c r="N656" s="50"/>
      <c r="O656" s="50"/>
      <c r="P656" s="50"/>
      <c r="Q656" s="50"/>
      <c r="R656" s="50"/>
    </row>
    <row r="657" spans="1:18" s="43" customFormat="1" x14ac:dyDescent="0.25">
      <c r="A657" s="93" t="s">
        <v>405</v>
      </c>
      <c r="B657" s="88" t="s">
        <v>330</v>
      </c>
      <c r="C657" s="50"/>
      <c r="D657" s="50"/>
      <c r="E657" s="50"/>
      <c r="F657" s="50"/>
      <c r="G657" s="50"/>
      <c r="H657" s="50"/>
      <c r="I657" s="50"/>
      <c r="J657" s="50"/>
      <c r="K657" s="50"/>
      <c r="L657" s="50"/>
      <c r="M657" s="50"/>
      <c r="N657" s="50"/>
      <c r="O657" s="50"/>
      <c r="P657" s="50"/>
      <c r="Q657" s="50"/>
      <c r="R657" s="50"/>
    </row>
    <row r="658" spans="1:18" s="43" customFormat="1" x14ac:dyDescent="0.25">
      <c r="A658" s="107" t="s">
        <v>406</v>
      </c>
      <c r="B658" s="88" t="s">
        <v>323</v>
      </c>
      <c r="C658" s="50"/>
      <c r="D658" s="50"/>
      <c r="E658" s="50"/>
      <c r="F658" s="50"/>
      <c r="G658" s="50"/>
      <c r="H658" s="50"/>
      <c r="I658" s="50"/>
      <c r="J658" s="50"/>
      <c r="K658" s="50"/>
      <c r="L658" s="50"/>
      <c r="M658" s="50"/>
      <c r="N658" s="50"/>
      <c r="O658" s="50"/>
      <c r="P658" s="50"/>
      <c r="Q658" s="50"/>
      <c r="R658" s="50"/>
    </row>
    <row r="659" spans="1:18" s="43" customFormat="1" x14ac:dyDescent="0.25">
      <c r="A659" s="108" t="s">
        <v>407</v>
      </c>
      <c r="B659" s="88" t="s">
        <v>323</v>
      </c>
      <c r="C659" s="50"/>
      <c r="D659" s="50"/>
      <c r="E659" s="50"/>
      <c r="F659" s="50"/>
      <c r="G659" s="50"/>
      <c r="H659" s="50"/>
      <c r="I659" s="50"/>
      <c r="J659" s="89">
        <v>0</v>
      </c>
      <c r="K659" s="50"/>
      <c r="L659" s="50"/>
      <c r="M659" s="50"/>
      <c r="N659" s="50"/>
      <c r="O659" s="50"/>
      <c r="P659" s="50"/>
      <c r="Q659" s="50"/>
      <c r="R659" s="50"/>
    </row>
    <row r="660" spans="1:18" s="43" customFormat="1" x14ac:dyDescent="0.25">
      <c r="A660" s="41" t="s">
        <v>385</v>
      </c>
      <c r="B660" s="42"/>
      <c r="C660" s="50"/>
      <c r="D660" s="50"/>
      <c r="E660" s="50"/>
      <c r="F660" s="50"/>
      <c r="G660" s="50"/>
      <c r="H660" s="50"/>
      <c r="I660" s="50"/>
      <c r="J660" s="50"/>
      <c r="K660" s="50"/>
      <c r="L660" s="50"/>
      <c r="M660" s="50"/>
      <c r="N660" s="50"/>
      <c r="O660" s="50"/>
      <c r="P660" s="50"/>
      <c r="Q660" s="50"/>
      <c r="R660" s="50"/>
    </row>
    <row r="661" spans="1:18" s="43" customFormat="1" x14ac:dyDescent="0.25">
      <c r="A661" s="93" t="s">
        <v>396</v>
      </c>
      <c r="B661" s="88" t="s">
        <v>330</v>
      </c>
      <c r="C661" s="50"/>
      <c r="D661" s="50"/>
      <c r="E661" s="50"/>
      <c r="F661" s="50"/>
      <c r="G661" s="50"/>
      <c r="H661" s="50"/>
      <c r="I661" s="50"/>
      <c r="J661" s="50"/>
      <c r="K661" s="50"/>
      <c r="L661" s="50"/>
      <c r="M661" s="50"/>
      <c r="N661" s="50"/>
      <c r="O661" s="50"/>
      <c r="P661" s="50"/>
      <c r="Q661" s="50"/>
      <c r="R661" s="50"/>
    </row>
    <row r="662" spans="1:18" s="43" customFormat="1" x14ac:dyDescent="0.25">
      <c r="A662" s="93" t="s">
        <v>321</v>
      </c>
      <c r="B662" s="88" t="s">
        <v>330</v>
      </c>
      <c r="C662" s="50"/>
      <c r="D662" s="50"/>
      <c r="E662" s="50"/>
      <c r="F662" s="50"/>
      <c r="G662" s="50"/>
      <c r="H662" s="50"/>
      <c r="I662" s="50"/>
      <c r="J662" s="50"/>
      <c r="K662" s="50"/>
      <c r="L662" s="50"/>
      <c r="M662" s="50"/>
      <c r="N662" s="50"/>
      <c r="O662" s="50"/>
      <c r="P662" s="50"/>
      <c r="Q662" s="50"/>
      <c r="R662" s="50"/>
    </row>
    <row r="663" spans="1:18" s="43" customFormat="1" x14ac:dyDescent="0.25">
      <c r="A663" s="93" t="s">
        <v>408</v>
      </c>
      <c r="B663" s="88" t="s">
        <v>330</v>
      </c>
      <c r="C663" s="50"/>
      <c r="D663" s="50"/>
      <c r="E663" s="50"/>
      <c r="F663" s="50"/>
      <c r="G663" s="50"/>
      <c r="H663" s="50"/>
      <c r="I663" s="50"/>
      <c r="J663" s="50"/>
      <c r="K663" s="50"/>
      <c r="L663" s="50"/>
      <c r="M663" s="50"/>
      <c r="N663" s="50"/>
      <c r="O663" s="50"/>
      <c r="P663" s="50"/>
      <c r="Q663" s="50"/>
      <c r="R663" s="50"/>
    </row>
    <row r="664" spans="1:18" s="43" customFormat="1" x14ac:dyDescent="0.25">
      <c r="A664" s="107" t="s">
        <v>406</v>
      </c>
      <c r="B664" s="88" t="s">
        <v>323</v>
      </c>
      <c r="C664" s="50"/>
      <c r="D664" s="50"/>
      <c r="E664" s="50"/>
      <c r="F664" s="50"/>
      <c r="G664" s="50"/>
      <c r="H664" s="50"/>
      <c r="I664" s="50"/>
      <c r="J664" s="50"/>
      <c r="K664" s="89">
        <v>0</v>
      </c>
      <c r="L664" s="50"/>
      <c r="M664" s="50"/>
      <c r="N664" s="50"/>
      <c r="O664" s="50"/>
      <c r="P664" s="89">
        <v>0</v>
      </c>
      <c r="Q664" s="50"/>
      <c r="R664" s="50"/>
    </row>
    <row r="665" spans="1:18" s="43" customFormat="1" x14ac:dyDescent="0.25">
      <c r="A665" s="86" t="s">
        <v>409</v>
      </c>
      <c r="B665" s="84" t="s">
        <v>317</v>
      </c>
      <c r="C665" s="50"/>
      <c r="D665" s="50"/>
      <c r="E665" s="50"/>
      <c r="F665" s="50"/>
      <c r="G665" s="50"/>
      <c r="H665" s="50"/>
      <c r="I665" s="50"/>
      <c r="J665" s="50"/>
      <c r="K665" s="50"/>
      <c r="L665" s="50"/>
      <c r="M665" s="50"/>
      <c r="N665" s="50"/>
      <c r="O665" s="50"/>
      <c r="P665" s="50"/>
      <c r="Q665" s="50"/>
      <c r="R665" s="50"/>
    </row>
    <row r="666" spans="1:18" x14ac:dyDescent="0.25">
      <c r="C666" s="50"/>
      <c r="D666" s="50"/>
      <c r="E666" s="50"/>
      <c r="F666" s="50"/>
      <c r="G666" s="50"/>
      <c r="H666" s="50"/>
      <c r="I666" s="50"/>
      <c r="J666" s="50"/>
      <c r="K666" s="50"/>
      <c r="L666" s="50"/>
      <c r="M666" s="50"/>
      <c r="N666" s="50"/>
      <c r="O666" s="50"/>
      <c r="P666" s="50"/>
      <c r="Q666" s="50"/>
      <c r="R666" s="50"/>
    </row>
    <row r="667" spans="1:18" x14ac:dyDescent="0.25">
      <c r="A667" s="41" t="s">
        <v>107</v>
      </c>
      <c r="B667" s="44"/>
      <c r="C667" s="51">
        <f t="shared" ref="C667:R667" si="465">SUM(C640:C666)</f>
        <v>0</v>
      </c>
      <c r="D667" s="51">
        <f t="shared" si="465"/>
        <v>17865</v>
      </c>
      <c r="E667" s="51">
        <f t="shared" si="465"/>
        <v>4228</v>
      </c>
      <c r="F667" s="51">
        <f t="shared" si="465"/>
        <v>1173</v>
      </c>
      <c r="G667" s="51">
        <f t="shared" si="465"/>
        <v>0</v>
      </c>
      <c r="H667" s="51">
        <f t="shared" si="465"/>
        <v>0</v>
      </c>
      <c r="I667" s="51">
        <f t="shared" si="465"/>
        <v>0</v>
      </c>
      <c r="J667" s="51">
        <f t="shared" si="465"/>
        <v>0</v>
      </c>
      <c r="K667" s="51">
        <f t="shared" si="465"/>
        <v>0</v>
      </c>
      <c r="L667" s="51">
        <f t="shared" si="465"/>
        <v>0</v>
      </c>
      <c r="M667" s="51">
        <f t="shared" si="465"/>
        <v>0</v>
      </c>
      <c r="N667" s="51">
        <f t="shared" si="465"/>
        <v>0</v>
      </c>
      <c r="O667" s="51">
        <f t="shared" si="465"/>
        <v>0</v>
      </c>
      <c r="P667" s="51">
        <f t="shared" si="465"/>
        <v>0</v>
      </c>
      <c r="Q667" s="51">
        <f t="shared" si="465"/>
        <v>0</v>
      </c>
      <c r="R667" s="51">
        <f t="shared" si="465"/>
        <v>0</v>
      </c>
    </row>
    <row r="668" spans="1:18" x14ac:dyDescent="0.25">
      <c r="C668" s="50"/>
      <c r="D668" s="50"/>
      <c r="E668" s="50"/>
      <c r="F668" s="50"/>
      <c r="G668" s="50"/>
      <c r="H668" s="50"/>
      <c r="I668" s="50"/>
      <c r="J668" s="50"/>
      <c r="K668" s="50"/>
      <c r="L668" s="50"/>
      <c r="M668" s="50"/>
      <c r="N668" s="50"/>
      <c r="O668" s="50"/>
      <c r="P668" s="50"/>
      <c r="Q668" s="50"/>
      <c r="R668" s="50"/>
    </row>
    <row r="669" spans="1:18" x14ac:dyDescent="0.25">
      <c r="A669" s="41" t="s">
        <v>410</v>
      </c>
      <c r="B669" s="44"/>
      <c r="C669" s="51">
        <f t="shared" ref="C669:R669" si="466">C667+C630-C599-C636</f>
        <v>35730</v>
      </c>
      <c r="D669" s="51">
        <f t="shared" si="466"/>
        <v>59023</v>
      </c>
      <c r="E669" s="51">
        <f t="shared" si="466"/>
        <v>55335</v>
      </c>
      <c r="F669" s="51">
        <f t="shared" si="466"/>
        <v>20931</v>
      </c>
      <c r="G669" s="51">
        <f t="shared" si="466"/>
        <v>6688</v>
      </c>
      <c r="H669" s="51">
        <f t="shared" si="466"/>
        <v>25460</v>
      </c>
      <c r="I669" s="51">
        <f t="shared" si="466"/>
        <v>26169.399999999994</v>
      </c>
      <c r="J669" s="51">
        <f t="shared" si="466"/>
        <v>26841.404700000014</v>
      </c>
      <c r="K669" s="51">
        <f t="shared" si="466"/>
        <v>27698.686240299983</v>
      </c>
      <c r="L669" s="51">
        <f t="shared" si="466"/>
        <v>28712.631527001911</v>
      </c>
      <c r="M669" s="51">
        <f t="shared" si="466"/>
        <v>29668.14373256953</v>
      </c>
      <c r="N669" s="51">
        <f t="shared" si="466"/>
        <v>30523.003774298209</v>
      </c>
      <c r="O669" s="51">
        <f t="shared" si="466"/>
        <v>31462.163348967646</v>
      </c>
      <c r="P669" s="51">
        <f t="shared" si="466"/>
        <v>32519.758627711504</v>
      </c>
      <c r="Q669" s="51">
        <f t="shared" si="466"/>
        <v>32032.622294319677</v>
      </c>
      <c r="R669" s="51">
        <f t="shared" si="466"/>
        <v>31506.461953661841</v>
      </c>
    </row>
    <row r="670" spans="1:18" x14ac:dyDescent="0.25">
      <c r="C670" s="50"/>
      <c r="D670" s="50"/>
      <c r="E670" s="50"/>
      <c r="F670" s="50"/>
      <c r="G670" s="50"/>
      <c r="H670" s="50"/>
      <c r="I670" s="50"/>
      <c r="J670" s="50"/>
      <c r="K670" s="50"/>
      <c r="L670" s="50"/>
      <c r="M670" s="50"/>
      <c r="N670" s="50"/>
      <c r="O670" s="50"/>
      <c r="P670" s="50"/>
      <c r="Q670" s="50"/>
      <c r="R670" s="50"/>
    </row>
    <row r="671" spans="1:18" x14ac:dyDescent="0.25">
      <c r="C671" s="50"/>
      <c r="D671" s="50"/>
      <c r="E671" s="50"/>
      <c r="F671" s="50"/>
      <c r="G671" s="50"/>
      <c r="H671" s="50"/>
      <c r="I671" s="50"/>
      <c r="J671" s="50"/>
      <c r="K671" s="50"/>
      <c r="L671" s="50"/>
      <c r="M671" s="50"/>
      <c r="N671" s="50"/>
      <c r="O671" s="50"/>
      <c r="P671" s="50"/>
      <c r="Q671" s="50"/>
      <c r="R671" s="50"/>
    </row>
    <row r="672" spans="1:18" x14ac:dyDescent="0.25">
      <c r="A672" s="41" t="s">
        <v>411</v>
      </c>
      <c r="B672" s="44"/>
      <c r="C672" s="50"/>
      <c r="D672" s="50"/>
      <c r="E672" s="50"/>
      <c r="F672" s="50"/>
      <c r="G672" s="50"/>
      <c r="H672" s="50"/>
      <c r="I672" s="50"/>
      <c r="J672" s="50"/>
      <c r="K672" s="50"/>
      <c r="L672" s="50"/>
      <c r="M672" s="50"/>
      <c r="N672" s="50"/>
      <c r="O672" s="50"/>
      <c r="P672" s="50"/>
      <c r="Q672" s="50"/>
      <c r="R672" s="50"/>
    </row>
    <row r="673" spans="1:18" x14ac:dyDescent="0.25">
      <c r="C673" s="50"/>
      <c r="D673" s="50"/>
      <c r="E673" s="50"/>
      <c r="F673" s="50"/>
      <c r="G673" s="50"/>
      <c r="H673" s="50"/>
      <c r="I673" s="50"/>
      <c r="J673" s="50"/>
      <c r="K673" s="50"/>
      <c r="L673" s="50"/>
      <c r="M673" s="50"/>
      <c r="N673" s="50"/>
      <c r="O673" s="50"/>
      <c r="P673" s="50"/>
      <c r="Q673" s="50"/>
      <c r="R673" s="50"/>
    </row>
    <row r="674" spans="1:18" x14ac:dyDescent="0.25">
      <c r="A674" s="41" t="s">
        <v>202</v>
      </c>
      <c r="B674" s="44"/>
      <c r="C674" s="50"/>
      <c r="D674" s="50"/>
      <c r="E674" s="50"/>
      <c r="F674" s="50"/>
      <c r="G674" s="50"/>
      <c r="H674" s="50"/>
      <c r="I674" s="50"/>
      <c r="J674" s="50"/>
      <c r="K674" s="50"/>
      <c r="L674" s="50"/>
      <c r="M674" s="50"/>
      <c r="N674" s="50"/>
      <c r="O674" s="50"/>
      <c r="P674" s="50"/>
      <c r="Q674" s="50"/>
      <c r="R674" s="50"/>
    </row>
    <row r="675" spans="1:18" x14ac:dyDescent="0.25">
      <c r="C675" s="50"/>
      <c r="D675" s="50"/>
      <c r="E675" s="50"/>
      <c r="F675" s="50"/>
      <c r="G675" s="50"/>
      <c r="H675" s="50"/>
      <c r="I675" s="50"/>
      <c r="J675" s="50"/>
      <c r="K675" s="50"/>
      <c r="L675" s="50"/>
      <c r="M675" s="50"/>
      <c r="N675" s="50"/>
      <c r="O675" s="50"/>
      <c r="P675" s="50"/>
      <c r="Q675" s="50"/>
      <c r="R675" s="50"/>
    </row>
    <row r="676" spans="1:18" x14ac:dyDescent="0.25">
      <c r="A676" s="43" t="s">
        <v>258</v>
      </c>
      <c r="C676" s="43">
        <v>39850</v>
      </c>
      <c r="D676" s="54">
        <v>40238</v>
      </c>
      <c r="E676" s="54">
        <v>40604</v>
      </c>
      <c r="F676" s="43">
        <v>41600</v>
      </c>
      <c r="G676" s="43">
        <v>41808</v>
      </c>
      <c r="H676" s="43">
        <v>43400</v>
      </c>
      <c r="I676" s="50">
        <v>39740</v>
      </c>
      <c r="J676" s="54">
        <f t="shared" ref="J676:K677" si="467">I676*1.024</f>
        <v>40693.760000000002</v>
      </c>
      <c r="K676" s="54">
        <f t="shared" si="467"/>
        <v>41670.410240000005</v>
      </c>
      <c r="L676" s="54">
        <f t="shared" ref="L676:L677" si="468">K676*1.023</f>
        <v>42628.829675519999</v>
      </c>
      <c r="M676" s="54">
        <f t="shared" ref="M676:M677" si="469">L676*1.022</f>
        <v>43566.663928381437</v>
      </c>
      <c r="N676" s="54">
        <f t="shared" ref="N676:N677" si="470">M676*1.023</f>
        <v>44568.697198734204</v>
      </c>
      <c r="O676" s="54">
        <f t="shared" ref="O676:P677" si="471">N676*1.025</f>
        <v>45682.914628702558</v>
      </c>
      <c r="P676" s="54">
        <f t="shared" si="471"/>
        <v>46824.987494420115</v>
      </c>
      <c r="Q676" s="54">
        <f t="shared" ref="Q676:R677" si="472">P676*1.024</f>
        <v>47948.787194286197</v>
      </c>
      <c r="R676" s="54">
        <f t="shared" si="472"/>
        <v>49099.558086949066</v>
      </c>
    </row>
    <row r="677" spans="1:18" x14ac:dyDescent="0.25">
      <c r="A677" s="43" t="s">
        <v>412</v>
      </c>
      <c r="C677" s="54">
        <v>5890</v>
      </c>
      <c r="D677" s="54">
        <v>6720</v>
      </c>
      <c r="E677" s="54">
        <v>6720</v>
      </c>
      <c r="F677" s="43">
        <v>6168</v>
      </c>
      <c r="G677" s="43">
        <v>6149</v>
      </c>
      <c r="H677" s="43">
        <v>7000</v>
      </c>
      <c r="I677" s="50">
        <v>5095</v>
      </c>
      <c r="J677" s="54">
        <f t="shared" si="467"/>
        <v>5217.28</v>
      </c>
      <c r="K677" s="54">
        <f t="shared" si="467"/>
        <v>5342.4947199999997</v>
      </c>
      <c r="L677" s="54">
        <f t="shared" si="468"/>
        <v>5465.3720985599994</v>
      </c>
      <c r="M677" s="54">
        <f t="shared" si="469"/>
        <v>5585.6102847283191</v>
      </c>
      <c r="N677" s="54">
        <f t="shared" si="470"/>
        <v>5714.0793212770695</v>
      </c>
      <c r="O677" s="54">
        <f t="shared" si="471"/>
        <v>5856.931304308996</v>
      </c>
      <c r="P677" s="54">
        <f t="shared" si="471"/>
        <v>6003.3545869167201</v>
      </c>
      <c r="Q677" s="54">
        <f t="shared" si="472"/>
        <v>6147.4350970027217</v>
      </c>
      <c r="R677" s="54">
        <f t="shared" si="472"/>
        <v>6294.9735393307874</v>
      </c>
    </row>
    <row r="678" spans="1:18" x14ac:dyDescent="0.25">
      <c r="C678" s="50"/>
      <c r="D678" s="50"/>
      <c r="E678" s="50"/>
      <c r="F678" s="50"/>
      <c r="G678" s="50"/>
      <c r="H678" s="50"/>
      <c r="I678" s="50"/>
      <c r="J678" s="50"/>
      <c r="K678" s="50"/>
      <c r="L678" s="50"/>
      <c r="M678" s="50"/>
      <c r="N678" s="50"/>
      <c r="O678" s="50"/>
      <c r="P678" s="50"/>
      <c r="Q678" s="50"/>
      <c r="R678" s="50"/>
    </row>
    <row r="679" spans="1:18" x14ac:dyDescent="0.25">
      <c r="A679" s="41" t="s">
        <v>216</v>
      </c>
      <c r="B679" s="44"/>
      <c r="C679" s="51">
        <f t="shared" ref="C679" si="473">SUM(C676:C678)</f>
        <v>45740</v>
      </c>
      <c r="D679" s="51">
        <f t="shared" ref="D679:R679" si="474">SUM(D676:D678)</f>
        <v>46958</v>
      </c>
      <c r="E679" s="51">
        <f t="shared" si="474"/>
        <v>47324</v>
      </c>
      <c r="F679" s="51">
        <f t="shared" si="474"/>
        <v>47768</v>
      </c>
      <c r="G679" s="51">
        <f t="shared" si="474"/>
        <v>47957</v>
      </c>
      <c r="H679" s="51">
        <f t="shared" si="474"/>
        <v>50400</v>
      </c>
      <c r="I679" s="51">
        <f t="shared" si="474"/>
        <v>44835</v>
      </c>
      <c r="J679" s="51">
        <f t="shared" si="474"/>
        <v>45911.040000000001</v>
      </c>
      <c r="K679" s="51">
        <f t="shared" si="474"/>
        <v>47012.904960000007</v>
      </c>
      <c r="L679" s="51">
        <f t="shared" si="474"/>
        <v>48094.20177408</v>
      </c>
      <c r="M679" s="51">
        <f t="shared" si="474"/>
        <v>49152.274213109755</v>
      </c>
      <c r="N679" s="51">
        <f t="shared" si="474"/>
        <v>50282.776520011277</v>
      </c>
      <c r="O679" s="51">
        <f t="shared" si="474"/>
        <v>51539.845933011551</v>
      </c>
      <c r="P679" s="51">
        <f t="shared" si="474"/>
        <v>52828.342081336836</v>
      </c>
      <c r="Q679" s="51">
        <f t="shared" si="474"/>
        <v>54096.222291288919</v>
      </c>
      <c r="R679" s="51">
        <f t="shared" si="474"/>
        <v>55394.531626279851</v>
      </c>
    </row>
    <row r="680" spans="1:18" x14ac:dyDescent="0.25">
      <c r="C680" s="50"/>
      <c r="D680" s="50"/>
      <c r="E680" s="50"/>
      <c r="F680" s="50"/>
      <c r="G680" s="50"/>
      <c r="H680" s="50"/>
      <c r="I680" s="50"/>
      <c r="J680" s="50"/>
      <c r="K680" s="50"/>
      <c r="L680" s="50"/>
      <c r="M680" s="50"/>
      <c r="N680" s="50"/>
      <c r="O680" s="50"/>
      <c r="P680" s="50"/>
      <c r="Q680" s="50"/>
      <c r="R680" s="50"/>
    </row>
    <row r="681" spans="1:18" x14ac:dyDescent="0.25">
      <c r="C681" s="50"/>
      <c r="D681" s="50"/>
      <c r="E681" s="50"/>
      <c r="F681" s="50"/>
      <c r="G681" s="50"/>
      <c r="H681" s="50"/>
      <c r="I681" s="50"/>
      <c r="J681" s="50"/>
      <c r="K681" s="50"/>
      <c r="L681" s="50"/>
      <c r="M681" s="50"/>
      <c r="N681" s="50"/>
      <c r="O681" s="50"/>
      <c r="P681" s="50"/>
      <c r="Q681" s="50"/>
      <c r="R681" s="50"/>
    </row>
    <row r="682" spans="1:18" x14ac:dyDescent="0.25">
      <c r="A682" s="41" t="s">
        <v>165</v>
      </c>
      <c r="B682" s="44"/>
      <c r="C682" s="50"/>
      <c r="D682" s="50"/>
      <c r="E682" s="50"/>
      <c r="F682" s="50"/>
      <c r="G682" s="50"/>
      <c r="H682" s="50"/>
      <c r="I682" s="50"/>
      <c r="J682" s="50"/>
      <c r="K682" s="50"/>
      <c r="L682" s="50"/>
      <c r="M682" s="50"/>
      <c r="N682" s="50"/>
      <c r="O682" s="50"/>
      <c r="P682" s="50"/>
      <c r="Q682" s="50"/>
      <c r="R682" s="50"/>
    </row>
    <row r="683" spans="1:18" x14ac:dyDescent="0.25">
      <c r="C683" s="50"/>
      <c r="D683" s="50"/>
      <c r="E683" s="50"/>
      <c r="F683" s="50"/>
      <c r="G683" s="50"/>
      <c r="H683" s="50"/>
      <c r="I683" s="50"/>
      <c r="J683" s="50"/>
      <c r="K683" s="50"/>
      <c r="L683" s="50"/>
      <c r="M683" s="50"/>
      <c r="N683" s="50"/>
      <c r="O683" s="50"/>
      <c r="P683" s="50"/>
      <c r="Q683" s="50"/>
      <c r="R683" s="50"/>
    </row>
    <row r="684" spans="1:18" x14ac:dyDescent="0.25">
      <c r="A684" s="52" t="s">
        <v>413</v>
      </c>
      <c r="B684" s="53"/>
      <c r="C684" s="54">
        <v>569860</v>
      </c>
      <c r="D684" s="50">
        <v>583996</v>
      </c>
      <c r="E684" s="50">
        <v>643580</v>
      </c>
      <c r="F684" s="50">
        <v>706407</v>
      </c>
      <c r="G684" s="50">
        <v>717003</v>
      </c>
      <c r="H684" s="50">
        <v>733500</v>
      </c>
      <c r="I684" s="50">
        <v>753304.49999999988</v>
      </c>
      <c r="J684" s="50">
        <f t="shared" ref="J684:R684" si="475">(I684)*1.025</f>
        <v>772137.11249999981</v>
      </c>
      <c r="K684" s="50">
        <f t="shared" si="475"/>
        <v>791440.54031249974</v>
      </c>
      <c r="L684" s="50">
        <f t="shared" si="475"/>
        <v>811226.55382031214</v>
      </c>
      <c r="M684" s="50">
        <f t="shared" si="475"/>
        <v>831507.21766581992</v>
      </c>
      <c r="N684" s="50">
        <f t="shared" si="475"/>
        <v>852294.89810746536</v>
      </c>
      <c r="O684" s="50">
        <f t="shared" si="475"/>
        <v>873602.2705601519</v>
      </c>
      <c r="P684" s="50">
        <f t="shared" si="475"/>
        <v>895442.3273241556</v>
      </c>
      <c r="Q684" s="50">
        <f t="shared" si="475"/>
        <v>917828.3855072594</v>
      </c>
      <c r="R684" s="50">
        <f t="shared" si="475"/>
        <v>940774.09514494077</v>
      </c>
    </row>
    <row r="685" spans="1:18" x14ac:dyDescent="0.25">
      <c r="A685" s="43" t="s">
        <v>412</v>
      </c>
      <c r="C685" s="54">
        <v>8810</v>
      </c>
      <c r="D685" s="54">
        <v>6720</v>
      </c>
      <c r="E685" s="54">
        <v>6720</v>
      </c>
      <c r="F685">
        <v>6215</v>
      </c>
      <c r="G685">
        <v>6202</v>
      </c>
      <c r="H685">
        <v>7000</v>
      </c>
      <c r="I685" s="50">
        <v>5095</v>
      </c>
      <c r="J685" s="54">
        <f t="shared" ref="J685:K685" si="476">I685*1.024</f>
        <v>5217.28</v>
      </c>
      <c r="K685" s="54">
        <f t="shared" si="476"/>
        <v>5342.4947199999997</v>
      </c>
      <c r="L685" s="54">
        <f t="shared" ref="L685" si="477">K685*1.023</f>
        <v>5465.3720985599994</v>
      </c>
      <c r="M685" s="54">
        <f t="shared" ref="M685" si="478">L685*1.022</f>
        <v>5585.6102847283191</v>
      </c>
      <c r="N685" s="54">
        <f t="shared" ref="N685" si="479">M685*1.023</f>
        <v>5714.0793212770695</v>
      </c>
      <c r="O685" s="54">
        <f t="shared" ref="O685:P685" si="480">N685*1.025</f>
        <v>5856.931304308996</v>
      </c>
      <c r="P685" s="54">
        <f t="shared" si="480"/>
        <v>6003.3545869167201</v>
      </c>
      <c r="Q685" s="54">
        <f t="shared" ref="Q685:R685" si="481">P685*1.024</f>
        <v>6147.4350970027217</v>
      </c>
      <c r="R685" s="54">
        <f t="shared" si="481"/>
        <v>6294.9735393307874</v>
      </c>
    </row>
    <row r="686" spans="1:18" x14ac:dyDescent="0.25">
      <c r="A686" s="109" t="s">
        <v>414</v>
      </c>
      <c r="C686" s="50"/>
      <c r="D686" s="54"/>
      <c r="E686" s="54"/>
      <c r="F686" s="54"/>
      <c r="G686" s="54"/>
      <c r="H686" s="50">
        <v>40000</v>
      </c>
      <c r="I686" s="54"/>
      <c r="J686" s="54"/>
      <c r="K686" s="54"/>
      <c r="L686" s="54"/>
      <c r="M686" s="54"/>
      <c r="N686" s="54"/>
      <c r="O686" s="54"/>
      <c r="P686" s="54"/>
      <c r="Q686" s="54"/>
      <c r="R686" s="54"/>
    </row>
    <row r="687" spans="1:18" x14ac:dyDescent="0.25">
      <c r="C687" s="50"/>
      <c r="D687" s="50"/>
      <c r="E687" s="50"/>
      <c r="F687" s="50"/>
      <c r="G687" s="50"/>
      <c r="H687" s="50"/>
      <c r="I687" s="50"/>
      <c r="J687" s="50"/>
      <c r="K687" s="50"/>
      <c r="L687" s="50"/>
      <c r="M687" s="50"/>
      <c r="N687" s="50"/>
      <c r="O687" s="50"/>
      <c r="P687" s="50"/>
      <c r="Q687" s="50"/>
      <c r="R687" s="50"/>
    </row>
    <row r="688" spans="1:18" x14ac:dyDescent="0.25">
      <c r="A688" s="41" t="s">
        <v>230</v>
      </c>
      <c r="B688" s="44"/>
      <c r="C688" s="51">
        <f t="shared" ref="C688:R688" si="482">SUM(C684:C687)</f>
        <v>578670</v>
      </c>
      <c r="D688" s="51">
        <f t="shared" si="482"/>
        <v>590716</v>
      </c>
      <c r="E688" s="51">
        <f t="shared" si="482"/>
        <v>650300</v>
      </c>
      <c r="F688" s="51">
        <f t="shared" si="482"/>
        <v>712622</v>
      </c>
      <c r="G688" s="51">
        <f t="shared" si="482"/>
        <v>723205</v>
      </c>
      <c r="H688" s="51">
        <f t="shared" si="482"/>
        <v>780500</v>
      </c>
      <c r="I688" s="51">
        <f t="shared" si="482"/>
        <v>758399.49999999988</v>
      </c>
      <c r="J688" s="51">
        <f t="shared" si="482"/>
        <v>777354.39249999984</v>
      </c>
      <c r="K688" s="51">
        <f t="shared" si="482"/>
        <v>796783.0350324997</v>
      </c>
      <c r="L688" s="51">
        <f t="shared" si="482"/>
        <v>816691.92591887212</v>
      </c>
      <c r="M688" s="51">
        <f t="shared" si="482"/>
        <v>837092.82795054826</v>
      </c>
      <c r="N688" s="51">
        <f t="shared" si="482"/>
        <v>858008.97742874245</v>
      </c>
      <c r="O688" s="51">
        <f t="shared" si="482"/>
        <v>879459.20186446095</v>
      </c>
      <c r="P688" s="51">
        <f t="shared" si="482"/>
        <v>901445.68191107234</v>
      </c>
      <c r="Q688" s="51">
        <f t="shared" si="482"/>
        <v>923975.82060426218</v>
      </c>
      <c r="R688" s="51">
        <f t="shared" si="482"/>
        <v>947069.06868427154</v>
      </c>
    </row>
    <row r="689" spans="1:18" x14ac:dyDescent="0.25">
      <c r="C689" s="50"/>
      <c r="D689" s="50"/>
      <c r="E689" s="50"/>
      <c r="F689" s="50"/>
      <c r="G689" s="50"/>
      <c r="H689" s="50"/>
      <c r="I689" s="50"/>
      <c r="J689" s="50"/>
      <c r="K689" s="50"/>
      <c r="L689" s="50"/>
      <c r="M689" s="50"/>
      <c r="N689" s="50"/>
      <c r="O689" s="50"/>
      <c r="P689" s="50"/>
      <c r="Q689" s="50"/>
      <c r="R689" s="50"/>
    </row>
    <row r="690" spans="1:18" x14ac:dyDescent="0.25">
      <c r="A690" s="41" t="s">
        <v>415</v>
      </c>
      <c r="B690" s="44"/>
      <c r="C690" s="51">
        <f t="shared" ref="C690:R690" si="483">C688-C679</f>
        <v>532930</v>
      </c>
      <c r="D690" s="51">
        <f t="shared" si="483"/>
        <v>543758</v>
      </c>
      <c r="E690" s="51">
        <f t="shared" si="483"/>
        <v>602976</v>
      </c>
      <c r="F690" s="51">
        <f t="shared" si="483"/>
        <v>664854</v>
      </c>
      <c r="G690" s="51">
        <f t="shared" si="483"/>
        <v>675248</v>
      </c>
      <c r="H690" s="51">
        <f t="shared" si="483"/>
        <v>730100</v>
      </c>
      <c r="I690" s="51">
        <f t="shared" si="483"/>
        <v>713564.49999999988</v>
      </c>
      <c r="J690" s="51">
        <f t="shared" si="483"/>
        <v>731443.3524999998</v>
      </c>
      <c r="K690" s="51">
        <f t="shared" si="483"/>
        <v>749770.13007249974</v>
      </c>
      <c r="L690" s="51">
        <f t="shared" si="483"/>
        <v>768597.72414479207</v>
      </c>
      <c r="M690" s="51">
        <f t="shared" si="483"/>
        <v>787940.55373743852</v>
      </c>
      <c r="N690" s="51">
        <f t="shared" si="483"/>
        <v>807726.2009087312</v>
      </c>
      <c r="O690" s="51">
        <f t="shared" si="483"/>
        <v>827919.35593144945</v>
      </c>
      <c r="P690" s="51">
        <f t="shared" si="483"/>
        <v>848617.33982973546</v>
      </c>
      <c r="Q690" s="51">
        <f t="shared" si="483"/>
        <v>869879.59831297328</v>
      </c>
      <c r="R690" s="51">
        <f t="shared" si="483"/>
        <v>891674.53705799172</v>
      </c>
    </row>
    <row r="691" spans="1:18" x14ac:dyDescent="0.25">
      <c r="C691" s="50"/>
      <c r="D691" s="50"/>
      <c r="E691" s="50"/>
      <c r="F691" s="50"/>
      <c r="G691" s="50"/>
      <c r="H691" s="50"/>
      <c r="I691" s="50"/>
      <c r="J691" s="50"/>
      <c r="K691" s="50"/>
      <c r="L691" s="50"/>
      <c r="M691" s="50"/>
      <c r="N691" s="50"/>
      <c r="O691" s="50"/>
      <c r="P691" s="50"/>
      <c r="Q691" s="50"/>
      <c r="R691" s="50"/>
    </row>
    <row r="692" spans="1:18" x14ac:dyDescent="0.25">
      <c r="A692" s="41" t="s">
        <v>416</v>
      </c>
      <c r="B692" s="44"/>
      <c r="C692" s="50"/>
      <c r="D692" s="50"/>
      <c r="E692" s="50"/>
      <c r="F692" s="50"/>
      <c r="G692" s="50"/>
      <c r="H692" s="50"/>
      <c r="I692" s="50"/>
      <c r="J692" s="50"/>
      <c r="K692" s="50"/>
      <c r="L692" s="50"/>
      <c r="M692" s="50"/>
      <c r="N692" s="50"/>
      <c r="O692" s="50"/>
      <c r="P692" s="50"/>
      <c r="Q692" s="50"/>
      <c r="R692" s="50"/>
    </row>
    <row r="693" spans="1:18" x14ac:dyDescent="0.25">
      <c r="A693" s="41"/>
      <c r="B693" s="44"/>
      <c r="C693" s="50"/>
      <c r="D693" s="50"/>
      <c r="E693" s="50"/>
      <c r="F693" s="50"/>
      <c r="G693" s="50"/>
      <c r="H693" s="50"/>
      <c r="I693" s="50"/>
      <c r="J693" s="50"/>
      <c r="K693" s="50"/>
      <c r="L693" s="50"/>
      <c r="M693" s="50"/>
      <c r="N693" s="50"/>
      <c r="O693" s="50"/>
      <c r="P693" s="50"/>
      <c r="Q693" s="50"/>
      <c r="R693" s="50"/>
    </row>
    <row r="694" spans="1:18" x14ac:dyDescent="0.25">
      <c r="A694" s="41" t="s">
        <v>202</v>
      </c>
      <c r="B694" s="44"/>
      <c r="C694" s="50"/>
      <c r="D694" s="50"/>
      <c r="E694" s="50"/>
      <c r="F694" s="50"/>
      <c r="G694" s="50"/>
      <c r="H694" s="50"/>
      <c r="I694" s="50"/>
      <c r="J694" s="50"/>
      <c r="K694" s="50"/>
      <c r="L694" s="50"/>
      <c r="M694" s="50"/>
      <c r="N694" s="50"/>
      <c r="O694" s="50"/>
      <c r="P694" s="50"/>
      <c r="Q694" s="50"/>
      <c r="R694" s="50"/>
    </row>
    <row r="695" spans="1:18" x14ac:dyDescent="0.25">
      <c r="C695" s="50"/>
      <c r="D695" s="50"/>
      <c r="E695" s="50"/>
      <c r="F695" s="50"/>
      <c r="G695" s="50"/>
      <c r="H695" s="50"/>
      <c r="I695" s="50"/>
      <c r="J695" s="50"/>
      <c r="K695" s="50"/>
      <c r="L695" s="50"/>
      <c r="M695" s="50"/>
      <c r="N695" s="50"/>
      <c r="O695" s="50"/>
      <c r="P695" s="50"/>
      <c r="Q695" s="50"/>
      <c r="R695" s="50"/>
    </row>
    <row r="696" spans="1:18" x14ac:dyDescent="0.25">
      <c r="A696" s="52" t="s">
        <v>417</v>
      </c>
      <c r="B696" s="53"/>
      <c r="C696" s="50"/>
      <c r="D696" s="50"/>
      <c r="E696" s="50"/>
      <c r="F696" s="50"/>
      <c r="G696" s="50"/>
      <c r="H696" s="50"/>
      <c r="I696" s="50"/>
      <c r="J696" s="50"/>
      <c r="K696" s="50"/>
      <c r="L696" s="50"/>
      <c r="M696" s="50"/>
      <c r="N696" s="50"/>
      <c r="O696" s="50"/>
      <c r="P696" s="50"/>
      <c r="Q696" s="50"/>
      <c r="R696" s="50"/>
    </row>
    <row r="697" spans="1:18" x14ac:dyDescent="0.25">
      <c r="A697" s="52" t="s">
        <v>418</v>
      </c>
      <c r="B697" s="53"/>
      <c r="C697" s="59">
        <v>33896</v>
      </c>
      <c r="D697" s="54">
        <v>42840</v>
      </c>
      <c r="E697" s="54">
        <v>44241</v>
      </c>
      <c r="F697" s="54">
        <v>48585</v>
      </c>
      <c r="G697" s="54">
        <v>70493</v>
      </c>
      <c r="H697" s="54">
        <v>46500</v>
      </c>
      <c r="I697" s="54">
        <f t="shared" ref="I697:I698" si="484">H697*1.023</f>
        <v>47569.499999999993</v>
      </c>
      <c r="J697" s="54">
        <f t="shared" ref="J697:K698" si="485">I697*1.024</f>
        <v>48711.167999999991</v>
      </c>
      <c r="K697" s="54">
        <f t="shared" si="485"/>
        <v>49880.236031999993</v>
      </c>
      <c r="L697" s="54">
        <f t="shared" ref="L697:L698" si="486">K697*1.023</f>
        <v>51027.481460735988</v>
      </c>
      <c r="M697" s="54">
        <f t="shared" ref="M697:M698" si="487">L697*1.022</f>
        <v>52150.086052872182</v>
      </c>
      <c r="N697" s="54">
        <f t="shared" ref="N697:N698" si="488">M697*1.023</f>
        <v>53349.53803208824</v>
      </c>
      <c r="O697" s="54">
        <f t="shared" ref="O697:P698" si="489">N697*1.025</f>
        <v>54683.27648289044</v>
      </c>
      <c r="P697" s="54">
        <f t="shared" si="489"/>
        <v>56050.358394962699</v>
      </c>
      <c r="Q697" s="54">
        <f t="shared" ref="Q697:R698" si="490">P697*1.024</f>
        <v>57395.566996441805</v>
      </c>
      <c r="R697" s="54">
        <f t="shared" si="490"/>
        <v>58773.060604356411</v>
      </c>
    </row>
    <row r="698" spans="1:18" x14ac:dyDescent="0.25">
      <c r="A698" s="52" t="s">
        <v>419</v>
      </c>
      <c r="B698" s="53"/>
      <c r="C698" s="59"/>
      <c r="D698" s="54"/>
      <c r="E698" s="54"/>
      <c r="F698" s="54">
        <v>1004</v>
      </c>
      <c r="G698" s="50">
        <v>8504</v>
      </c>
      <c r="H698" s="50">
        <v>7000</v>
      </c>
      <c r="I698" s="54">
        <f t="shared" si="484"/>
        <v>7160.9999999999991</v>
      </c>
      <c r="J698" s="54">
        <f t="shared" si="485"/>
        <v>7332.8639999999996</v>
      </c>
      <c r="K698" s="54">
        <f t="shared" si="485"/>
        <v>7508.8527359999998</v>
      </c>
      <c r="L698" s="54">
        <f t="shared" si="486"/>
        <v>7681.5563489279994</v>
      </c>
      <c r="M698" s="54">
        <f t="shared" si="487"/>
        <v>7850.5505886044157</v>
      </c>
      <c r="N698" s="54">
        <f t="shared" si="488"/>
        <v>8031.1132521423169</v>
      </c>
      <c r="O698" s="54">
        <f t="shared" si="489"/>
        <v>8231.8910834458748</v>
      </c>
      <c r="P698" s="54">
        <f t="shared" si="489"/>
        <v>8437.6883605320218</v>
      </c>
      <c r="Q698" s="54">
        <f t="shared" si="490"/>
        <v>8640.1928811847902</v>
      </c>
      <c r="R698" s="54">
        <f t="shared" si="490"/>
        <v>8847.5575103332249</v>
      </c>
    </row>
    <row r="699" spans="1:18" x14ac:dyDescent="0.25">
      <c r="A699" s="52" t="s">
        <v>420</v>
      </c>
      <c r="B699" s="53"/>
      <c r="C699" s="59"/>
      <c r="D699" s="54"/>
      <c r="E699" s="54"/>
      <c r="F699" s="54">
        <v>20000</v>
      </c>
      <c r="G699" s="54">
        <v>0</v>
      </c>
      <c r="H699" s="54"/>
      <c r="I699" s="54"/>
      <c r="J699" s="54"/>
      <c r="K699" s="54"/>
      <c r="L699" s="54"/>
      <c r="M699" s="54"/>
      <c r="N699" s="54"/>
      <c r="O699" s="54"/>
      <c r="P699" s="54"/>
      <c r="Q699" s="54"/>
      <c r="R699" s="54"/>
    </row>
    <row r="700" spans="1:18" x14ac:dyDescent="0.25">
      <c r="A700" s="52" t="s">
        <v>421</v>
      </c>
      <c r="B700" s="53"/>
      <c r="C700" s="59"/>
      <c r="D700" s="54"/>
      <c r="E700" s="54"/>
      <c r="F700" s="54"/>
      <c r="G700" s="54">
        <v>0</v>
      </c>
      <c r="H700" s="54"/>
      <c r="I700" s="54"/>
      <c r="J700" s="54"/>
      <c r="K700" s="54"/>
      <c r="L700" s="54"/>
      <c r="M700" s="54"/>
      <c r="N700" s="54"/>
      <c r="O700" s="54"/>
      <c r="P700" s="54"/>
      <c r="Q700" s="54"/>
      <c r="R700" s="54"/>
    </row>
    <row r="701" spans="1:18" x14ac:dyDescent="0.25">
      <c r="A701" s="52" t="s">
        <v>422</v>
      </c>
      <c r="B701" s="53"/>
      <c r="C701" s="59"/>
      <c r="D701" s="50"/>
      <c r="E701" s="50"/>
      <c r="F701" s="50"/>
      <c r="G701" s="50">
        <v>0</v>
      </c>
      <c r="H701" s="50"/>
      <c r="I701" s="50"/>
      <c r="J701" s="50"/>
      <c r="K701" s="50"/>
      <c r="L701" s="50"/>
      <c r="M701" s="50"/>
      <c r="N701" s="50"/>
      <c r="O701" s="50"/>
      <c r="P701" s="50"/>
      <c r="Q701" s="50"/>
      <c r="R701" s="50"/>
    </row>
    <row r="702" spans="1:18" x14ac:dyDescent="0.25">
      <c r="A702" s="52" t="s">
        <v>423</v>
      </c>
      <c r="B702" s="53"/>
      <c r="C702" s="59"/>
      <c r="D702" s="50"/>
      <c r="E702" s="50"/>
      <c r="F702" s="50"/>
      <c r="G702" s="50">
        <v>0</v>
      </c>
      <c r="H702" s="50"/>
      <c r="I702" s="50"/>
      <c r="J702" s="50"/>
      <c r="K702" s="50"/>
      <c r="L702" s="50"/>
      <c r="M702" s="50"/>
      <c r="N702" s="50"/>
      <c r="O702" s="50"/>
      <c r="P702" s="50"/>
      <c r="Q702" s="50"/>
      <c r="R702" s="50"/>
    </row>
    <row r="703" spans="1:18" x14ac:dyDescent="0.25">
      <c r="A703" s="52" t="s">
        <v>424</v>
      </c>
      <c r="B703" s="53"/>
      <c r="C703" s="59"/>
      <c r="D703" s="50"/>
      <c r="E703" s="50"/>
      <c r="F703" s="50"/>
      <c r="G703" s="50">
        <v>0</v>
      </c>
      <c r="H703" s="50"/>
      <c r="I703" s="50"/>
      <c r="J703" s="50"/>
      <c r="K703" s="50"/>
      <c r="L703" s="50"/>
      <c r="M703" s="50"/>
      <c r="N703" s="50"/>
      <c r="O703" s="50"/>
      <c r="P703" s="50"/>
      <c r="Q703" s="50"/>
      <c r="R703" s="50"/>
    </row>
    <row r="704" spans="1:18" x14ac:dyDescent="0.25">
      <c r="A704" s="52" t="s">
        <v>425</v>
      </c>
      <c r="B704" s="53"/>
      <c r="C704" s="59">
        <v>1338</v>
      </c>
      <c r="D704" s="50">
        <v>13333</v>
      </c>
      <c r="E704" s="50"/>
      <c r="F704" s="50"/>
      <c r="G704" s="50">
        <v>0</v>
      </c>
      <c r="H704" s="50"/>
      <c r="I704" s="50"/>
      <c r="J704" s="50"/>
      <c r="K704" s="50"/>
      <c r="L704" s="50"/>
      <c r="M704" s="50"/>
      <c r="N704" s="50"/>
      <c r="O704" s="50"/>
      <c r="P704" s="50"/>
      <c r="Q704" s="50"/>
      <c r="R704" s="50"/>
    </row>
    <row r="705" spans="1:18" x14ac:dyDescent="0.25">
      <c r="A705" s="59" t="s">
        <v>426</v>
      </c>
      <c r="B705" s="53"/>
      <c r="C705" s="59"/>
      <c r="D705" s="50">
        <v>30000</v>
      </c>
      <c r="E705" s="50"/>
      <c r="F705" s="50"/>
      <c r="G705" s="50">
        <v>0</v>
      </c>
      <c r="H705" s="50"/>
      <c r="I705" s="50"/>
      <c r="J705" s="50"/>
      <c r="K705" s="50"/>
      <c r="L705" s="50"/>
      <c r="M705" s="50"/>
      <c r="N705" s="50"/>
      <c r="O705" s="50"/>
      <c r="P705" s="50"/>
      <c r="Q705" s="50"/>
      <c r="R705" s="50"/>
    </row>
    <row r="706" spans="1:18" x14ac:dyDescent="0.25">
      <c r="A706" s="43" t="s">
        <v>427</v>
      </c>
      <c r="C706" s="52">
        <v>365564</v>
      </c>
      <c r="D706" s="50">
        <v>337574</v>
      </c>
      <c r="E706" s="50">
        <v>360125</v>
      </c>
      <c r="F706" s="50">
        <v>332407</v>
      </c>
      <c r="G706" s="50">
        <v>553935</v>
      </c>
      <c r="H706" s="50">
        <v>330000</v>
      </c>
      <c r="I706" s="54">
        <f t="shared" ref="I706:I708" si="491">H706*1.023</f>
        <v>337589.99999999994</v>
      </c>
      <c r="J706" s="54">
        <f t="shared" ref="J706:K709" si="492">I706*1.024</f>
        <v>345692.15999999997</v>
      </c>
      <c r="K706" s="54">
        <f t="shared" si="492"/>
        <v>353988.77184</v>
      </c>
      <c r="L706" s="54">
        <f t="shared" ref="L706:L709" si="493">K706*1.023</f>
        <v>362130.51359231997</v>
      </c>
      <c r="M706" s="54">
        <f t="shared" ref="M706:M709" si="494">L706*1.022</f>
        <v>370097.38489135104</v>
      </c>
      <c r="N706" s="54">
        <f t="shared" ref="N706:N709" si="495">M706*1.023</f>
        <v>378609.62474385207</v>
      </c>
      <c r="O706" s="54">
        <f t="shared" ref="O706:P709" si="496">N706*1.025</f>
        <v>388074.86536244833</v>
      </c>
      <c r="P706" s="54">
        <f t="shared" si="496"/>
        <v>397776.73699650948</v>
      </c>
      <c r="Q706" s="54">
        <f t="shared" ref="Q706:R710" si="497">P706*1.024</f>
        <v>407323.37868442573</v>
      </c>
      <c r="R706" s="54">
        <f t="shared" si="497"/>
        <v>417099.13977285195</v>
      </c>
    </row>
    <row r="707" spans="1:18" x14ac:dyDescent="0.25">
      <c r="A707" s="43" t="s">
        <v>428</v>
      </c>
      <c r="C707" s="68">
        <v>20743</v>
      </c>
      <c r="D707" s="50">
        <v>30286</v>
      </c>
      <c r="E707" s="50">
        <v>31797</v>
      </c>
      <c r="F707" s="50">
        <v>28347</v>
      </c>
      <c r="G707" s="50">
        <v>24402</v>
      </c>
      <c r="H707" s="50">
        <v>32000</v>
      </c>
      <c r="I707" s="54">
        <f t="shared" si="491"/>
        <v>32735.999999999996</v>
      </c>
      <c r="J707" s="54">
        <f t="shared" si="492"/>
        <v>33521.663999999997</v>
      </c>
      <c r="K707" s="54">
        <f t="shared" si="492"/>
        <v>34326.183936000001</v>
      </c>
      <c r="L707" s="54">
        <f t="shared" si="493"/>
        <v>35115.686166528001</v>
      </c>
      <c r="M707" s="54">
        <f t="shared" si="494"/>
        <v>35888.231262191621</v>
      </c>
      <c r="N707" s="54">
        <f t="shared" si="495"/>
        <v>36713.660581222022</v>
      </c>
      <c r="O707" s="54">
        <f t="shared" si="496"/>
        <v>37631.50209575257</v>
      </c>
      <c r="P707" s="54">
        <f t="shared" si="496"/>
        <v>38572.289648146383</v>
      </c>
      <c r="Q707" s="54">
        <f t="shared" si="497"/>
        <v>39498.024599701894</v>
      </c>
      <c r="R707" s="54">
        <f t="shared" si="497"/>
        <v>40445.977190094738</v>
      </c>
    </row>
    <row r="708" spans="1:18" x14ac:dyDescent="0.25">
      <c r="A708" s="109" t="s">
        <v>429</v>
      </c>
      <c r="C708" s="68"/>
      <c r="D708" s="50"/>
      <c r="E708" s="50"/>
      <c r="F708" s="50">
        <v>2719</v>
      </c>
      <c r="G708" s="67">
        <v>6670</v>
      </c>
      <c r="H708" s="67">
        <v>7000</v>
      </c>
      <c r="I708" s="54">
        <f t="shared" si="491"/>
        <v>7160.9999999999991</v>
      </c>
      <c r="J708" s="54">
        <f t="shared" si="492"/>
        <v>7332.8639999999996</v>
      </c>
      <c r="K708" s="54">
        <f t="shared" si="492"/>
        <v>7508.8527359999998</v>
      </c>
      <c r="L708" s="54">
        <f t="shared" si="493"/>
        <v>7681.5563489279994</v>
      </c>
      <c r="M708" s="54">
        <f t="shared" si="494"/>
        <v>7850.5505886044157</v>
      </c>
      <c r="N708" s="54">
        <f t="shared" si="495"/>
        <v>8031.1132521423169</v>
      </c>
      <c r="O708" s="54">
        <f t="shared" si="496"/>
        <v>8231.8910834458748</v>
      </c>
      <c r="P708" s="54">
        <f t="shared" si="496"/>
        <v>8437.6883605320218</v>
      </c>
      <c r="Q708" s="54">
        <f t="shared" si="497"/>
        <v>8640.1928811847902</v>
      </c>
      <c r="R708" s="54">
        <f t="shared" si="497"/>
        <v>8847.5575103332249</v>
      </c>
    </row>
    <row r="709" spans="1:18" x14ac:dyDescent="0.25">
      <c r="A709" s="43" t="s">
        <v>430</v>
      </c>
      <c r="C709" s="50">
        <v>94</v>
      </c>
      <c r="D709" s="50">
        <v>0</v>
      </c>
      <c r="E709" s="50">
        <v>0</v>
      </c>
      <c r="F709" s="50">
        <v>0</v>
      </c>
      <c r="G709" s="50">
        <v>0</v>
      </c>
      <c r="H709" s="50">
        <v>20000</v>
      </c>
      <c r="I709" s="54">
        <v>40000</v>
      </c>
      <c r="J709" s="54">
        <f t="shared" si="492"/>
        <v>40960</v>
      </c>
      <c r="K709" s="54">
        <f t="shared" si="492"/>
        <v>41943.040000000001</v>
      </c>
      <c r="L709" s="54">
        <f t="shared" si="493"/>
        <v>42907.729919999998</v>
      </c>
      <c r="M709" s="54">
        <f t="shared" si="494"/>
        <v>43851.699978240002</v>
      </c>
      <c r="N709" s="54">
        <f t="shared" si="495"/>
        <v>44860.289077739515</v>
      </c>
      <c r="O709" s="54">
        <f t="shared" si="496"/>
        <v>45981.796304682997</v>
      </c>
      <c r="P709" s="54">
        <f t="shared" si="496"/>
        <v>47131.341212300067</v>
      </c>
      <c r="Q709" s="54">
        <f t="shared" si="497"/>
        <v>48262.493401395266</v>
      </c>
      <c r="R709" s="54">
        <f t="shared" si="497"/>
        <v>49420.793243028755</v>
      </c>
    </row>
    <row r="710" spans="1:18" x14ac:dyDescent="0.25">
      <c r="A710" s="43" t="s">
        <v>431</v>
      </c>
      <c r="C710" s="59">
        <v>0</v>
      </c>
      <c r="D710" s="50">
        <v>0</v>
      </c>
      <c r="E710" s="50">
        <v>0</v>
      </c>
      <c r="F710" s="50">
        <v>0</v>
      </c>
      <c r="G710" s="50">
        <v>0</v>
      </c>
      <c r="H710" s="50">
        <v>0</v>
      </c>
      <c r="I710" s="54">
        <v>0</v>
      </c>
      <c r="J710" s="54">
        <v>0</v>
      </c>
      <c r="K710" s="54">
        <v>0</v>
      </c>
      <c r="L710" s="54">
        <v>0</v>
      </c>
      <c r="M710" s="54">
        <v>0</v>
      </c>
      <c r="N710" s="54">
        <v>0</v>
      </c>
      <c r="O710" s="54">
        <v>0</v>
      </c>
      <c r="P710" s="54">
        <v>0</v>
      </c>
      <c r="Q710" s="54">
        <f t="shared" si="497"/>
        <v>0</v>
      </c>
      <c r="R710" s="54">
        <f t="shared" si="497"/>
        <v>0</v>
      </c>
    </row>
    <row r="711" spans="1:18" x14ac:dyDescent="0.25">
      <c r="A711" s="52" t="s">
        <v>432</v>
      </c>
      <c r="C711" s="59">
        <v>0</v>
      </c>
      <c r="D711" s="50"/>
      <c r="E711" s="50"/>
      <c r="F711" s="50"/>
      <c r="G711" s="50">
        <v>0</v>
      </c>
      <c r="H711" s="50"/>
      <c r="I711" s="50"/>
      <c r="J711" s="50"/>
      <c r="K711" s="50"/>
      <c r="L711" s="50"/>
      <c r="M711" s="50"/>
      <c r="N711" s="50"/>
      <c r="O711" s="50"/>
      <c r="P711" s="50"/>
      <c r="Q711" s="50"/>
      <c r="R711" s="50"/>
    </row>
    <row r="712" spans="1:18" x14ac:dyDescent="0.25">
      <c r="A712" s="52" t="s">
        <v>433</v>
      </c>
      <c r="C712" s="59">
        <v>0</v>
      </c>
      <c r="D712" s="50"/>
      <c r="E712" s="50"/>
      <c r="F712" s="50"/>
      <c r="G712" s="50">
        <v>0</v>
      </c>
      <c r="H712" s="50"/>
      <c r="I712" s="50"/>
      <c r="J712" s="50"/>
      <c r="K712" s="50"/>
      <c r="L712" s="50"/>
      <c r="M712" s="50"/>
      <c r="N712" s="50"/>
      <c r="O712" s="50"/>
      <c r="P712" s="50"/>
      <c r="Q712" s="50"/>
      <c r="R712" s="50"/>
    </row>
    <row r="713" spans="1:18" x14ac:dyDescent="0.25">
      <c r="A713" s="43" t="s">
        <v>434</v>
      </c>
      <c r="B713" s="53"/>
      <c r="C713" s="50">
        <v>0</v>
      </c>
      <c r="D713" s="50">
        <v>1320</v>
      </c>
      <c r="E713" s="50">
        <v>0</v>
      </c>
      <c r="F713" s="50">
        <v>0</v>
      </c>
      <c r="G713" s="50">
        <v>0</v>
      </c>
      <c r="H713" s="50">
        <v>0</v>
      </c>
      <c r="I713" s="50">
        <v>0</v>
      </c>
      <c r="J713" s="50">
        <v>0</v>
      </c>
      <c r="K713" s="50">
        <v>0</v>
      </c>
      <c r="L713" s="50">
        <v>0</v>
      </c>
      <c r="M713" s="50">
        <v>0</v>
      </c>
      <c r="N713" s="50">
        <v>0</v>
      </c>
      <c r="O713" s="50">
        <v>0</v>
      </c>
      <c r="P713" s="50">
        <v>0</v>
      </c>
      <c r="Q713" s="50">
        <v>0</v>
      </c>
      <c r="R713" s="50">
        <v>0</v>
      </c>
    </row>
    <row r="714" spans="1:18" x14ac:dyDescent="0.25">
      <c r="A714" s="43" t="s">
        <v>435</v>
      </c>
      <c r="C714" s="50">
        <v>0</v>
      </c>
      <c r="D714" s="50">
        <v>0</v>
      </c>
      <c r="E714" s="50">
        <v>0</v>
      </c>
      <c r="F714" s="50">
        <v>0</v>
      </c>
      <c r="G714" s="50">
        <v>0</v>
      </c>
      <c r="H714" s="50">
        <v>0</v>
      </c>
      <c r="I714" s="50">
        <v>0</v>
      </c>
      <c r="J714" s="50">
        <v>0</v>
      </c>
      <c r="K714" s="50">
        <v>0</v>
      </c>
      <c r="L714" s="50">
        <v>0</v>
      </c>
      <c r="M714" s="50">
        <v>0</v>
      </c>
      <c r="N714" s="50">
        <v>0</v>
      </c>
      <c r="O714" s="50">
        <v>0</v>
      </c>
      <c r="P714" s="50">
        <v>0</v>
      </c>
      <c r="Q714" s="50">
        <v>0</v>
      </c>
      <c r="R714" s="50">
        <v>0</v>
      </c>
    </row>
    <row r="715" spans="1:18" x14ac:dyDescent="0.25">
      <c r="A715" s="52" t="s">
        <v>436</v>
      </c>
      <c r="C715" s="50"/>
      <c r="D715" s="50"/>
      <c r="E715" s="50"/>
      <c r="F715" s="50">
        <v>21900</v>
      </c>
      <c r="G715" s="50"/>
      <c r="H715" s="50"/>
      <c r="I715" s="50"/>
      <c r="J715" s="50"/>
      <c r="K715" s="50"/>
      <c r="L715" s="50"/>
      <c r="M715" s="50"/>
      <c r="N715" s="50"/>
      <c r="O715" s="50"/>
      <c r="P715" s="50"/>
      <c r="Q715" s="50"/>
      <c r="R715" s="50"/>
    </row>
    <row r="716" spans="1:18" x14ac:dyDescent="0.25">
      <c r="A716" s="41"/>
      <c r="B716" s="44"/>
      <c r="C716" s="50"/>
      <c r="D716" s="50"/>
      <c r="E716" s="50"/>
      <c r="F716" s="50"/>
      <c r="G716" s="50"/>
      <c r="H716" s="50"/>
      <c r="I716" s="50"/>
      <c r="J716" s="50"/>
      <c r="K716" s="50"/>
      <c r="L716" s="50"/>
      <c r="M716" s="50"/>
      <c r="N716" s="50"/>
      <c r="O716" s="50"/>
      <c r="P716" s="50"/>
      <c r="Q716" s="50"/>
      <c r="R716" s="50"/>
    </row>
    <row r="717" spans="1:18" x14ac:dyDescent="0.25">
      <c r="A717" s="41" t="s">
        <v>216</v>
      </c>
      <c r="B717" s="44"/>
      <c r="C717" s="51">
        <f t="shared" ref="C717:R717" si="498">SUM(C697:C716)</f>
        <v>421635</v>
      </c>
      <c r="D717" s="51">
        <f t="shared" si="498"/>
        <v>455353</v>
      </c>
      <c r="E717" s="51">
        <f t="shared" si="498"/>
        <v>436163</v>
      </c>
      <c r="F717" s="51">
        <f t="shared" si="498"/>
        <v>454962</v>
      </c>
      <c r="G717" s="51">
        <f t="shared" si="498"/>
        <v>664004</v>
      </c>
      <c r="H717" s="51">
        <f t="shared" si="498"/>
        <v>442500</v>
      </c>
      <c r="I717" s="51">
        <f t="shared" si="498"/>
        <v>472217.49999999994</v>
      </c>
      <c r="J717" s="51">
        <f t="shared" si="498"/>
        <v>483550.71999999997</v>
      </c>
      <c r="K717" s="51">
        <f t="shared" si="498"/>
        <v>495155.93727999995</v>
      </c>
      <c r="L717" s="51">
        <f t="shared" si="498"/>
        <v>506544.52383744001</v>
      </c>
      <c r="M717" s="51">
        <f t="shared" si="498"/>
        <v>517688.50336186367</v>
      </c>
      <c r="N717" s="51">
        <f t="shared" si="498"/>
        <v>529595.33893918642</v>
      </c>
      <c r="O717" s="51">
        <f t="shared" si="498"/>
        <v>542835.22241266607</v>
      </c>
      <c r="P717" s="51">
        <f t="shared" si="498"/>
        <v>556406.10297298268</v>
      </c>
      <c r="Q717" s="51">
        <f t="shared" si="498"/>
        <v>569759.84944433428</v>
      </c>
      <c r="R717" s="51">
        <f t="shared" si="498"/>
        <v>583434.08583099837</v>
      </c>
    </row>
    <row r="718" spans="1:18" x14ac:dyDescent="0.25">
      <c r="C718" s="50"/>
      <c r="D718" s="50"/>
      <c r="E718" s="50"/>
      <c r="F718" s="50"/>
      <c r="G718" s="50"/>
      <c r="H718" s="50"/>
      <c r="I718" s="50"/>
      <c r="J718" s="50"/>
      <c r="K718" s="50"/>
      <c r="L718" s="50"/>
      <c r="M718" s="50"/>
      <c r="N718" s="50"/>
      <c r="O718" s="50"/>
      <c r="P718" s="50"/>
      <c r="Q718" s="50"/>
      <c r="R718" s="50"/>
    </row>
    <row r="719" spans="1:18" x14ac:dyDescent="0.25">
      <c r="A719" s="41" t="s">
        <v>165</v>
      </c>
      <c r="B719" s="44"/>
      <c r="C719" s="50"/>
      <c r="D719" s="50"/>
      <c r="E719" s="50"/>
      <c r="F719" s="50"/>
      <c r="G719" s="50"/>
      <c r="H719" s="50"/>
      <c r="I719" s="50"/>
      <c r="J719" s="50"/>
      <c r="K719" s="50"/>
      <c r="L719" s="50"/>
      <c r="M719" s="50"/>
      <c r="N719" s="50"/>
      <c r="O719" s="50"/>
      <c r="P719" s="50"/>
      <c r="Q719" s="50"/>
      <c r="R719" s="50"/>
    </row>
    <row r="720" spans="1:18" x14ac:dyDescent="0.25">
      <c r="C720" s="50"/>
      <c r="D720" s="50"/>
      <c r="E720" s="50"/>
      <c r="F720" s="50"/>
      <c r="G720" s="50"/>
      <c r="H720" s="50"/>
      <c r="I720" s="50"/>
      <c r="J720" s="50"/>
      <c r="K720" s="50"/>
      <c r="L720" s="50"/>
      <c r="M720" s="50"/>
      <c r="N720" s="50"/>
      <c r="O720" s="50"/>
      <c r="P720" s="50"/>
      <c r="Q720" s="50"/>
      <c r="R720" s="50"/>
    </row>
    <row r="721" spans="1:18" x14ac:dyDescent="0.25">
      <c r="A721" s="52" t="s">
        <v>437</v>
      </c>
      <c r="B721" s="53"/>
      <c r="C721" s="50"/>
      <c r="D721" s="50"/>
      <c r="E721" s="50"/>
      <c r="F721" s="50"/>
      <c r="G721" s="50"/>
      <c r="H721" s="50"/>
      <c r="I721" s="50"/>
      <c r="J721" s="50"/>
      <c r="K721" s="50"/>
      <c r="L721" s="50"/>
      <c r="M721" s="50"/>
      <c r="N721" s="50"/>
      <c r="O721" s="50"/>
      <c r="P721" s="50"/>
      <c r="Q721" s="50"/>
      <c r="R721" s="50"/>
    </row>
    <row r="722" spans="1:18" x14ac:dyDescent="0.25">
      <c r="A722" s="43" t="s">
        <v>217</v>
      </c>
      <c r="C722" s="59">
        <v>63176</v>
      </c>
      <c r="D722" s="54">
        <v>70645</v>
      </c>
      <c r="E722" s="50">
        <v>82743</v>
      </c>
      <c r="F722" s="50">
        <v>66600</v>
      </c>
      <c r="G722" s="50">
        <v>64861</v>
      </c>
      <c r="H722" s="50">
        <v>71300</v>
      </c>
      <c r="I722" s="54">
        <f>H722*1.025</f>
        <v>73082.5</v>
      </c>
      <c r="J722" s="50">
        <f>I722*1.029</f>
        <v>75201.892499999987</v>
      </c>
      <c r="K722" s="54">
        <f>J722*1.031</f>
        <v>77533.151167499978</v>
      </c>
      <c r="L722" s="54">
        <f>K722*1.033</f>
        <v>80091.745156027479</v>
      </c>
      <c r="M722" s="54">
        <f>L722*1.032</f>
        <v>82654.681001020363</v>
      </c>
      <c r="N722" s="54">
        <f>M722*1.03</f>
        <v>85134.321431050979</v>
      </c>
      <c r="O722" s="54">
        <f>N722*1.032</f>
        <v>87858.619716844609</v>
      </c>
      <c r="P722" s="54">
        <f>O722*1.034</f>
        <v>90845.812787217321</v>
      </c>
      <c r="Q722" s="54">
        <f>P722*1.034</f>
        <v>93934.570421982717</v>
      </c>
      <c r="R722" s="54">
        <f>Q722*1.034</f>
        <v>97128.345816330126</v>
      </c>
    </row>
    <row r="723" spans="1:18" x14ac:dyDescent="0.25">
      <c r="A723" s="43" t="s">
        <v>219</v>
      </c>
      <c r="C723" s="59">
        <v>7052</v>
      </c>
      <c r="D723" s="50">
        <v>5088</v>
      </c>
      <c r="E723" s="50">
        <v>7004</v>
      </c>
      <c r="F723" s="50">
        <v>1447</v>
      </c>
      <c r="G723" s="50">
        <v>4207</v>
      </c>
      <c r="H723" s="50">
        <v>4500</v>
      </c>
      <c r="I723" s="54">
        <f>H723*1.023</f>
        <v>4603.5</v>
      </c>
      <c r="J723" s="54">
        <f t="shared" ref="J723:K723" si="499">I723*1.024</f>
        <v>4713.9840000000004</v>
      </c>
      <c r="K723" s="54">
        <f t="shared" si="499"/>
        <v>4827.1196160000009</v>
      </c>
      <c r="L723" s="54">
        <f t="shared" ref="L723" si="500">K723*1.023</f>
        <v>4938.1433671680006</v>
      </c>
      <c r="M723" s="54">
        <f t="shared" ref="M723" si="501">L723*1.022</f>
        <v>5046.7825212456964</v>
      </c>
      <c r="N723" s="54">
        <f t="shared" ref="N723" si="502">M723*1.023</f>
        <v>5162.8585192343471</v>
      </c>
      <c r="O723" s="54">
        <f t="shared" ref="O723:P723" si="503">N723*1.025</f>
        <v>5291.9299822152052</v>
      </c>
      <c r="P723" s="54">
        <f t="shared" si="503"/>
        <v>5424.2282317705849</v>
      </c>
      <c r="Q723" s="54">
        <f t="shared" ref="Q723:R723" si="504">P723*1.024</f>
        <v>5554.4097093330793</v>
      </c>
      <c r="R723" s="54">
        <f t="shared" si="504"/>
        <v>5687.715542357073</v>
      </c>
    </row>
    <row r="724" spans="1:18" x14ac:dyDescent="0.25">
      <c r="A724" s="43" t="s">
        <v>220</v>
      </c>
      <c r="C724" s="52">
        <v>8128</v>
      </c>
      <c r="D724" s="50">
        <v>3721</v>
      </c>
      <c r="E724" s="50">
        <v>38918</v>
      </c>
      <c r="F724" s="50">
        <v>7515</v>
      </c>
      <c r="G724" s="50">
        <v>7665</v>
      </c>
      <c r="H724" s="50">
        <v>8100</v>
      </c>
      <c r="I724" s="54">
        <f>H724*1.025</f>
        <v>8302.5</v>
      </c>
      <c r="J724" s="50">
        <f>I724*1.029</f>
        <v>8543.2724999999991</v>
      </c>
      <c r="K724" s="54">
        <f>J724*1.031</f>
        <v>8808.1139474999982</v>
      </c>
      <c r="L724" s="54">
        <f>K724*1.033</f>
        <v>9098.7817077674972</v>
      </c>
      <c r="M724" s="54">
        <f>L724*1.032</f>
        <v>9389.9427224160572</v>
      </c>
      <c r="N724" s="54">
        <f>M724*1.03</f>
        <v>9671.6410040885385</v>
      </c>
      <c r="O724" s="54">
        <f>N724*1.032</f>
        <v>9981.1335162193718</v>
      </c>
      <c r="P724" s="54">
        <f>O724*1.034</f>
        <v>10320.49205577083</v>
      </c>
      <c r="Q724" s="54">
        <f>P724*1.034</f>
        <v>10671.388785667039</v>
      </c>
      <c r="R724" s="54">
        <f>Q724*1.034</f>
        <v>11034.216004379719</v>
      </c>
    </row>
    <row r="725" spans="1:18" x14ac:dyDescent="0.25">
      <c r="A725" s="43" t="s">
        <v>221</v>
      </c>
      <c r="C725" s="58">
        <v>5696</v>
      </c>
      <c r="D725" s="98">
        <v>4392</v>
      </c>
      <c r="E725" s="98">
        <v>4377</v>
      </c>
      <c r="F725" s="98">
        <v>7393</v>
      </c>
      <c r="G725" s="98">
        <v>4394</v>
      </c>
      <c r="H725" s="98">
        <v>4400</v>
      </c>
      <c r="I725" s="98">
        <v>4400</v>
      </c>
      <c r="J725" s="98">
        <v>5000</v>
      </c>
      <c r="K725" s="98">
        <v>5000</v>
      </c>
      <c r="L725" s="98">
        <v>5000</v>
      </c>
      <c r="M725" s="98">
        <v>5400</v>
      </c>
      <c r="N725" s="98">
        <v>5400</v>
      </c>
      <c r="O725" s="98">
        <v>5400</v>
      </c>
      <c r="P725" s="98">
        <v>5800</v>
      </c>
      <c r="Q725" s="98">
        <v>5800</v>
      </c>
      <c r="R725" s="98">
        <v>5800</v>
      </c>
    </row>
    <row r="726" spans="1:18" x14ac:dyDescent="0.25">
      <c r="A726" s="52" t="s">
        <v>438</v>
      </c>
      <c r="B726" s="53"/>
      <c r="C726" s="59">
        <v>589</v>
      </c>
      <c r="D726" s="54">
        <v>914</v>
      </c>
      <c r="E726" s="54">
        <v>974</v>
      </c>
      <c r="F726" s="54">
        <v>1075</v>
      </c>
      <c r="G726" s="50">
        <v>837</v>
      </c>
      <c r="H726" s="50">
        <v>1300</v>
      </c>
      <c r="I726" s="54">
        <f>H726*1.023</f>
        <v>1329.8999999999999</v>
      </c>
      <c r="J726" s="54">
        <f t="shared" ref="J726:K726" si="505">I726*1.024</f>
        <v>1361.8175999999999</v>
      </c>
      <c r="K726" s="54">
        <f t="shared" si="505"/>
        <v>1394.5012224</v>
      </c>
      <c r="L726" s="54">
        <f t="shared" ref="L726" si="506">K726*1.023</f>
        <v>1426.5747505151999</v>
      </c>
      <c r="M726" s="54">
        <f t="shared" ref="M726" si="507">L726*1.022</f>
        <v>1457.9593950265344</v>
      </c>
      <c r="N726" s="54">
        <f t="shared" ref="N726" si="508">M726*1.023</f>
        <v>1491.4924611121446</v>
      </c>
      <c r="O726" s="54">
        <f t="shared" ref="O726:P726" si="509">N726*1.025</f>
        <v>1528.7797726399481</v>
      </c>
      <c r="P726" s="54">
        <f t="shared" si="509"/>
        <v>1566.9992669559467</v>
      </c>
      <c r="Q726" s="54">
        <f t="shared" ref="Q726:R726" si="510">P726*1.024</f>
        <v>1604.6072493628894</v>
      </c>
      <c r="R726" s="54">
        <f t="shared" si="510"/>
        <v>1643.1178233475989</v>
      </c>
    </row>
    <row r="727" spans="1:18" x14ac:dyDescent="0.25">
      <c r="A727" s="52" t="s">
        <v>439</v>
      </c>
      <c r="B727" s="53"/>
      <c r="C727" s="59"/>
      <c r="D727" s="50"/>
      <c r="E727" s="50"/>
      <c r="F727" s="50"/>
      <c r="G727" s="50"/>
      <c r="H727" s="50"/>
      <c r="I727" s="50"/>
      <c r="J727" s="54"/>
      <c r="K727" s="50"/>
      <c r="L727" s="50"/>
      <c r="M727" s="50"/>
      <c r="N727" s="50"/>
      <c r="O727" s="50"/>
      <c r="P727" s="50"/>
      <c r="Q727" s="50"/>
      <c r="R727" s="50"/>
    </row>
    <row r="728" spans="1:18" x14ac:dyDescent="0.25">
      <c r="A728" s="52" t="s">
        <v>220</v>
      </c>
      <c r="B728" s="53"/>
      <c r="C728" s="59"/>
      <c r="D728" s="50"/>
      <c r="E728" s="50"/>
      <c r="F728" s="50"/>
      <c r="G728" s="50"/>
      <c r="H728" s="50"/>
      <c r="I728" s="50"/>
      <c r="J728" s="54"/>
      <c r="K728" s="50"/>
      <c r="L728" s="50"/>
      <c r="M728" s="50"/>
      <c r="N728" s="50"/>
      <c r="O728" s="50"/>
      <c r="P728" s="50"/>
      <c r="Q728" s="50"/>
      <c r="R728" s="50"/>
    </row>
    <row r="729" spans="1:18" x14ac:dyDescent="0.25">
      <c r="A729" s="52" t="s">
        <v>440</v>
      </c>
      <c r="B729" s="53"/>
      <c r="C729" s="59"/>
      <c r="D729" s="50"/>
      <c r="E729" s="50"/>
      <c r="F729" s="50"/>
      <c r="G729" s="50"/>
      <c r="H729" s="50"/>
      <c r="I729" s="50"/>
      <c r="J729" s="54"/>
      <c r="K729" s="50"/>
      <c r="L729" s="50"/>
      <c r="M729" s="50"/>
      <c r="N729" s="50"/>
      <c r="O729" s="50"/>
      <c r="P729" s="50"/>
      <c r="Q729" s="50"/>
      <c r="R729" s="50"/>
    </row>
    <row r="730" spans="1:18" x14ac:dyDescent="0.25">
      <c r="A730" s="52" t="s">
        <v>441</v>
      </c>
      <c r="B730" s="53"/>
      <c r="C730" s="59"/>
      <c r="D730" s="50"/>
      <c r="E730" s="50"/>
      <c r="F730" s="50"/>
      <c r="G730" s="50"/>
      <c r="H730" s="50"/>
      <c r="I730" s="50"/>
      <c r="J730" s="50"/>
      <c r="K730" s="50"/>
      <c r="L730" s="50"/>
      <c r="M730" s="50"/>
      <c r="N730" s="50"/>
      <c r="O730" s="50"/>
      <c r="P730" s="50"/>
      <c r="Q730" s="50"/>
      <c r="R730" s="50"/>
    </row>
    <row r="731" spans="1:18" x14ac:dyDescent="0.25">
      <c r="A731" s="52" t="s">
        <v>442</v>
      </c>
      <c r="B731" s="53"/>
      <c r="C731" s="59">
        <v>489</v>
      </c>
      <c r="D731" s="50">
        <v>501</v>
      </c>
      <c r="E731" s="50">
        <v>480</v>
      </c>
      <c r="F731" s="50">
        <v>1004</v>
      </c>
      <c r="G731" s="50">
        <v>532</v>
      </c>
      <c r="H731" s="50">
        <v>700</v>
      </c>
      <c r="I731" s="50">
        <v>719.7</v>
      </c>
      <c r="J731" s="50">
        <v>739.72620000000006</v>
      </c>
      <c r="K731" s="50">
        <v>760.37069880000013</v>
      </c>
      <c r="L731" s="50">
        <v>781.01160312240017</v>
      </c>
      <c r="M731" s="50">
        <v>801.62644804109277</v>
      </c>
      <c r="N731" s="50">
        <v>823.53935336666291</v>
      </c>
      <c r="O731" s="50">
        <v>847.50679263754819</v>
      </c>
      <c r="P731" s="50">
        <v>872.24236566204127</v>
      </c>
      <c r="Q731" s="50">
        <v>897.05049274167231</v>
      </c>
      <c r="R731" s="50">
        <v>922.64773038640124</v>
      </c>
    </row>
    <row r="732" spans="1:18" x14ac:dyDescent="0.25">
      <c r="A732" s="43" t="s">
        <v>304</v>
      </c>
      <c r="C732" s="77">
        <v>0</v>
      </c>
      <c r="D732" s="77">
        <v>0</v>
      </c>
      <c r="E732" s="74">
        <v>0</v>
      </c>
      <c r="F732" s="74">
        <v>0</v>
      </c>
      <c r="G732" s="74">
        <v>0</v>
      </c>
      <c r="H732" s="74">
        <v>0</v>
      </c>
      <c r="I732" s="74">
        <v>0</v>
      </c>
      <c r="J732" s="74">
        <v>0</v>
      </c>
      <c r="K732" s="74">
        <v>0</v>
      </c>
      <c r="L732" s="74">
        <v>0</v>
      </c>
      <c r="M732" s="74">
        <v>0</v>
      </c>
      <c r="N732" s="74">
        <v>0</v>
      </c>
      <c r="O732" s="74">
        <v>0</v>
      </c>
      <c r="P732" s="74">
        <v>0</v>
      </c>
      <c r="Q732" s="74">
        <v>0</v>
      </c>
      <c r="R732" s="74">
        <v>0</v>
      </c>
    </row>
    <row r="733" spans="1:18" x14ac:dyDescent="0.25">
      <c r="A733" s="52" t="s">
        <v>443</v>
      </c>
      <c r="C733" s="110">
        <v>3747</v>
      </c>
      <c r="D733" s="110">
        <v>3747</v>
      </c>
      <c r="E733" s="111">
        <v>1140</v>
      </c>
      <c r="F733" s="112">
        <v>1140</v>
      </c>
      <c r="G733" s="113">
        <v>1140</v>
      </c>
      <c r="H733" s="101">
        <v>1170</v>
      </c>
      <c r="I733" s="101">
        <v>1190</v>
      </c>
      <c r="J733" s="101">
        <v>1220</v>
      </c>
      <c r="K733" s="101">
        <v>1250</v>
      </c>
      <c r="L733" s="101">
        <v>1290</v>
      </c>
      <c r="M733" s="101">
        <v>1310</v>
      </c>
      <c r="N733" s="101">
        <v>1340</v>
      </c>
      <c r="O733" s="101">
        <v>1380</v>
      </c>
      <c r="P733" s="101">
        <v>1410</v>
      </c>
      <c r="Q733" s="101">
        <v>1440</v>
      </c>
      <c r="R733" s="101">
        <v>1440</v>
      </c>
    </row>
    <row r="734" spans="1:18" x14ac:dyDescent="0.25">
      <c r="A734" s="52" t="s">
        <v>444</v>
      </c>
      <c r="B734" s="53"/>
      <c r="C734" s="54">
        <v>4450</v>
      </c>
      <c r="D734" s="50">
        <v>7571</v>
      </c>
      <c r="E734" s="50">
        <v>16882</v>
      </c>
      <c r="F734" s="50">
        <v>13557</v>
      </c>
      <c r="G734" s="50">
        <v>3878</v>
      </c>
      <c r="H734" s="50">
        <v>13690</v>
      </c>
      <c r="I734" s="50">
        <v>14046.650000000001</v>
      </c>
      <c r="J734" s="50">
        <v>14431.397449999997</v>
      </c>
      <c r="K734" s="50">
        <v>14836.560830050003</v>
      </c>
      <c r="L734" s="50">
        <v>15254.644274853646</v>
      </c>
      <c r="M734" s="50">
        <v>15671.525553846972</v>
      </c>
      <c r="N734" s="50">
        <v>16099.61129892349</v>
      </c>
      <c r="O734" s="50">
        <v>16569.288296737654</v>
      </c>
      <c r="P734" s="50">
        <v>17064.248285779046</v>
      </c>
      <c r="Q734" s="50">
        <v>17565.074306366507</v>
      </c>
      <c r="R734" s="50">
        <v>18081.578530199011</v>
      </c>
    </row>
    <row r="735" spans="1:18" x14ac:dyDescent="0.25">
      <c r="A735" s="43" t="s">
        <v>304</v>
      </c>
      <c r="C735" s="77">
        <v>2711</v>
      </c>
      <c r="D735" s="74">
        <v>2711</v>
      </c>
      <c r="E735" s="72">
        <v>2711</v>
      </c>
      <c r="F735" s="74">
        <v>2711</v>
      </c>
      <c r="G735" s="105">
        <v>2711</v>
      </c>
      <c r="H735" s="73">
        <v>4440</v>
      </c>
      <c r="I735" s="73">
        <v>4540</v>
      </c>
      <c r="J735" s="73">
        <v>4650</v>
      </c>
      <c r="K735" s="73">
        <v>4760</v>
      </c>
      <c r="L735" s="73">
        <v>4870</v>
      </c>
      <c r="M735" s="73">
        <v>4980</v>
      </c>
      <c r="N735" s="73">
        <v>5100</v>
      </c>
      <c r="O735" s="73">
        <v>5220</v>
      </c>
      <c r="P735" s="73">
        <v>5350</v>
      </c>
      <c r="Q735" s="73">
        <v>5480</v>
      </c>
      <c r="R735" s="73">
        <v>5480</v>
      </c>
    </row>
    <row r="736" spans="1:18" x14ac:dyDescent="0.25">
      <c r="A736" s="52" t="s">
        <v>443</v>
      </c>
      <c r="C736" s="81">
        <v>21071</v>
      </c>
      <c r="D736" s="81">
        <v>22053</v>
      </c>
      <c r="E736" s="79">
        <v>8721</v>
      </c>
      <c r="F736" s="79">
        <v>8721</v>
      </c>
      <c r="G736" s="79">
        <v>8804</v>
      </c>
      <c r="H736" s="101">
        <v>9000</v>
      </c>
      <c r="I736" s="101">
        <v>9210</v>
      </c>
      <c r="J736" s="101">
        <v>9430</v>
      </c>
      <c r="K736" s="101">
        <v>9660</v>
      </c>
      <c r="L736" s="101">
        <v>9880</v>
      </c>
      <c r="M736" s="101">
        <v>10100</v>
      </c>
      <c r="N736" s="101">
        <v>10330</v>
      </c>
      <c r="O736" s="101">
        <v>10580</v>
      </c>
      <c r="P736" s="101">
        <v>10850</v>
      </c>
      <c r="Q736" s="101">
        <v>11170</v>
      </c>
      <c r="R736" s="101">
        <v>11170</v>
      </c>
    </row>
    <row r="737" spans="1:20" x14ac:dyDescent="0.25">
      <c r="A737" s="52" t="s">
        <v>445</v>
      </c>
      <c r="B737" s="53"/>
      <c r="C737" s="50"/>
      <c r="D737" s="50"/>
      <c r="E737" s="50"/>
      <c r="F737" s="50"/>
      <c r="G737" s="50"/>
      <c r="H737" s="50"/>
      <c r="I737" s="50"/>
      <c r="J737" s="50"/>
      <c r="K737" s="50"/>
      <c r="L737" s="50"/>
      <c r="M737" s="50"/>
      <c r="N737" s="50"/>
      <c r="O737" s="50"/>
      <c r="P737" s="50"/>
      <c r="Q737" s="50"/>
      <c r="R737" s="50"/>
    </row>
    <row r="738" spans="1:20" x14ac:dyDescent="0.25">
      <c r="A738" s="52" t="s">
        <v>446</v>
      </c>
      <c r="B738" s="53"/>
      <c r="C738" s="59">
        <v>73178</v>
      </c>
      <c r="D738" s="50">
        <v>73620</v>
      </c>
      <c r="E738" s="50">
        <v>68270</v>
      </c>
      <c r="F738" s="50">
        <v>80203</v>
      </c>
      <c r="G738" s="50">
        <v>71905</v>
      </c>
      <c r="H738" s="50">
        <v>80000</v>
      </c>
      <c r="I738" s="50">
        <v>81899.599999999977</v>
      </c>
      <c r="J738" s="50">
        <v>84017.915399999983</v>
      </c>
      <c r="K738" s="50">
        <v>86254.361004599981</v>
      </c>
      <c r="L738" s="50">
        <v>88562.262907255776</v>
      </c>
      <c r="M738" s="50">
        <v>90845.377993550559</v>
      </c>
      <c r="N738" s="50">
        <v>93176.641693809128</v>
      </c>
      <c r="O738" s="50">
        <v>95755.132342753481</v>
      </c>
      <c r="P738" s="50">
        <v>98479.49707219268</v>
      </c>
      <c r="Q738" s="50">
        <v>101222.69717879193</v>
      </c>
      <c r="R738" s="50">
        <v>104044.64362196304</v>
      </c>
    </row>
    <row r="739" spans="1:20" x14ac:dyDescent="0.25">
      <c r="A739" s="52" t="s">
        <v>447</v>
      </c>
      <c r="B739" s="53"/>
      <c r="C739" s="59">
        <v>17725</v>
      </c>
      <c r="D739" s="50">
        <v>21501</v>
      </c>
      <c r="E739" s="50">
        <v>24980</v>
      </c>
      <c r="F739" s="50">
        <v>32625</v>
      </c>
      <c r="G739" s="50">
        <v>27151</v>
      </c>
      <c r="H739" s="50">
        <v>32700</v>
      </c>
      <c r="I739" s="50">
        <v>33480.300000000003</v>
      </c>
      <c r="J739" s="50">
        <v>34356.089699999997</v>
      </c>
      <c r="K739" s="50">
        <v>35284.737210299994</v>
      </c>
      <c r="L739" s="50">
        <v>36249.612594111895</v>
      </c>
      <c r="M739" s="50">
        <v>37205.490271280534</v>
      </c>
      <c r="N739" s="50">
        <v>38175.634738470908</v>
      </c>
      <c r="O739" s="50">
        <v>39247.876343612123</v>
      </c>
      <c r="P739" s="50">
        <v>40385.444343956529</v>
      </c>
      <c r="Q739" s="50">
        <v>41534.348018071199</v>
      </c>
      <c r="R739" s="50">
        <v>42716.933582699858</v>
      </c>
    </row>
    <row r="740" spans="1:20" x14ac:dyDescent="0.25">
      <c r="A740" s="52" t="s">
        <v>448</v>
      </c>
      <c r="B740" s="53"/>
      <c r="C740" s="59">
        <v>13844</v>
      </c>
      <c r="D740" s="50">
        <v>17793</v>
      </c>
      <c r="E740" s="50">
        <v>14005</v>
      </c>
      <c r="F740" s="50">
        <v>10683</v>
      </c>
      <c r="G740" s="50">
        <v>25065</v>
      </c>
      <c r="H740" s="50">
        <v>16700</v>
      </c>
      <c r="I740" s="50">
        <v>17102.899999999998</v>
      </c>
      <c r="J740" s="50">
        <v>17561.544599999994</v>
      </c>
      <c r="K740" s="50">
        <v>18052.422575399996</v>
      </c>
      <c r="L740" s="50">
        <v>18569.845913284196</v>
      </c>
      <c r="M740" s="50">
        <v>19083.973323441896</v>
      </c>
      <c r="N740" s="50">
        <v>19599.18350384834</v>
      </c>
      <c r="O740" s="50">
        <v>20167.730249230848</v>
      </c>
      <c r="P740" s="50">
        <v>20776.170899964356</v>
      </c>
      <c r="Q740" s="50">
        <v>21394.567674803311</v>
      </c>
      <c r="R740" s="50">
        <v>22031.878107128552</v>
      </c>
    </row>
    <row r="741" spans="1:20" x14ac:dyDescent="0.25">
      <c r="A741" s="52" t="s">
        <v>449</v>
      </c>
      <c r="B741" s="53"/>
      <c r="C741" s="59">
        <v>0</v>
      </c>
      <c r="D741" s="50">
        <v>2383</v>
      </c>
      <c r="E741" s="50">
        <v>71</v>
      </c>
      <c r="F741" s="50">
        <v>980</v>
      </c>
      <c r="G741" s="50">
        <v>506</v>
      </c>
      <c r="H741" s="50">
        <v>3000</v>
      </c>
      <c r="I741" s="50">
        <v>3073.2000000000003</v>
      </c>
      <c r="J741" s="50">
        <v>3157.7192999999997</v>
      </c>
      <c r="K741" s="50">
        <v>3249.0090206999994</v>
      </c>
      <c r="L741" s="50">
        <v>3346.5720791510989</v>
      </c>
      <c r="M741" s="50">
        <v>3443.786098949598</v>
      </c>
      <c r="N741" s="50">
        <v>3540.0341863883423</v>
      </c>
      <c r="O741" s="50">
        <v>3646.0872784258404</v>
      </c>
      <c r="P741" s="50">
        <v>3760.528771924332</v>
      </c>
      <c r="Q741" s="50">
        <v>3877.5382937062182</v>
      </c>
      <c r="R741" s="50">
        <v>3998.2657762735635</v>
      </c>
    </row>
    <row r="742" spans="1:20" x14ac:dyDescent="0.25">
      <c r="A742" s="52" t="s">
        <v>450</v>
      </c>
      <c r="B742" s="53"/>
      <c r="C742" s="59">
        <v>1779</v>
      </c>
      <c r="D742" s="50">
        <v>1373</v>
      </c>
      <c r="E742" s="50">
        <v>1509</v>
      </c>
      <c r="F742" s="50">
        <f>2357-672</f>
        <v>1685</v>
      </c>
      <c r="G742" s="50">
        <v>548</v>
      </c>
      <c r="H742" s="50">
        <v>6000</v>
      </c>
      <c r="I742" s="50">
        <v>6144.7999999999993</v>
      </c>
      <c r="J742" s="50">
        <v>6309.7002000000002</v>
      </c>
      <c r="K742" s="50">
        <v>6486.2354598000002</v>
      </c>
      <c r="L742" s="50">
        <v>6672.3912055253995</v>
      </c>
      <c r="M742" s="50">
        <v>6857.3762290919085</v>
      </c>
      <c r="N742" s="50">
        <v>7042.6860844342937</v>
      </c>
      <c r="O742" s="50">
        <v>7247.1711446806203</v>
      </c>
      <c r="P742" s="50">
        <v>7466.0569276922433</v>
      </c>
      <c r="Q742" s="50">
        <v>7688.5628778946593</v>
      </c>
      <c r="R742" s="50">
        <v>7917.8818707558203</v>
      </c>
    </row>
    <row r="743" spans="1:20" x14ac:dyDescent="0.25">
      <c r="A743" s="52" t="s">
        <v>443</v>
      </c>
      <c r="C743" s="114">
        <v>672</v>
      </c>
      <c r="D743" s="115">
        <v>672</v>
      </c>
      <c r="E743" s="115">
        <v>672</v>
      </c>
      <c r="F743" s="116">
        <v>672</v>
      </c>
      <c r="G743" s="117">
        <v>672</v>
      </c>
      <c r="H743" s="111">
        <v>690</v>
      </c>
      <c r="I743" s="111">
        <v>700</v>
      </c>
      <c r="J743" s="111">
        <v>730</v>
      </c>
      <c r="K743" s="111">
        <v>740</v>
      </c>
      <c r="L743" s="111">
        <v>760</v>
      </c>
      <c r="M743" s="111">
        <v>780</v>
      </c>
      <c r="N743" s="111">
        <v>790</v>
      </c>
      <c r="O743" s="111">
        <v>810</v>
      </c>
      <c r="P743" s="111">
        <v>830</v>
      </c>
      <c r="Q743" s="111">
        <v>850</v>
      </c>
      <c r="R743" s="111">
        <v>850</v>
      </c>
    </row>
    <row r="744" spans="1:20" x14ac:dyDescent="0.25">
      <c r="A744" s="52" t="s">
        <v>451</v>
      </c>
      <c r="B744" s="53"/>
      <c r="C744" s="50"/>
      <c r="D744" s="50"/>
      <c r="E744" s="50"/>
      <c r="F744" s="50"/>
      <c r="G744" s="50"/>
      <c r="H744" s="50"/>
      <c r="I744" s="50"/>
      <c r="J744" s="50"/>
      <c r="K744" s="50"/>
      <c r="L744" s="50"/>
      <c r="M744" s="50"/>
      <c r="N744" s="50"/>
      <c r="O744" s="50"/>
      <c r="P744" s="50"/>
      <c r="Q744" s="50"/>
      <c r="R744" s="50"/>
    </row>
    <row r="745" spans="1:20" x14ac:dyDescent="0.25">
      <c r="A745" s="52" t="s">
        <v>452</v>
      </c>
      <c r="B745" s="53"/>
      <c r="C745" s="54">
        <f>565895-67746-2246-7682-48181</f>
        <v>440040</v>
      </c>
      <c r="D745" s="50">
        <v>376917</v>
      </c>
      <c r="E745" s="50">
        <v>399837</v>
      </c>
      <c r="F745" s="50">
        <f>556531-10917-42478-99831-2446-302.18-8761-4257</f>
        <v>387538.82</v>
      </c>
      <c r="G745" s="50">
        <v>329089</v>
      </c>
      <c r="H745" s="50">
        <v>340347.69576679997</v>
      </c>
      <c r="I745" s="50">
        <v>348593.79307841626</v>
      </c>
      <c r="J745" s="50">
        <v>357936.79852541967</v>
      </c>
      <c r="K745" s="50">
        <v>367919.83098830987</v>
      </c>
      <c r="L745" s="50">
        <v>378422.79440813762</v>
      </c>
      <c r="M745" s="50">
        <v>388863.26435530186</v>
      </c>
      <c r="N745" s="50">
        <v>399346.21674847591</v>
      </c>
      <c r="O745" s="50">
        <v>410902.17518670147</v>
      </c>
      <c r="P745" s="50">
        <v>423249.97039456124</v>
      </c>
      <c r="Q745" s="50">
        <v>435795.36827576929</v>
      </c>
      <c r="R745" s="50">
        <f>442898.52335339+5817</f>
        <v>448715.52335338999</v>
      </c>
    </row>
    <row r="746" spans="1:20" x14ac:dyDescent="0.25">
      <c r="A746" s="52" t="s">
        <v>453</v>
      </c>
      <c r="B746" s="53"/>
      <c r="C746" s="54"/>
      <c r="D746" s="50"/>
      <c r="E746" s="50">
        <v>0</v>
      </c>
      <c r="F746" s="50">
        <f>10917</f>
        <v>10917</v>
      </c>
      <c r="G746" s="50">
        <v>23460</v>
      </c>
      <c r="H746" s="50">
        <v>33100</v>
      </c>
      <c r="I746" s="50">
        <v>33896.300000000003</v>
      </c>
      <c r="J746" s="50">
        <v>34799.498699999996</v>
      </c>
      <c r="K746" s="50">
        <v>35763.890481299997</v>
      </c>
      <c r="L746" s="50">
        <v>36776.758720494894</v>
      </c>
      <c r="M746" s="50">
        <v>37782.42602948891</v>
      </c>
      <c r="N746" s="50">
        <v>38793.430221191345</v>
      </c>
      <c r="O746" s="50">
        <v>39909.534621536041</v>
      </c>
      <c r="P746" s="50">
        <v>41101.35058322316</v>
      </c>
      <c r="Q746" s="50">
        <v>42310.756591018027</v>
      </c>
      <c r="R746" s="50">
        <v>43557</v>
      </c>
    </row>
    <row r="747" spans="1:20" x14ac:dyDescent="0.25">
      <c r="A747" s="52" t="s">
        <v>443</v>
      </c>
      <c r="B747" s="53"/>
      <c r="C747" s="54"/>
      <c r="D747" s="50"/>
      <c r="E747" s="50"/>
      <c r="F747" s="50"/>
      <c r="G747" s="50"/>
      <c r="H747" s="115">
        <v>1290</v>
      </c>
      <c r="I747" s="115">
        <v>1320</v>
      </c>
      <c r="J747" s="115">
        <v>1360</v>
      </c>
      <c r="K747" s="115">
        <v>1380</v>
      </c>
      <c r="L747" s="115">
        <v>1420</v>
      </c>
      <c r="M747" s="115">
        <v>1450</v>
      </c>
      <c r="N747" s="115">
        <v>1480</v>
      </c>
      <c r="O747" s="115">
        <v>1520</v>
      </c>
      <c r="P747" s="115">
        <v>1560</v>
      </c>
      <c r="Q747" s="115">
        <v>1600</v>
      </c>
      <c r="R747" s="115">
        <v>1600</v>
      </c>
      <c r="S747" s="115"/>
    </row>
    <row r="748" spans="1:20" x14ac:dyDescent="0.25">
      <c r="A748" s="52" t="s">
        <v>454</v>
      </c>
      <c r="B748" s="53"/>
      <c r="C748" s="52">
        <v>12066</v>
      </c>
      <c r="D748" s="50">
        <v>7069</v>
      </c>
      <c r="E748" s="50">
        <v>14265</v>
      </c>
      <c r="F748" s="43">
        <v>29269</v>
      </c>
      <c r="G748" s="50">
        <v>28836</v>
      </c>
      <c r="H748" s="50">
        <v>28800</v>
      </c>
      <c r="I748" s="54">
        <f>H748*1.023</f>
        <v>29462.399999999998</v>
      </c>
      <c r="J748" s="54">
        <f t="shared" ref="J748:K748" si="511">I748*1.024</f>
        <v>30169.497599999999</v>
      </c>
      <c r="K748" s="54">
        <f t="shared" si="511"/>
        <v>30893.5655424</v>
      </c>
      <c r="L748" s="54">
        <f t="shared" ref="L748" si="512">K748*1.023</f>
        <v>31604.117549875198</v>
      </c>
      <c r="M748" s="54">
        <f t="shared" ref="M748" si="513">L748*1.022</f>
        <v>32299.408135972451</v>
      </c>
      <c r="N748" s="54">
        <f t="shared" ref="N748" si="514">M748*1.023</f>
        <v>33042.294523099816</v>
      </c>
      <c r="O748" s="54">
        <f t="shared" ref="O748:P748" si="515">N748*1.025</f>
        <v>33868.351886177305</v>
      </c>
      <c r="P748" s="54">
        <f t="shared" si="515"/>
        <v>34715.060683331736</v>
      </c>
      <c r="Q748" s="54">
        <f t="shared" ref="Q748:R748" si="516">P748*1.024</f>
        <v>35548.222139731697</v>
      </c>
      <c r="R748" s="54">
        <f t="shared" si="516"/>
        <v>36401.37947108526</v>
      </c>
    </row>
    <row r="749" spans="1:20" x14ac:dyDescent="0.25">
      <c r="A749" s="43" t="s">
        <v>220</v>
      </c>
      <c r="C749" s="50">
        <f>41248+6933</f>
        <v>48181</v>
      </c>
      <c r="D749" s="50">
        <v>43441</v>
      </c>
      <c r="E749" s="50">
        <v>37433</v>
      </c>
      <c r="F749" s="50">
        <v>42478</v>
      </c>
      <c r="G749" s="54">
        <v>53475</v>
      </c>
      <c r="H749" s="54">
        <v>73800</v>
      </c>
      <c r="I749" s="54">
        <f>H749*1.025</f>
        <v>75645</v>
      </c>
      <c r="J749" s="50">
        <f>I749*1.029</f>
        <v>77838.704999999987</v>
      </c>
      <c r="K749" s="54">
        <f>J749*1.031</f>
        <v>80251.704854999974</v>
      </c>
      <c r="L749" s="54">
        <f>K749*1.033</f>
        <v>82900.011115214962</v>
      </c>
      <c r="M749" s="54">
        <f>L749*1.032</f>
        <v>85552.811470901841</v>
      </c>
      <c r="N749" s="54">
        <f>M749*1.03</f>
        <v>88119.395815028896</v>
      </c>
      <c r="O749" s="54">
        <f>N749*1.032</f>
        <v>90939.216481109819</v>
      </c>
      <c r="P749" s="54">
        <f>O749*1.034</f>
        <v>94031.149841467559</v>
      </c>
      <c r="Q749" s="54">
        <f>P749*1.034</f>
        <v>97228.208936077455</v>
      </c>
      <c r="R749" s="54">
        <f>Q749*1.034</f>
        <v>100533.9680399041</v>
      </c>
      <c r="S749" s="54"/>
    </row>
    <row r="750" spans="1:20" x14ac:dyDescent="0.25">
      <c r="A750" s="52" t="s">
        <v>443</v>
      </c>
      <c r="C750" s="118">
        <v>67746</v>
      </c>
      <c r="D750" s="115">
        <v>84994</v>
      </c>
      <c r="E750" s="115">
        <v>107884</v>
      </c>
      <c r="F750" s="117">
        <f>99831+8761</f>
        <v>108592</v>
      </c>
      <c r="G750" s="115">
        <v>118959</v>
      </c>
      <c r="H750" s="117">
        <v>111880</v>
      </c>
      <c r="I750" s="115">
        <v>114400</v>
      </c>
      <c r="J750" s="115">
        <v>117170</v>
      </c>
      <c r="K750" s="115">
        <v>119970</v>
      </c>
      <c r="L750" s="115">
        <v>122760</v>
      </c>
      <c r="M750" s="115">
        <v>125410</v>
      </c>
      <c r="N750" s="115">
        <v>128270</v>
      </c>
      <c r="O750" s="115">
        <v>131460</v>
      </c>
      <c r="P750" s="115">
        <v>134800</v>
      </c>
      <c r="Q750" s="115">
        <v>138000</v>
      </c>
      <c r="R750" s="115">
        <v>138000</v>
      </c>
    </row>
    <row r="751" spans="1:20" x14ac:dyDescent="0.25">
      <c r="A751" s="43" t="s">
        <v>303</v>
      </c>
      <c r="C751" s="105">
        <v>2246</v>
      </c>
      <c r="D751" s="71">
        <v>2246</v>
      </c>
      <c r="E751" s="71">
        <v>2246</v>
      </c>
      <c r="F751" s="105">
        <v>2446</v>
      </c>
      <c r="G751" s="71">
        <v>2246</v>
      </c>
      <c r="H751" s="71">
        <v>5570</v>
      </c>
      <c r="I751" s="71">
        <v>5700</v>
      </c>
      <c r="J751" s="71">
        <v>5840</v>
      </c>
      <c r="K751" s="71">
        <v>5980</v>
      </c>
      <c r="L751" s="71">
        <v>6120</v>
      </c>
      <c r="M751" s="71">
        <v>6250</v>
      </c>
      <c r="N751" s="71">
        <v>6390</v>
      </c>
      <c r="O751" s="71">
        <v>6560</v>
      </c>
      <c r="P751" s="71">
        <v>6720</v>
      </c>
      <c r="Q751" s="71">
        <v>6880</v>
      </c>
      <c r="R751" s="71">
        <v>6880</v>
      </c>
      <c r="T751" s="71">
        <v>769871</v>
      </c>
    </row>
    <row r="752" spans="1:20" x14ac:dyDescent="0.25">
      <c r="A752" s="43" t="s">
        <v>389</v>
      </c>
      <c r="C752" s="117">
        <v>7682</v>
      </c>
      <c r="D752" s="71"/>
      <c r="E752" s="71"/>
      <c r="F752" s="71"/>
      <c r="G752" s="71"/>
      <c r="H752" s="100"/>
      <c r="I752" s="100"/>
      <c r="J752" s="71"/>
      <c r="K752" s="71"/>
      <c r="L752" s="100"/>
      <c r="M752" s="100"/>
      <c r="N752" s="71"/>
      <c r="O752" s="71"/>
      <c r="P752" s="71"/>
      <c r="Q752" s="71"/>
      <c r="R752" s="71"/>
      <c r="T752">
        <v>775698</v>
      </c>
    </row>
    <row r="753" spans="1:18" x14ac:dyDescent="0.25">
      <c r="A753" s="43" t="s">
        <v>455</v>
      </c>
      <c r="C753" s="54">
        <f>126330-18551-32842</f>
        <v>74937</v>
      </c>
      <c r="D753" s="50">
        <v>79825</v>
      </c>
      <c r="E753" s="50">
        <v>80329</v>
      </c>
      <c r="F753" s="50">
        <f>135720-19125-18726-704-20286</f>
        <v>76879</v>
      </c>
      <c r="G753" s="50">
        <v>79964</v>
      </c>
      <c r="H753" s="50">
        <v>98090</v>
      </c>
      <c r="I753" s="50">
        <v>99703.049999999988</v>
      </c>
      <c r="J753" s="50">
        <v>102343.34904999996</v>
      </c>
      <c r="K753" s="50">
        <v>105137.01366345002</v>
      </c>
      <c r="L753" s="50">
        <v>108017.65260708428</v>
      </c>
      <c r="M753" s="50">
        <v>110880.79924331512</v>
      </c>
      <c r="N753" s="50">
        <v>113813.1646092271</v>
      </c>
      <c r="O753" s="50">
        <v>117034.92779558865</v>
      </c>
      <c r="P753" s="50">
        <v>120433.14607607969</v>
      </c>
      <c r="Q753" s="50">
        <v>123863.02865294859</v>
      </c>
      <c r="R753" s="50">
        <v>127395.34463733769</v>
      </c>
    </row>
    <row r="754" spans="1:18" x14ac:dyDescent="0.25">
      <c r="A754" s="43" t="s">
        <v>456</v>
      </c>
      <c r="B754" s="53"/>
      <c r="C754" s="54">
        <f>17988+47+516</f>
        <v>18551</v>
      </c>
      <c r="D754" s="50">
        <v>19822</v>
      </c>
      <c r="E754" s="50">
        <v>15222</v>
      </c>
      <c r="F754" s="50">
        <f>38303-18726-704+252.08</f>
        <v>19125.080000000002</v>
      </c>
      <c r="G754" s="50">
        <v>15688</v>
      </c>
      <c r="H754" s="50">
        <v>18530</v>
      </c>
      <c r="I754" s="50">
        <v>4496.75</v>
      </c>
      <c r="J754" s="50">
        <v>4655.2904499999968</v>
      </c>
      <c r="K754" s="50">
        <v>4820.3498700499986</v>
      </c>
      <c r="L754" s="50">
        <v>4990.9317918896486</v>
      </c>
      <c r="M754" s="50">
        <v>5167.0322126051979</v>
      </c>
      <c r="N754" s="50">
        <v>5351.2192390605123</v>
      </c>
      <c r="O754" s="50">
        <v>5545.4790769102001</v>
      </c>
      <c r="P754" s="50">
        <v>5747.9783115869395</v>
      </c>
      <c r="Q754" s="50">
        <v>5957.4072175616457</v>
      </c>
      <c r="R754" s="50">
        <v>6175.3927925788448</v>
      </c>
    </row>
    <row r="755" spans="1:18" x14ac:dyDescent="0.25">
      <c r="A755" s="52" t="s">
        <v>457</v>
      </c>
      <c r="B755" s="53"/>
      <c r="C755" s="54"/>
      <c r="D755" s="50"/>
      <c r="E755" s="50"/>
      <c r="F755" s="50"/>
      <c r="G755" s="50"/>
      <c r="H755" s="50">
        <v>35000</v>
      </c>
      <c r="I755" s="50"/>
      <c r="J755" s="50"/>
      <c r="K755" s="50"/>
      <c r="L755" s="50"/>
      <c r="M755" s="50"/>
      <c r="N755" s="50"/>
      <c r="O755" s="50"/>
      <c r="P755" s="50"/>
      <c r="Q755" s="50"/>
      <c r="R755" s="50"/>
    </row>
    <row r="756" spans="1:18" x14ac:dyDescent="0.25">
      <c r="A756" s="52" t="s">
        <v>458</v>
      </c>
      <c r="B756" s="53"/>
      <c r="C756" s="77">
        <v>5569</v>
      </c>
      <c r="D756" s="77">
        <v>18726</v>
      </c>
      <c r="E756" s="77">
        <v>18726</v>
      </c>
      <c r="F756" s="77">
        <v>18726</v>
      </c>
      <c r="G756" s="73">
        <v>18726</v>
      </c>
      <c r="H756" s="73">
        <v>51790</v>
      </c>
      <c r="I756" s="73">
        <v>52980</v>
      </c>
      <c r="J756" s="73">
        <v>54260</v>
      </c>
      <c r="K756" s="73">
        <v>55550</v>
      </c>
      <c r="L756" s="73">
        <v>56830</v>
      </c>
      <c r="M756" s="73">
        <v>58080</v>
      </c>
      <c r="N756" s="73">
        <v>59420</v>
      </c>
      <c r="O756" s="73">
        <v>60910</v>
      </c>
      <c r="P756" s="73">
        <v>62430</v>
      </c>
      <c r="Q756" s="73">
        <v>63930</v>
      </c>
      <c r="R756" s="73">
        <v>63930</v>
      </c>
    </row>
    <row r="757" spans="1:18" x14ac:dyDescent="0.25">
      <c r="A757" s="52" t="s">
        <v>443</v>
      </c>
      <c r="B757" s="53"/>
      <c r="C757" s="77"/>
      <c r="D757" s="79">
        <v>704</v>
      </c>
      <c r="E757" s="79">
        <v>704</v>
      </c>
      <c r="F757" s="113">
        <v>704</v>
      </c>
      <c r="G757" s="119">
        <v>704</v>
      </c>
      <c r="H757" s="119">
        <v>720</v>
      </c>
      <c r="I757" s="119">
        <v>740</v>
      </c>
      <c r="J757" s="119">
        <v>760</v>
      </c>
      <c r="K757" s="119">
        <v>770</v>
      </c>
      <c r="L757" s="119">
        <v>790</v>
      </c>
      <c r="M757" s="119">
        <v>810</v>
      </c>
      <c r="N757" s="119">
        <v>830</v>
      </c>
      <c r="O757" s="119">
        <v>850</v>
      </c>
      <c r="P757" s="119">
        <v>870</v>
      </c>
      <c r="Q757" s="119">
        <v>890</v>
      </c>
      <c r="R757" s="119">
        <v>890</v>
      </c>
    </row>
    <row r="758" spans="1:18" x14ac:dyDescent="0.25">
      <c r="A758" s="43" t="s">
        <v>304</v>
      </c>
      <c r="C758" s="120">
        <f>32842-5569</f>
        <v>27273</v>
      </c>
      <c r="D758" s="77">
        <v>18416</v>
      </c>
      <c r="E758" s="73">
        <v>18457</v>
      </c>
      <c r="F758" s="105">
        <v>20286</v>
      </c>
      <c r="G758" s="77">
        <v>21199</v>
      </c>
      <c r="H758" s="77">
        <v>31160</v>
      </c>
      <c r="I758" s="77">
        <v>31900</v>
      </c>
      <c r="J758" s="77">
        <v>32660</v>
      </c>
      <c r="K758" s="77">
        <v>33450</v>
      </c>
      <c r="L758" s="77">
        <v>34210</v>
      </c>
      <c r="M758" s="77">
        <v>34940</v>
      </c>
      <c r="N758" s="77">
        <v>35760</v>
      </c>
      <c r="O758" s="77">
        <v>36660</v>
      </c>
      <c r="P758" s="77">
        <v>37550</v>
      </c>
      <c r="Q758" s="77">
        <v>38460</v>
      </c>
      <c r="R758" s="77">
        <v>38460</v>
      </c>
    </row>
    <row r="759" spans="1:18" x14ac:dyDescent="0.25">
      <c r="A759" s="52" t="s">
        <v>459</v>
      </c>
      <c r="B759" s="53"/>
      <c r="C759" s="51"/>
      <c r="D759" s="51"/>
      <c r="E759" s="51"/>
      <c r="F759" s="51"/>
      <c r="G759" s="51"/>
      <c r="H759" s="51"/>
      <c r="I759" s="51"/>
      <c r="J759" s="51"/>
      <c r="K759" s="51"/>
      <c r="L759" s="51"/>
      <c r="M759" s="51"/>
      <c r="N759" s="51"/>
      <c r="O759" s="51"/>
      <c r="P759" s="51"/>
      <c r="Q759" s="51"/>
      <c r="R759" s="51"/>
    </row>
    <row r="760" spans="1:18" x14ac:dyDescent="0.25">
      <c r="A760" s="52" t="s">
        <v>460</v>
      </c>
      <c r="B760" s="53"/>
      <c r="C760" s="59">
        <v>468</v>
      </c>
      <c r="D760" s="50">
        <v>6767</v>
      </c>
      <c r="E760" s="50">
        <v>8727</v>
      </c>
      <c r="F760" s="50">
        <v>3426</v>
      </c>
      <c r="G760" s="50">
        <v>6793</v>
      </c>
      <c r="H760" s="50">
        <v>9400</v>
      </c>
      <c r="I760" s="50">
        <v>9621.7999999999956</v>
      </c>
      <c r="J760" s="50">
        <v>9867.0731999999989</v>
      </c>
      <c r="K760" s="50">
        <v>10124.555566800002</v>
      </c>
      <c r="L760" s="50">
        <v>10387.868146136403</v>
      </c>
      <c r="M760" s="50">
        <v>10647.853824094302</v>
      </c>
      <c r="N760" s="50">
        <v>10915.475804932335</v>
      </c>
      <c r="O760" s="50">
        <v>11211.765683226033</v>
      </c>
      <c r="P760" s="50">
        <v>11523.112240690476</v>
      </c>
      <c r="Q760" s="50">
        <v>11835.342709474651</v>
      </c>
      <c r="R760" s="50">
        <v>12156.27968585991</v>
      </c>
    </row>
    <row r="761" spans="1:18" x14ac:dyDescent="0.25">
      <c r="A761" s="52" t="s">
        <v>443</v>
      </c>
      <c r="C761" s="114">
        <v>-6587</v>
      </c>
      <c r="D761" s="115">
        <v>18156</v>
      </c>
      <c r="E761" s="117">
        <v>19649</v>
      </c>
      <c r="F761" s="117">
        <v>22364</v>
      </c>
      <c r="G761" s="117">
        <v>24558</v>
      </c>
      <c r="H761" s="115">
        <v>26050</v>
      </c>
      <c r="I761" s="115">
        <v>26660</v>
      </c>
      <c r="J761" s="115">
        <v>27290</v>
      </c>
      <c r="K761" s="115">
        <v>27950</v>
      </c>
      <c r="L761" s="115">
        <v>28610</v>
      </c>
      <c r="M761" s="115">
        <v>29220</v>
      </c>
      <c r="N761" s="115">
        <v>29920</v>
      </c>
      <c r="O761" s="115">
        <v>30650</v>
      </c>
      <c r="P761" s="115">
        <v>31400</v>
      </c>
      <c r="Q761" s="115">
        <v>32140</v>
      </c>
      <c r="R761" s="115">
        <v>32140</v>
      </c>
    </row>
    <row r="762" spans="1:18" x14ac:dyDescent="0.25">
      <c r="A762" s="52" t="s">
        <v>461</v>
      </c>
      <c r="B762" s="53"/>
      <c r="C762" s="68">
        <v>7551</v>
      </c>
      <c r="D762" s="50">
        <v>5354</v>
      </c>
      <c r="E762" s="50">
        <v>10067</v>
      </c>
      <c r="F762" s="50">
        <v>6729.92</v>
      </c>
      <c r="G762" s="50">
        <v>6631</v>
      </c>
      <c r="H762" s="50">
        <v>10800</v>
      </c>
      <c r="I762" s="50">
        <v>11071.8</v>
      </c>
      <c r="J762" s="50">
        <v>11358.6561</v>
      </c>
      <c r="K762" s="50">
        <v>11655.255033900001</v>
      </c>
      <c r="L762" s="50">
        <v>11952.0269624547</v>
      </c>
      <c r="M762" s="50">
        <v>12245.676850981778</v>
      </c>
      <c r="N762" s="50">
        <v>12555.483689462209</v>
      </c>
      <c r="O762" s="50">
        <v>12897.166901766705</v>
      </c>
      <c r="P762" s="50">
        <v>13250.864627078416</v>
      </c>
      <c r="Q762" s="50">
        <v>13603.598453346051</v>
      </c>
      <c r="R762" s="50">
        <v>13966.350069790667</v>
      </c>
    </row>
    <row r="763" spans="1:18" x14ac:dyDescent="0.25">
      <c r="A763" s="52" t="s">
        <v>302</v>
      </c>
      <c r="C763" s="121">
        <v>100</v>
      </c>
      <c r="D763" s="121">
        <v>100</v>
      </c>
      <c r="E763" s="121">
        <v>100</v>
      </c>
      <c r="F763" s="121">
        <v>100</v>
      </c>
      <c r="G763" s="121">
        <v>100</v>
      </c>
      <c r="H763" s="121">
        <v>100</v>
      </c>
      <c r="I763" s="121">
        <v>110</v>
      </c>
      <c r="J763" s="121">
        <v>110</v>
      </c>
      <c r="K763" s="121">
        <v>110</v>
      </c>
      <c r="L763" s="121">
        <v>110</v>
      </c>
      <c r="M763" s="121">
        <v>120</v>
      </c>
      <c r="N763" s="121">
        <v>120</v>
      </c>
      <c r="O763" s="121">
        <v>120</v>
      </c>
      <c r="P763" s="121">
        <v>120</v>
      </c>
      <c r="Q763" s="121">
        <v>130</v>
      </c>
      <c r="R763" s="121">
        <v>130</v>
      </c>
    </row>
    <row r="764" spans="1:18" x14ac:dyDescent="0.25">
      <c r="A764" s="43" t="s">
        <v>303</v>
      </c>
      <c r="C764" s="77">
        <v>5484</v>
      </c>
      <c r="D764" s="71">
        <v>5484</v>
      </c>
      <c r="E764" s="77">
        <v>5484</v>
      </c>
      <c r="F764" s="77">
        <v>5484</v>
      </c>
      <c r="G764" s="77">
        <v>5484</v>
      </c>
      <c r="H764" s="71">
        <v>6130</v>
      </c>
      <c r="I764" s="71">
        <v>6270</v>
      </c>
      <c r="J764" s="71">
        <v>6420</v>
      </c>
      <c r="K764" s="71">
        <v>6570</v>
      </c>
      <c r="L764" s="71">
        <v>6720</v>
      </c>
      <c r="M764" s="71">
        <v>6870</v>
      </c>
      <c r="N764" s="71">
        <v>7030</v>
      </c>
      <c r="O764" s="71">
        <v>7210</v>
      </c>
      <c r="P764" s="71">
        <v>7390</v>
      </c>
      <c r="Q764" s="71">
        <v>7560</v>
      </c>
      <c r="R764" s="71">
        <v>7560</v>
      </c>
    </row>
    <row r="765" spans="1:18" x14ac:dyDescent="0.25">
      <c r="A765" s="43" t="s">
        <v>462</v>
      </c>
      <c r="C765" s="59">
        <v>0</v>
      </c>
      <c r="D765" s="52">
        <v>0</v>
      </c>
      <c r="E765" s="52">
        <v>0</v>
      </c>
      <c r="F765" s="52">
        <v>0</v>
      </c>
      <c r="G765" s="52">
        <v>0</v>
      </c>
      <c r="H765" s="52">
        <v>0</v>
      </c>
      <c r="I765" s="52">
        <v>0</v>
      </c>
      <c r="J765" s="52">
        <v>0</v>
      </c>
      <c r="K765" s="52">
        <v>0</v>
      </c>
      <c r="L765" s="52">
        <v>0</v>
      </c>
      <c r="M765" s="52">
        <v>0</v>
      </c>
      <c r="N765" s="52">
        <v>0</v>
      </c>
      <c r="O765" s="52">
        <v>0</v>
      </c>
      <c r="P765" s="52">
        <v>0</v>
      </c>
      <c r="Q765" s="52">
        <v>0</v>
      </c>
      <c r="R765" s="52">
        <v>0</v>
      </c>
    </row>
    <row r="766" spans="1:18" x14ac:dyDescent="0.25">
      <c r="A766" s="43" t="s">
        <v>463</v>
      </c>
      <c r="C766" s="59">
        <v>0</v>
      </c>
      <c r="D766" s="52">
        <v>0</v>
      </c>
      <c r="E766" s="52">
        <v>0</v>
      </c>
      <c r="F766" s="52">
        <v>0</v>
      </c>
      <c r="G766" s="52">
        <v>0</v>
      </c>
      <c r="H766" s="52">
        <v>0</v>
      </c>
      <c r="I766" s="52">
        <v>0</v>
      </c>
      <c r="J766" s="52">
        <v>0</v>
      </c>
      <c r="K766" s="52">
        <v>0</v>
      </c>
      <c r="L766" s="52">
        <v>0</v>
      </c>
      <c r="M766" s="52">
        <v>0</v>
      </c>
      <c r="N766" s="52">
        <v>0</v>
      </c>
      <c r="O766" s="52">
        <v>0</v>
      </c>
      <c r="P766" s="52">
        <v>0</v>
      </c>
      <c r="Q766" s="52">
        <v>0</v>
      </c>
      <c r="R766" s="52">
        <v>0</v>
      </c>
    </row>
    <row r="767" spans="1:18" x14ac:dyDescent="0.25">
      <c r="A767" s="43" t="s">
        <v>464</v>
      </c>
      <c r="C767" s="122"/>
      <c r="D767" s="123"/>
      <c r="G767" s="43">
        <v>0</v>
      </c>
      <c r="H767" s="43">
        <v>0</v>
      </c>
      <c r="I767" s="52">
        <v>50000</v>
      </c>
      <c r="J767" s="52">
        <v>0</v>
      </c>
      <c r="K767" s="52">
        <v>0</v>
      </c>
      <c r="L767" s="52">
        <v>0</v>
      </c>
      <c r="M767" s="52">
        <v>0</v>
      </c>
      <c r="N767" s="52">
        <v>0</v>
      </c>
      <c r="O767" s="52">
        <v>0</v>
      </c>
      <c r="P767" s="52">
        <v>0</v>
      </c>
      <c r="Q767" s="52">
        <v>0</v>
      </c>
      <c r="R767" s="52">
        <v>0</v>
      </c>
    </row>
    <row r="768" spans="1:18" s="43" customFormat="1" x14ac:dyDescent="0.25">
      <c r="A768" s="52" t="s">
        <v>465</v>
      </c>
      <c r="B768" s="42"/>
      <c r="C768" s="67">
        <v>59932</v>
      </c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</row>
    <row r="769" spans="1:20" s="43" customFormat="1" x14ac:dyDescent="0.25">
      <c r="A769" s="43" t="s">
        <v>303</v>
      </c>
      <c r="B769" s="42"/>
      <c r="C769" s="67"/>
      <c r="D769" s="124">
        <v>0</v>
      </c>
      <c r="E769" s="77">
        <v>0</v>
      </c>
      <c r="F769" s="77"/>
      <c r="G769" s="77"/>
      <c r="H769" s="77"/>
      <c r="I769" s="77"/>
      <c r="J769" s="77"/>
      <c r="K769" s="77"/>
      <c r="L769" s="77"/>
      <c r="M769" s="77"/>
      <c r="N769" s="77"/>
      <c r="O769" s="77"/>
      <c r="P769" s="77"/>
      <c r="Q769" s="77"/>
      <c r="R769" s="77"/>
    </row>
    <row r="770" spans="1:20" s="43" customFormat="1" x14ac:dyDescent="0.25">
      <c r="A770" s="52" t="s">
        <v>443</v>
      </c>
      <c r="B770" s="42"/>
      <c r="C770" s="67"/>
      <c r="D770" s="125">
        <v>8050</v>
      </c>
      <c r="E770" s="113">
        <v>12821</v>
      </c>
      <c r="F770" s="113">
        <v>14410</v>
      </c>
      <c r="G770" s="113">
        <v>14410</v>
      </c>
      <c r="H770" s="113">
        <v>14750</v>
      </c>
      <c r="I770" s="113">
        <v>15100</v>
      </c>
      <c r="J770" s="113">
        <v>15450</v>
      </c>
      <c r="K770" s="113">
        <v>15840</v>
      </c>
      <c r="L770" s="113">
        <v>16200</v>
      </c>
      <c r="M770" s="113">
        <v>16550</v>
      </c>
      <c r="N770" s="113">
        <v>16940</v>
      </c>
      <c r="O770" s="113">
        <v>17350</v>
      </c>
      <c r="P770" s="113">
        <v>17780</v>
      </c>
      <c r="Q770" s="113">
        <v>18210</v>
      </c>
      <c r="R770" s="113">
        <v>18210</v>
      </c>
    </row>
    <row r="771" spans="1:20" x14ac:dyDescent="0.25">
      <c r="C771" s="50"/>
      <c r="D771" s="50"/>
      <c r="E771" s="50"/>
      <c r="F771" s="50"/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50"/>
      <c r="R771" s="50"/>
    </row>
    <row r="772" spans="1:20" x14ac:dyDescent="0.25">
      <c r="A772" s="41" t="s">
        <v>230</v>
      </c>
      <c r="B772" s="44"/>
      <c r="C772" s="51">
        <f t="shared" ref="C772" si="517">SUM(C722:C771)</f>
        <v>995546</v>
      </c>
      <c r="D772" s="51">
        <f t="shared" ref="D772:F772" si="518">SUM(D722:D771)</f>
        <v>934756</v>
      </c>
      <c r="E772" s="51">
        <f t="shared" si="518"/>
        <v>1025408</v>
      </c>
      <c r="F772" s="51">
        <f t="shared" si="518"/>
        <v>1007485.8200000001</v>
      </c>
      <c r="G772" s="51">
        <f>SUM(G722:G771)</f>
        <v>975198</v>
      </c>
      <c r="H772" s="51">
        <f>SUM(H722:H771)</f>
        <v>1154997.6957668001</v>
      </c>
      <c r="I772" s="51">
        <f t="shared" ref="I772:R772" si="519">SUM(I722:I771)</f>
        <v>1181496.4430784164</v>
      </c>
      <c r="J772" s="51">
        <f t="shared" si="519"/>
        <v>1161713.9280754195</v>
      </c>
      <c r="K772" s="51">
        <f t="shared" si="519"/>
        <v>1193032.7487542599</v>
      </c>
      <c r="L772" s="51">
        <f t="shared" si="519"/>
        <v>1225613.7468600704</v>
      </c>
      <c r="M772" s="51">
        <f t="shared" si="519"/>
        <v>1258167.7936805726</v>
      </c>
      <c r="N772" s="51">
        <f t="shared" si="519"/>
        <v>1290974.3249252054</v>
      </c>
      <c r="O772" s="51">
        <f t="shared" si="519"/>
        <v>1327129.8730690137</v>
      </c>
      <c r="P772" s="51">
        <f t="shared" si="519"/>
        <v>1365874.3537669051</v>
      </c>
      <c r="Q772" s="51">
        <f t="shared" si="519"/>
        <v>1404626.7479846487</v>
      </c>
      <c r="R772" s="51">
        <f t="shared" si="519"/>
        <v>1436648.462455767</v>
      </c>
      <c r="S772">
        <v>1436648.1767461381</v>
      </c>
      <c r="T772" s="54">
        <f>S772-R772</f>
        <v>-0.28570962883532047</v>
      </c>
    </row>
    <row r="773" spans="1:20" s="43" customFormat="1" x14ac:dyDescent="0.25">
      <c r="B773" s="42"/>
      <c r="C773" s="50"/>
      <c r="D773" s="50"/>
      <c r="E773" s="50"/>
      <c r="F773" s="50"/>
      <c r="G773" s="50"/>
      <c r="H773" s="50"/>
      <c r="I773" s="67"/>
      <c r="J773" s="50"/>
      <c r="K773" s="50"/>
      <c r="L773" s="50"/>
      <c r="M773" s="50"/>
      <c r="N773" s="50"/>
      <c r="O773" s="50"/>
      <c r="P773" s="50"/>
      <c r="Q773" s="50"/>
      <c r="R773" s="50"/>
    </row>
    <row r="774" spans="1:20" s="43" customFormat="1" x14ac:dyDescent="0.25">
      <c r="B774" s="42"/>
      <c r="C774" s="50"/>
      <c r="D774" s="50"/>
      <c r="E774" s="50"/>
      <c r="F774" s="50"/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50"/>
      <c r="R774" s="50"/>
    </row>
    <row r="775" spans="1:20" x14ac:dyDescent="0.25">
      <c r="A775" s="41" t="s">
        <v>251</v>
      </c>
      <c r="B775" s="44"/>
      <c r="C775" s="50"/>
      <c r="D775" s="50"/>
      <c r="E775" s="50"/>
      <c r="F775" s="50"/>
      <c r="G775" s="50"/>
      <c r="H775" s="50"/>
      <c r="I775" s="50"/>
      <c r="J775" s="50"/>
      <c r="K775" s="50"/>
      <c r="L775" s="50"/>
      <c r="M775" s="50"/>
      <c r="N775" s="50"/>
      <c r="O775" s="50"/>
      <c r="P775" s="50"/>
      <c r="Q775" s="50"/>
      <c r="R775" s="50"/>
    </row>
    <row r="776" spans="1:20" x14ac:dyDescent="0.25">
      <c r="A776" s="41"/>
      <c r="B776" s="44"/>
      <c r="C776" s="50"/>
      <c r="D776" s="50"/>
      <c r="E776" s="50"/>
      <c r="F776" s="50"/>
      <c r="G776" s="50"/>
      <c r="H776" s="50"/>
      <c r="I776" s="50"/>
      <c r="J776" s="50"/>
      <c r="K776" s="50"/>
      <c r="L776" s="50"/>
      <c r="M776" s="50"/>
      <c r="N776" s="50"/>
      <c r="O776" s="50"/>
      <c r="P776" s="50"/>
      <c r="Q776" s="50"/>
      <c r="R776" s="50"/>
    </row>
    <row r="777" spans="1:20" x14ac:dyDescent="0.25">
      <c r="A777" s="52" t="s">
        <v>466</v>
      </c>
      <c r="B777" s="44"/>
      <c r="C777" s="52"/>
      <c r="D777" s="50"/>
      <c r="E777" s="50"/>
      <c r="F777" s="50"/>
      <c r="G777" s="50"/>
      <c r="H777" s="50"/>
      <c r="I777" s="50"/>
      <c r="J777" s="50"/>
      <c r="K777" s="50"/>
      <c r="L777" s="50"/>
      <c r="M777" s="50"/>
      <c r="N777" s="50"/>
      <c r="O777" s="50"/>
      <c r="P777" s="50"/>
      <c r="Q777" s="50"/>
      <c r="R777" s="50"/>
    </row>
    <row r="778" spans="1:20" x14ac:dyDescent="0.25">
      <c r="A778" s="126" t="s">
        <v>467</v>
      </c>
      <c r="B778" s="127" t="s">
        <v>468</v>
      </c>
      <c r="C778" s="50">
        <v>0</v>
      </c>
      <c r="D778" s="50">
        <v>0</v>
      </c>
      <c r="E778" s="50">
        <v>0</v>
      </c>
      <c r="F778" s="50">
        <v>0</v>
      </c>
      <c r="G778" s="50">
        <v>0</v>
      </c>
      <c r="H778" s="50">
        <v>0</v>
      </c>
      <c r="I778" s="50">
        <v>0</v>
      </c>
      <c r="J778" s="50">
        <v>0</v>
      </c>
      <c r="K778" s="50">
        <v>0</v>
      </c>
      <c r="L778" s="50">
        <v>0</v>
      </c>
      <c r="M778" s="50">
        <v>0</v>
      </c>
      <c r="N778" s="50">
        <v>0</v>
      </c>
      <c r="O778" s="50">
        <v>0</v>
      </c>
      <c r="P778" s="50">
        <v>0</v>
      </c>
      <c r="Q778" s="50">
        <v>0</v>
      </c>
      <c r="R778" s="50">
        <v>0</v>
      </c>
    </row>
    <row r="779" spans="1:20" x14ac:dyDescent="0.25">
      <c r="A779" s="128" t="s">
        <v>469</v>
      </c>
      <c r="B779" s="129" t="s">
        <v>245</v>
      </c>
      <c r="C779" s="54">
        <v>21670</v>
      </c>
      <c r="D779" s="130">
        <v>506017</v>
      </c>
      <c r="E779" s="130">
        <v>0</v>
      </c>
      <c r="F779" s="130">
        <v>0</v>
      </c>
      <c r="G779" s="63">
        <f>150</f>
        <v>150</v>
      </c>
      <c r="H779" s="63">
        <f>380000-250000</f>
        <v>130000</v>
      </c>
      <c r="I779" s="63">
        <v>0</v>
      </c>
      <c r="J779" s="63">
        <v>0</v>
      </c>
      <c r="K779" s="50"/>
      <c r="L779" s="50"/>
      <c r="M779" s="50"/>
      <c r="N779" s="50"/>
      <c r="O779" s="50"/>
      <c r="P779" s="50"/>
      <c r="Q779" s="50"/>
      <c r="R779" s="50"/>
    </row>
    <row r="780" spans="1:20" x14ac:dyDescent="0.25">
      <c r="A780" s="64" t="s">
        <v>470</v>
      </c>
      <c r="B780" s="53"/>
      <c r="C780" s="52"/>
      <c r="D780" s="50"/>
      <c r="E780" s="50"/>
      <c r="F780" s="50"/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50"/>
      <c r="R780" s="50"/>
    </row>
    <row r="781" spans="1:20" x14ac:dyDescent="0.25">
      <c r="A781" s="64" t="s">
        <v>471</v>
      </c>
      <c r="B781" s="53"/>
      <c r="C781" s="54">
        <v>97973</v>
      </c>
      <c r="D781" s="50"/>
      <c r="E781" s="63">
        <v>140445</v>
      </c>
      <c r="F781" s="50"/>
      <c r="G781" s="50"/>
      <c r="H781" s="50"/>
      <c r="I781" s="50"/>
      <c r="J781" s="50"/>
      <c r="K781" s="50"/>
      <c r="L781" s="50"/>
      <c r="M781" s="50"/>
      <c r="N781" s="50"/>
      <c r="O781" s="50"/>
      <c r="P781" s="50"/>
      <c r="Q781" s="50"/>
      <c r="R781" s="50"/>
    </row>
    <row r="782" spans="1:20" x14ac:dyDescent="0.25">
      <c r="A782" s="64" t="s">
        <v>472</v>
      </c>
      <c r="B782" s="53"/>
      <c r="C782" s="52"/>
      <c r="D782" s="50"/>
      <c r="E782" s="50"/>
      <c r="F782" s="50"/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50"/>
      <c r="R782" s="50"/>
    </row>
    <row r="783" spans="1:20" x14ac:dyDescent="0.25">
      <c r="A783" s="61" t="s">
        <v>473</v>
      </c>
      <c r="B783" s="53"/>
      <c r="C783" s="52"/>
      <c r="D783" s="50"/>
      <c r="E783" s="63">
        <v>0</v>
      </c>
      <c r="F783" s="50"/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50"/>
      <c r="R783" s="50"/>
    </row>
    <row r="784" spans="1:20" x14ac:dyDescent="0.25">
      <c r="A784" s="61" t="s">
        <v>474</v>
      </c>
      <c r="B784" s="53"/>
      <c r="C784" s="54">
        <v>10314</v>
      </c>
      <c r="D784" s="50"/>
      <c r="E784" s="50"/>
      <c r="F784" s="50"/>
      <c r="G784" s="50"/>
      <c r="H784" s="50"/>
      <c r="I784" s="50"/>
      <c r="J784" s="50"/>
      <c r="K784" s="50"/>
      <c r="L784" s="50"/>
      <c r="M784" s="50"/>
      <c r="N784" s="50"/>
      <c r="O784" s="50"/>
      <c r="P784" s="50"/>
      <c r="Q784" s="50"/>
      <c r="R784" s="50"/>
    </row>
    <row r="785" spans="1:18" x14ac:dyDescent="0.25">
      <c r="A785" s="61" t="s">
        <v>475</v>
      </c>
      <c r="B785" s="53"/>
      <c r="C785" s="54"/>
      <c r="D785" s="50"/>
      <c r="E785" s="63">
        <v>68960</v>
      </c>
      <c r="F785" s="50">
        <v>102047</v>
      </c>
      <c r="G785" s="50"/>
      <c r="H785" s="50"/>
      <c r="I785" s="50"/>
      <c r="J785" s="50"/>
      <c r="K785" s="50"/>
      <c r="L785" s="50"/>
      <c r="M785" s="50"/>
      <c r="N785" s="50"/>
      <c r="O785" s="50"/>
      <c r="P785" s="50"/>
      <c r="Q785" s="50"/>
      <c r="R785" s="50"/>
    </row>
    <row r="786" spans="1:18" x14ac:dyDescent="0.25">
      <c r="A786" s="61" t="s">
        <v>476</v>
      </c>
      <c r="B786" s="53"/>
      <c r="C786" s="54"/>
      <c r="D786" s="50"/>
      <c r="E786" s="63">
        <v>933</v>
      </c>
      <c r="F786" s="50">
        <v>94964</v>
      </c>
      <c r="G786" s="50"/>
      <c r="H786" s="50"/>
      <c r="I786" s="50"/>
      <c r="J786" s="50"/>
      <c r="K786" s="50"/>
      <c r="L786" s="50"/>
      <c r="M786" s="50"/>
      <c r="N786" s="50"/>
      <c r="O786" s="50"/>
      <c r="P786" s="50"/>
      <c r="Q786" s="50"/>
      <c r="R786" s="50"/>
    </row>
    <row r="787" spans="1:18" x14ac:dyDescent="0.25">
      <c r="A787" s="61" t="s">
        <v>477</v>
      </c>
      <c r="B787" s="53"/>
      <c r="C787" s="54"/>
      <c r="D787" s="50"/>
      <c r="E787" s="63">
        <v>18889</v>
      </c>
      <c r="F787" s="50">
        <v>134465</v>
      </c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50"/>
      <c r="R787" s="50"/>
    </row>
    <row r="788" spans="1:18" x14ac:dyDescent="0.25">
      <c r="A788" s="61" t="s">
        <v>478</v>
      </c>
      <c r="B788" s="53"/>
      <c r="C788" s="54"/>
      <c r="D788" s="50"/>
      <c r="E788" s="130">
        <v>8530</v>
      </c>
      <c r="F788" s="50">
        <v>400</v>
      </c>
      <c r="G788" s="63">
        <v>9778</v>
      </c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</row>
    <row r="789" spans="1:18" x14ac:dyDescent="0.25">
      <c r="A789" s="61" t="s">
        <v>479</v>
      </c>
      <c r="B789" s="53"/>
      <c r="C789" s="54">
        <v>7219</v>
      </c>
      <c r="D789" s="50"/>
      <c r="E789" s="50"/>
      <c r="F789" s="50"/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50"/>
      <c r="R789" s="50"/>
    </row>
    <row r="790" spans="1:18" x14ac:dyDescent="0.25">
      <c r="A790" s="61" t="s">
        <v>480</v>
      </c>
      <c r="B790" s="53"/>
      <c r="C790" s="52"/>
      <c r="D790" s="50"/>
      <c r="E790" s="50"/>
      <c r="F790" s="50"/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50"/>
      <c r="R790" s="50"/>
    </row>
    <row r="791" spans="1:18" x14ac:dyDescent="0.25">
      <c r="A791" s="61" t="s">
        <v>481</v>
      </c>
      <c r="B791" s="53"/>
      <c r="C791" s="52"/>
      <c r="D791" s="50"/>
      <c r="E791" s="50"/>
      <c r="F791" s="50"/>
      <c r="G791" s="50"/>
      <c r="H791" s="50"/>
      <c r="I791" s="50"/>
      <c r="J791" s="50"/>
      <c r="K791" s="50"/>
      <c r="L791" s="50"/>
      <c r="M791" s="50"/>
      <c r="N791" s="50"/>
      <c r="O791" s="50"/>
      <c r="P791" s="50"/>
      <c r="Q791" s="50"/>
      <c r="R791" s="50"/>
    </row>
    <row r="792" spans="1:18" x14ac:dyDescent="0.25">
      <c r="A792" s="61" t="s">
        <v>482</v>
      </c>
      <c r="B792" s="53"/>
      <c r="C792" s="52"/>
      <c r="D792" s="50"/>
      <c r="E792" s="50"/>
      <c r="F792" s="50"/>
      <c r="G792" s="50"/>
      <c r="H792" s="50"/>
      <c r="I792" s="50"/>
      <c r="J792" s="50"/>
      <c r="K792" s="50"/>
      <c r="L792" s="50"/>
      <c r="M792" s="50"/>
      <c r="N792" s="50"/>
      <c r="O792" s="50"/>
      <c r="P792" s="50"/>
      <c r="Q792" s="50"/>
      <c r="R792" s="50"/>
    </row>
    <row r="793" spans="1:18" x14ac:dyDescent="0.25">
      <c r="A793" s="61" t="s">
        <v>483</v>
      </c>
      <c r="B793" s="53"/>
      <c r="C793" s="54">
        <v>59932</v>
      </c>
      <c r="D793" s="50"/>
      <c r="E793" s="50"/>
      <c r="F793" s="50"/>
      <c r="G793" s="63">
        <v>7935</v>
      </c>
      <c r="H793" s="50"/>
      <c r="I793" s="50"/>
      <c r="J793" s="50"/>
      <c r="K793" s="50"/>
      <c r="L793" s="50"/>
      <c r="M793" s="50"/>
      <c r="N793" s="50"/>
      <c r="O793" s="50"/>
      <c r="P793" s="50"/>
      <c r="Q793" s="50"/>
      <c r="R793" s="50"/>
    </row>
    <row r="794" spans="1:18" x14ac:dyDescent="0.25">
      <c r="A794" s="61" t="s">
        <v>484</v>
      </c>
      <c r="B794" s="53"/>
      <c r="C794" s="52"/>
      <c r="D794" s="50"/>
      <c r="E794" s="50"/>
      <c r="F794" s="50"/>
      <c r="G794" s="63">
        <v>2680</v>
      </c>
      <c r="H794" s="50"/>
      <c r="I794" s="50"/>
      <c r="J794" s="50"/>
      <c r="K794" s="50"/>
      <c r="L794" s="50"/>
      <c r="M794" s="50"/>
      <c r="N794" s="50"/>
      <c r="O794" s="50"/>
      <c r="P794" s="50"/>
      <c r="Q794" s="50"/>
      <c r="R794" s="50"/>
    </row>
    <row r="795" spans="1:18" x14ac:dyDescent="0.25">
      <c r="B795" s="53"/>
      <c r="C795" s="52"/>
      <c r="D795" s="50"/>
      <c r="E795" s="50"/>
      <c r="F795" s="50"/>
      <c r="G795" s="50"/>
      <c r="H795" s="50"/>
      <c r="I795" s="50"/>
      <c r="J795" s="50"/>
      <c r="K795" s="50"/>
      <c r="L795" s="50"/>
      <c r="M795" s="50"/>
      <c r="N795" s="50"/>
      <c r="O795" s="50"/>
      <c r="P795" s="50"/>
      <c r="Q795" s="50"/>
      <c r="R795" s="50"/>
    </row>
    <row r="796" spans="1:18" x14ac:dyDescent="0.25">
      <c r="A796" s="41" t="s">
        <v>254</v>
      </c>
      <c r="B796" s="44"/>
      <c r="C796" s="51">
        <f>SUM(C775:C795)</f>
        <v>197108</v>
      </c>
      <c r="D796" s="51">
        <f t="shared" ref="D796:R796" si="520">SUM(D775:D795)</f>
        <v>506017</v>
      </c>
      <c r="E796" s="51">
        <f t="shared" si="520"/>
        <v>237757</v>
      </c>
      <c r="F796" s="51">
        <f t="shared" si="520"/>
        <v>331876</v>
      </c>
      <c r="G796" s="51">
        <f t="shared" si="520"/>
        <v>20543</v>
      </c>
      <c r="H796" s="51">
        <f t="shared" si="520"/>
        <v>130000</v>
      </c>
      <c r="I796" s="51">
        <f t="shared" si="520"/>
        <v>0</v>
      </c>
      <c r="J796" s="51">
        <f t="shared" si="520"/>
        <v>0</v>
      </c>
      <c r="K796" s="51">
        <f t="shared" si="520"/>
        <v>0</v>
      </c>
      <c r="L796" s="51">
        <f t="shared" si="520"/>
        <v>0</v>
      </c>
      <c r="M796" s="51">
        <f t="shared" si="520"/>
        <v>0</v>
      </c>
      <c r="N796" s="51">
        <f t="shared" si="520"/>
        <v>0</v>
      </c>
      <c r="O796" s="51">
        <f t="shared" si="520"/>
        <v>0</v>
      </c>
      <c r="P796" s="51">
        <f t="shared" si="520"/>
        <v>0</v>
      </c>
      <c r="Q796" s="51">
        <f t="shared" si="520"/>
        <v>0</v>
      </c>
      <c r="R796" s="51">
        <f t="shared" si="520"/>
        <v>0</v>
      </c>
    </row>
    <row r="797" spans="1:18" x14ac:dyDescent="0.25">
      <c r="C797" s="50"/>
      <c r="D797" s="50"/>
      <c r="E797" s="50"/>
      <c r="F797" s="50"/>
      <c r="G797" s="50"/>
      <c r="H797" s="50"/>
      <c r="I797" s="50"/>
      <c r="J797" s="50"/>
      <c r="K797" s="50"/>
      <c r="L797" s="50"/>
      <c r="M797" s="50"/>
      <c r="N797" s="50"/>
      <c r="O797" s="50"/>
      <c r="P797" s="50"/>
      <c r="Q797" s="50"/>
      <c r="R797" s="50"/>
    </row>
    <row r="798" spans="1:18" x14ac:dyDescent="0.25">
      <c r="A798" s="41" t="s">
        <v>171</v>
      </c>
      <c r="B798" s="44"/>
      <c r="C798" s="50"/>
      <c r="D798" s="50"/>
      <c r="E798" s="50"/>
      <c r="F798" s="50"/>
      <c r="G798" s="50"/>
      <c r="H798" s="50"/>
      <c r="I798" s="50"/>
      <c r="J798" s="50"/>
      <c r="K798" s="50"/>
      <c r="L798" s="50"/>
      <c r="M798" s="50"/>
      <c r="N798" s="50"/>
      <c r="O798" s="50"/>
      <c r="P798" s="50"/>
      <c r="Q798" s="50"/>
      <c r="R798" s="50"/>
    </row>
    <row r="799" spans="1:18" x14ac:dyDescent="0.25">
      <c r="C799" s="50"/>
      <c r="D799" s="50"/>
      <c r="E799" s="50"/>
      <c r="F799" s="50"/>
      <c r="G799" s="50"/>
      <c r="H799" s="50"/>
      <c r="I799" s="50"/>
      <c r="J799" s="50"/>
      <c r="K799" s="50"/>
      <c r="L799" s="50"/>
      <c r="M799" s="50"/>
      <c r="N799" s="50"/>
      <c r="O799" s="50"/>
      <c r="P799" s="50"/>
      <c r="Q799" s="50"/>
      <c r="R799" s="50"/>
    </row>
    <row r="800" spans="1:18" x14ac:dyDescent="0.25">
      <c r="A800" s="52" t="s">
        <v>485</v>
      </c>
      <c r="B800" s="53"/>
      <c r="C800" s="50"/>
      <c r="D800" s="50"/>
      <c r="E800" s="50"/>
      <c r="F800" s="50"/>
      <c r="G800" s="50"/>
      <c r="H800" s="50"/>
      <c r="I800" s="50"/>
      <c r="J800" s="50"/>
      <c r="K800" s="50"/>
      <c r="L800" s="50"/>
      <c r="M800" s="50"/>
      <c r="N800" s="50"/>
      <c r="O800" s="50"/>
      <c r="P800" s="50"/>
      <c r="Q800" s="50"/>
      <c r="R800" s="50"/>
    </row>
    <row r="801" spans="1:18" x14ac:dyDescent="0.25">
      <c r="A801" s="131" t="s">
        <v>486</v>
      </c>
      <c r="B801" s="132" t="s">
        <v>487</v>
      </c>
      <c r="C801" s="50">
        <v>2273</v>
      </c>
      <c r="D801" s="133">
        <v>12727</v>
      </c>
      <c r="E801" s="50"/>
      <c r="F801" s="50"/>
      <c r="G801" s="134"/>
      <c r="H801" s="134">
        <v>16971</v>
      </c>
      <c r="I801" s="50"/>
      <c r="J801" s="50"/>
      <c r="K801" s="50"/>
      <c r="L801" s="50"/>
      <c r="M801" s="50"/>
      <c r="N801" s="50"/>
      <c r="O801" s="50"/>
      <c r="P801" s="50"/>
      <c r="Q801" s="50"/>
      <c r="R801" s="50"/>
    </row>
    <row r="802" spans="1:18" x14ac:dyDescent="0.25">
      <c r="A802" s="61" t="s">
        <v>488</v>
      </c>
      <c r="B802" s="62" t="s">
        <v>245</v>
      </c>
      <c r="C802" s="50"/>
      <c r="D802" s="130">
        <v>31399</v>
      </c>
      <c r="E802" s="50"/>
      <c r="F802" s="50"/>
      <c r="G802" s="135"/>
      <c r="H802" s="50"/>
      <c r="I802" s="50"/>
      <c r="J802" s="50"/>
      <c r="K802" s="50"/>
      <c r="L802" s="50"/>
      <c r="M802" s="50"/>
      <c r="N802" s="50"/>
      <c r="O802" s="50"/>
      <c r="P802" s="50"/>
      <c r="Q802" s="50"/>
      <c r="R802" s="50"/>
    </row>
    <row r="803" spans="1:18" s="43" customFormat="1" x14ac:dyDescent="0.25">
      <c r="A803" s="92" t="s">
        <v>489</v>
      </c>
      <c r="B803" s="96" t="s">
        <v>330</v>
      </c>
      <c r="C803" s="50"/>
      <c r="D803" s="50"/>
      <c r="E803" s="50"/>
      <c r="F803" s="50"/>
      <c r="G803" s="89"/>
      <c r="H803" s="50"/>
      <c r="I803" s="50"/>
      <c r="J803" s="50"/>
      <c r="K803" s="50"/>
      <c r="L803" s="50"/>
      <c r="M803" s="50"/>
      <c r="N803" s="50"/>
      <c r="O803" s="50"/>
      <c r="P803" s="50"/>
      <c r="Q803" s="50"/>
      <c r="R803" s="50"/>
    </row>
    <row r="804" spans="1:18" s="43" customFormat="1" x14ac:dyDescent="0.25">
      <c r="A804" s="92" t="s">
        <v>490</v>
      </c>
      <c r="B804" s="96"/>
      <c r="C804" s="50"/>
      <c r="D804" s="50"/>
      <c r="E804" s="50"/>
      <c r="F804" s="50"/>
      <c r="G804" s="50"/>
      <c r="H804" s="50"/>
      <c r="I804" s="50"/>
      <c r="J804" s="50"/>
      <c r="K804" s="50"/>
      <c r="L804" s="50"/>
      <c r="M804" s="50"/>
      <c r="N804" s="50">
        <v>0</v>
      </c>
      <c r="O804" s="50"/>
      <c r="P804" s="50"/>
      <c r="Q804" s="50"/>
      <c r="R804" s="50"/>
    </row>
    <row r="805" spans="1:18" x14ac:dyDescent="0.25">
      <c r="A805" s="91" t="s">
        <v>491</v>
      </c>
      <c r="B805" s="136" t="s">
        <v>492</v>
      </c>
      <c r="C805" s="50"/>
      <c r="D805" s="50"/>
      <c r="E805" s="50"/>
      <c r="F805" s="85">
        <v>0</v>
      </c>
      <c r="G805" s="85">
        <v>3300</v>
      </c>
      <c r="H805" s="50"/>
      <c r="I805" s="50"/>
      <c r="J805" s="50"/>
      <c r="K805" s="50"/>
      <c r="L805" s="50"/>
      <c r="M805" s="50"/>
      <c r="N805" s="50"/>
      <c r="O805" s="50"/>
      <c r="P805" s="50"/>
      <c r="Q805" s="50"/>
      <c r="R805" s="50"/>
    </row>
    <row r="806" spans="1:18" x14ac:dyDescent="0.25">
      <c r="A806" s="126" t="s">
        <v>493</v>
      </c>
      <c r="B806" s="127" t="s">
        <v>468</v>
      </c>
      <c r="C806" s="50"/>
      <c r="D806" s="50">
        <v>0</v>
      </c>
      <c r="E806" s="50">
        <v>0</v>
      </c>
      <c r="F806" s="50">
        <v>0</v>
      </c>
      <c r="G806" s="50">
        <v>0</v>
      </c>
      <c r="H806" s="50">
        <v>0</v>
      </c>
      <c r="I806" s="50">
        <v>0</v>
      </c>
      <c r="J806" s="50">
        <v>0</v>
      </c>
      <c r="K806" s="50">
        <v>0</v>
      </c>
      <c r="L806" s="50">
        <v>0</v>
      </c>
      <c r="M806" s="50">
        <v>0</v>
      </c>
      <c r="N806" s="50">
        <v>0</v>
      </c>
      <c r="O806" s="50">
        <v>0</v>
      </c>
      <c r="P806" s="50">
        <v>0</v>
      </c>
      <c r="Q806" s="50">
        <v>0</v>
      </c>
      <c r="R806" s="50">
        <v>0</v>
      </c>
    </row>
    <row r="807" spans="1:18" x14ac:dyDescent="0.25">
      <c r="A807" s="52" t="s">
        <v>494</v>
      </c>
      <c r="B807" s="53"/>
      <c r="C807" s="50"/>
      <c r="D807" s="50"/>
      <c r="E807" s="50"/>
      <c r="F807" s="50"/>
      <c r="G807" s="50"/>
      <c r="H807" s="50"/>
      <c r="I807" s="50"/>
      <c r="J807" s="50"/>
      <c r="K807" s="50"/>
      <c r="L807" s="50"/>
      <c r="M807" s="50"/>
      <c r="N807" s="50"/>
      <c r="O807" s="50"/>
      <c r="P807" s="50"/>
      <c r="Q807" s="50"/>
      <c r="R807" s="50"/>
    </row>
    <row r="808" spans="1:18" x14ac:dyDescent="0.25">
      <c r="A808" s="91" t="s">
        <v>495</v>
      </c>
      <c r="B808" s="136" t="s">
        <v>496</v>
      </c>
      <c r="C808" s="50"/>
      <c r="D808" s="50"/>
      <c r="E808" s="50"/>
      <c r="F808" s="85">
        <v>47835</v>
      </c>
      <c r="G808" s="85">
        <v>4977</v>
      </c>
      <c r="H808" s="50"/>
      <c r="I808" s="50"/>
      <c r="J808" s="50"/>
      <c r="K808" s="50"/>
      <c r="L808" s="50"/>
      <c r="M808" s="50"/>
      <c r="N808" s="50"/>
      <c r="O808" s="50"/>
      <c r="P808" s="50"/>
      <c r="Q808" s="50"/>
      <c r="R808" s="50"/>
    </row>
    <row r="809" spans="1:18" x14ac:dyDescent="0.25">
      <c r="A809" s="91" t="s">
        <v>497</v>
      </c>
      <c r="B809" s="136" t="s">
        <v>496</v>
      </c>
      <c r="C809" s="50"/>
      <c r="D809" s="50"/>
      <c r="E809" s="50"/>
      <c r="F809" s="85">
        <v>0</v>
      </c>
      <c r="G809" s="50"/>
      <c r="H809" s="50"/>
      <c r="I809" s="50"/>
      <c r="J809" s="50"/>
      <c r="K809" s="50"/>
      <c r="L809" s="50"/>
      <c r="M809" s="50"/>
      <c r="N809" s="50"/>
      <c r="O809" s="50"/>
      <c r="P809" s="50"/>
      <c r="Q809" s="50"/>
      <c r="R809" s="50"/>
    </row>
    <row r="810" spans="1:18" x14ac:dyDescent="0.25">
      <c r="A810" s="43" t="s">
        <v>498</v>
      </c>
      <c r="B810" s="53"/>
      <c r="C810" s="59"/>
      <c r="D810" s="50">
        <v>0</v>
      </c>
      <c r="E810" s="50">
        <v>0</v>
      </c>
      <c r="F810" s="50">
        <v>0</v>
      </c>
      <c r="G810" s="50">
        <v>0</v>
      </c>
      <c r="H810" s="50">
        <v>0</v>
      </c>
      <c r="I810" s="50">
        <v>0</v>
      </c>
      <c r="J810" s="50">
        <v>0</v>
      </c>
      <c r="K810" s="50">
        <v>0</v>
      </c>
      <c r="L810" s="50">
        <v>0</v>
      </c>
      <c r="M810" s="50">
        <v>0</v>
      </c>
      <c r="N810" s="50">
        <v>0</v>
      </c>
      <c r="O810" s="50">
        <v>0</v>
      </c>
      <c r="P810" s="50">
        <v>0</v>
      </c>
      <c r="Q810" s="50">
        <v>0</v>
      </c>
      <c r="R810" s="50">
        <v>0</v>
      </c>
    </row>
    <row r="811" spans="1:18" s="43" customFormat="1" x14ac:dyDescent="0.25">
      <c r="A811" s="93" t="s">
        <v>499</v>
      </c>
      <c r="B811" s="96" t="s">
        <v>330</v>
      </c>
      <c r="C811" s="50"/>
      <c r="D811" s="50"/>
      <c r="E811" s="50"/>
      <c r="F811" s="50"/>
      <c r="G811" s="50"/>
      <c r="H811" s="50"/>
      <c r="I811" s="50"/>
      <c r="J811" s="50"/>
      <c r="K811" s="50"/>
      <c r="L811" s="50"/>
      <c r="M811" s="50"/>
      <c r="N811" s="50"/>
    </row>
    <row r="812" spans="1:18" s="43" customFormat="1" x14ac:dyDescent="0.25">
      <c r="A812" s="97" t="s">
        <v>500</v>
      </c>
      <c r="B812" s="96" t="s">
        <v>330</v>
      </c>
      <c r="C812" s="50"/>
      <c r="D812" s="50"/>
      <c r="E812" s="50"/>
      <c r="F812" s="50"/>
      <c r="G812" s="50"/>
      <c r="H812" s="50"/>
      <c r="I812" s="50"/>
      <c r="J812" s="50"/>
      <c r="K812" s="50"/>
      <c r="L812" s="50"/>
      <c r="M812" s="50"/>
      <c r="N812" s="50"/>
    </row>
    <row r="813" spans="1:18" s="43" customFormat="1" x14ac:dyDescent="0.25">
      <c r="A813" s="93" t="s">
        <v>501</v>
      </c>
      <c r="B813" s="96" t="s">
        <v>330</v>
      </c>
      <c r="C813" s="50"/>
      <c r="D813" s="50"/>
      <c r="E813" s="50"/>
      <c r="F813" s="50"/>
      <c r="G813" s="50"/>
      <c r="H813" s="50"/>
      <c r="I813" s="50"/>
      <c r="J813" s="50"/>
      <c r="K813" s="50"/>
      <c r="L813" s="50"/>
      <c r="M813" s="50"/>
      <c r="N813" s="50"/>
    </row>
    <row r="814" spans="1:18" s="43" customFormat="1" x14ac:dyDescent="0.25">
      <c r="A814" s="86" t="s">
        <v>502</v>
      </c>
      <c r="B814" s="136" t="s">
        <v>496</v>
      </c>
      <c r="C814" s="50"/>
      <c r="D814" s="50"/>
      <c r="E814" s="50"/>
      <c r="F814" s="85">
        <v>5972</v>
      </c>
      <c r="G814" s="85">
        <v>15190</v>
      </c>
      <c r="H814" s="50"/>
      <c r="I814" s="50"/>
      <c r="J814" s="50"/>
      <c r="K814" s="50"/>
      <c r="L814" s="50"/>
      <c r="M814" s="50"/>
      <c r="N814" s="50"/>
    </row>
    <row r="815" spans="1:18" s="43" customFormat="1" x14ac:dyDescent="0.25">
      <c r="A815" s="137" t="s">
        <v>503</v>
      </c>
      <c r="B815" s="136" t="s">
        <v>496</v>
      </c>
      <c r="C815" s="50"/>
      <c r="D815" s="50"/>
      <c r="E815" s="50"/>
      <c r="F815" s="85">
        <v>85037</v>
      </c>
      <c r="G815" s="50"/>
      <c r="H815" s="50"/>
      <c r="I815" s="50"/>
      <c r="J815" s="50"/>
      <c r="K815" s="50"/>
      <c r="L815" s="50"/>
      <c r="M815" s="50"/>
      <c r="N815" s="50"/>
    </row>
    <row r="816" spans="1:18" s="43" customFormat="1" x14ac:dyDescent="0.25">
      <c r="A816" s="137" t="s">
        <v>504</v>
      </c>
      <c r="B816" s="136" t="s">
        <v>496</v>
      </c>
      <c r="C816" s="50"/>
      <c r="D816" s="50"/>
      <c r="E816" s="50"/>
      <c r="F816" s="85">
        <v>5900</v>
      </c>
      <c r="G816" s="85">
        <v>71527</v>
      </c>
      <c r="H816" s="50"/>
      <c r="I816" s="50"/>
      <c r="J816" s="50"/>
      <c r="K816" s="50"/>
      <c r="L816" s="50"/>
      <c r="M816" s="50"/>
      <c r="N816" s="50"/>
    </row>
    <row r="817" spans="1:18" s="43" customFormat="1" x14ac:dyDescent="0.25">
      <c r="A817" s="138" t="s">
        <v>505</v>
      </c>
      <c r="B817" s="139" t="s">
        <v>506</v>
      </c>
      <c r="C817" s="50"/>
      <c r="D817" s="50"/>
      <c r="E817" s="50"/>
      <c r="F817" s="50"/>
      <c r="G817" s="50">
        <v>20000</v>
      </c>
      <c r="H817" s="50"/>
      <c r="I817" s="50"/>
      <c r="J817" s="50"/>
      <c r="K817" s="50"/>
      <c r="L817" s="50"/>
      <c r="M817" s="50"/>
      <c r="N817" s="50"/>
    </row>
    <row r="818" spans="1:18" s="43" customFormat="1" x14ac:dyDescent="0.25">
      <c r="A818" s="140" t="s">
        <v>507</v>
      </c>
      <c r="B818" s="139" t="s">
        <v>506</v>
      </c>
      <c r="C818" s="50"/>
      <c r="D818" s="50"/>
      <c r="E818" s="50"/>
      <c r="F818" s="50"/>
      <c r="G818" s="50">
        <v>21900</v>
      </c>
      <c r="H818" s="50"/>
      <c r="I818" s="50"/>
      <c r="J818" s="50"/>
      <c r="K818" s="50"/>
      <c r="L818" s="50"/>
      <c r="M818" s="50"/>
      <c r="N818" s="50"/>
    </row>
    <row r="819" spans="1:18" s="43" customFormat="1" x14ac:dyDescent="0.25">
      <c r="A819" s="137" t="s">
        <v>508</v>
      </c>
      <c r="B819" s="136" t="s">
        <v>496</v>
      </c>
      <c r="C819" s="50"/>
      <c r="D819" s="50"/>
      <c r="E819" s="50"/>
      <c r="F819" s="85">
        <v>0</v>
      </c>
      <c r="G819" s="85">
        <v>2430</v>
      </c>
      <c r="H819" s="50"/>
      <c r="I819" s="50"/>
      <c r="J819" s="50"/>
      <c r="K819" s="50"/>
      <c r="L819" s="50"/>
      <c r="M819" s="50"/>
      <c r="N819" s="50"/>
    </row>
    <row r="820" spans="1:18" s="43" customFormat="1" x14ac:dyDescent="0.25">
      <c r="A820" s="141" t="s">
        <v>509</v>
      </c>
      <c r="B820" s="136"/>
      <c r="C820" s="50"/>
      <c r="D820" s="50"/>
      <c r="E820" s="50"/>
      <c r="F820" s="85"/>
      <c r="G820" s="50"/>
      <c r="H820" s="50"/>
      <c r="I820" s="50"/>
      <c r="J820" s="50"/>
      <c r="K820" s="50"/>
      <c r="L820" s="50"/>
      <c r="M820" s="50"/>
      <c r="N820" s="50"/>
    </row>
    <row r="821" spans="1:18" s="43" customFormat="1" x14ac:dyDescent="0.25">
      <c r="A821" s="92" t="s">
        <v>510</v>
      </c>
      <c r="B821" s="96" t="s">
        <v>330</v>
      </c>
      <c r="C821" s="50"/>
      <c r="D821" s="50"/>
      <c r="E821" s="50"/>
      <c r="F821" s="50"/>
      <c r="G821" s="89"/>
      <c r="H821" s="50"/>
      <c r="I821" s="50"/>
      <c r="J821" s="50"/>
      <c r="K821" s="50"/>
      <c r="L821" s="50"/>
      <c r="M821" s="50"/>
      <c r="N821" s="50"/>
    </row>
    <row r="822" spans="1:18" s="43" customFormat="1" x14ac:dyDescent="0.25">
      <c r="A822" s="142" t="s">
        <v>510</v>
      </c>
      <c r="B822" s="139" t="s">
        <v>506</v>
      </c>
      <c r="C822" s="50"/>
      <c r="D822" s="50"/>
      <c r="E822" s="143">
        <v>0</v>
      </c>
      <c r="F822" s="50">
        <v>30000</v>
      </c>
      <c r="G822" s="50"/>
      <c r="H822" s="50"/>
      <c r="I822" s="50"/>
      <c r="J822" s="50"/>
      <c r="K822" s="50"/>
      <c r="L822" s="50"/>
      <c r="M822" s="50"/>
      <c r="N822" s="50"/>
    </row>
    <row r="823" spans="1:18" s="43" customFormat="1" x14ac:dyDescent="0.25">
      <c r="A823" s="91" t="s">
        <v>511</v>
      </c>
      <c r="B823" s="136" t="s">
        <v>496</v>
      </c>
      <c r="C823" s="50"/>
      <c r="D823" s="50"/>
      <c r="E823" s="50"/>
      <c r="F823" s="85">
        <v>0</v>
      </c>
      <c r="G823" s="50"/>
      <c r="H823" s="50"/>
      <c r="I823" s="50"/>
      <c r="J823" s="50"/>
      <c r="K823" s="50"/>
      <c r="L823" s="50"/>
      <c r="M823" s="50"/>
      <c r="N823" s="50"/>
    </row>
    <row r="824" spans="1:18" s="43" customFormat="1" x14ac:dyDescent="0.25">
      <c r="A824" s="61" t="s">
        <v>510</v>
      </c>
      <c r="B824" s="62" t="s">
        <v>245</v>
      </c>
      <c r="C824" s="50"/>
      <c r="D824" s="63"/>
      <c r="E824" s="63">
        <v>0</v>
      </c>
      <c r="F824" s="50">
        <v>102047</v>
      </c>
      <c r="G824" s="50"/>
      <c r="H824" s="50"/>
      <c r="I824" s="50"/>
      <c r="J824" s="50"/>
      <c r="K824" s="50"/>
      <c r="L824" s="50"/>
      <c r="M824" s="50"/>
      <c r="N824" s="50"/>
    </row>
    <row r="825" spans="1:18" s="145" customFormat="1" x14ac:dyDescent="0.25">
      <c r="A825" s="97" t="s">
        <v>512</v>
      </c>
      <c r="B825" s="96" t="s">
        <v>330</v>
      </c>
      <c r="C825" s="144"/>
      <c r="D825" s="144"/>
      <c r="E825" s="144"/>
      <c r="F825" s="144"/>
      <c r="G825" s="144"/>
      <c r="H825" s="144"/>
      <c r="I825" s="144"/>
      <c r="J825" s="144"/>
      <c r="K825" s="144"/>
      <c r="L825" s="144"/>
      <c r="M825" s="144"/>
      <c r="N825" s="144"/>
    </row>
    <row r="826" spans="1:18" s="43" customFormat="1" x14ac:dyDescent="0.25">
      <c r="A826" s="93" t="s">
        <v>513</v>
      </c>
      <c r="B826" s="96" t="s">
        <v>330</v>
      </c>
      <c r="C826" s="50"/>
      <c r="D826" s="50"/>
      <c r="E826" s="50"/>
      <c r="F826" s="50"/>
      <c r="G826" s="50"/>
      <c r="H826" s="50"/>
      <c r="I826" s="50"/>
      <c r="J826" s="50"/>
      <c r="K826" s="50"/>
      <c r="L826" s="50"/>
      <c r="M826" s="50"/>
      <c r="N826" s="50"/>
    </row>
    <row r="827" spans="1:18" x14ac:dyDescent="0.25">
      <c r="A827" s="126" t="s">
        <v>514</v>
      </c>
      <c r="B827" s="127" t="s">
        <v>468</v>
      </c>
      <c r="C827" s="50"/>
      <c r="D827" s="50"/>
      <c r="E827" s="50">
        <v>0</v>
      </c>
      <c r="F827" s="50">
        <v>0</v>
      </c>
      <c r="G827" s="50">
        <v>0</v>
      </c>
      <c r="H827" s="50">
        <v>0</v>
      </c>
      <c r="I827" s="50">
        <v>0</v>
      </c>
      <c r="J827" s="50">
        <v>0</v>
      </c>
      <c r="K827" s="50">
        <v>0</v>
      </c>
      <c r="L827" s="50">
        <v>0</v>
      </c>
      <c r="M827" s="50">
        <v>0</v>
      </c>
      <c r="N827" s="50">
        <v>0</v>
      </c>
      <c r="O827" s="50">
        <v>0</v>
      </c>
      <c r="P827" s="50">
        <v>0</v>
      </c>
      <c r="Q827" s="50">
        <v>0</v>
      </c>
      <c r="R827" s="50">
        <v>0</v>
      </c>
    </row>
    <row r="828" spans="1:18" s="43" customFormat="1" x14ac:dyDescent="0.25">
      <c r="A828" s="128" t="s">
        <v>515</v>
      </c>
      <c r="B828" s="62" t="s">
        <v>245</v>
      </c>
      <c r="C828" s="50"/>
      <c r="D828" s="130"/>
      <c r="E828" s="50"/>
      <c r="F828" s="50"/>
      <c r="G828" s="50"/>
      <c r="H828" s="50"/>
      <c r="I828" s="50"/>
      <c r="J828" s="50"/>
      <c r="K828" s="50"/>
      <c r="L828" s="50"/>
      <c r="M828" s="50"/>
      <c r="N828" s="50"/>
    </row>
    <row r="829" spans="1:18" s="43" customFormat="1" x14ac:dyDescent="0.25">
      <c r="A829" s="128" t="s">
        <v>516</v>
      </c>
      <c r="B829" s="129" t="s">
        <v>245</v>
      </c>
      <c r="C829" s="50"/>
      <c r="D829" s="130"/>
      <c r="E829" s="130">
        <v>933</v>
      </c>
      <c r="F829" s="50">
        <v>94963.5</v>
      </c>
      <c r="G829" s="50"/>
      <c r="H829" s="50"/>
      <c r="I829" s="50"/>
      <c r="J829" s="50"/>
      <c r="K829" s="50"/>
      <c r="L829" s="50"/>
      <c r="M829" s="50"/>
      <c r="N829" s="50"/>
    </row>
    <row r="830" spans="1:18" s="43" customFormat="1" x14ac:dyDescent="0.25">
      <c r="A830" s="83" t="s">
        <v>517</v>
      </c>
      <c r="B830" s="136" t="s">
        <v>496</v>
      </c>
      <c r="C830" s="50"/>
      <c r="D830" s="50"/>
      <c r="E830" s="50"/>
      <c r="F830" s="50">
        <v>23679</v>
      </c>
      <c r="G830" s="50"/>
      <c r="H830" s="50"/>
      <c r="I830" s="50"/>
      <c r="J830" s="50"/>
      <c r="K830" s="50"/>
      <c r="L830" s="50"/>
      <c r="M830" s="50"/>
      <c r="N830" s="50"/>
    </row>
    <row r="831" spans="1:18" s="43" customFormat="1" x14ac:dyDescent="0.25">
      <c r="A831" s="128" t="s">
        <v>518</v>
      </c>
      <c r="B831" s="129" t="s">
        <v>245</v>
      </c>
      <c r="C831" s="50"/>
      <c r="D831" s="130"/>
      <c r="E831" s="50"/>
      <c r="F831" s="50"/>
      <c r="G831" s="50"/>
      <c r="H831" s="50"/>
      <c r="I831" s="50"/>
      <c r="J831" s="50"/>
      <c r="K831" s="50"/>
      <c r="L831" s="50"/>
      <c r="M831" s="50"/>
      <c r="N831" s="50"/>
    </row>
    <row r="832" spans="1:18" s="43" customFormat="1" x14ac:dyDescent="0.25">
      <c r="A832" s="128" t="s">
        <v>519</v>
      </c>
      <c r="B832" s="129"/>
      <c r="C832" s="50"/>
      <c r="D832" s="130">
        <v>19600</v>
      </c>
      <c r="E832" s="50"/>
      <c r="F832" s="50"/>
      <c r="G832" s="50"/>
      <c r="H832" s="50"/>
      <c r="I832" s="50"/>
      <c r="J832" s="50"/>
      <c r="K832" s="50"/>
      <c r="L832" s="50"/>
      <c r="M832" s="50"/>
      <c r="N832" s="50"/>
    </row>
    <row r="833" spans="1:16" s="43" customFormat="1" x14ac:dyDescent="0.25">
      <c r="A833" s="128" t="s">
        <v>520</v>
      </c>
      <c r="B833" s="129" t="s">
        <v>245</v>
      </c>
      <c r="C833" s="50"/>
      <c r="D833" s="130">
        <v>56900</v>
      </c>
      <c r="E833" s="50"/>
      <c r="F833" s="50"/>
      <c r="G833" s="50"/>
      <c r="H833" s="50"/>
      <c r="I833" s="50"/>
      <c r="J833" s="50"/>
      <c r="K833" s="50"/>
      <c r="L833" s="50"/>
      <c r="M833" s="50"/>
      <c r="N833" s="50"/>
    </row>
    <row r="834" spans="1:16" s="43" customFormat="1" x14ac:dyDescent="0.25">
      <c r="A834" s="146" t="s">
        <v>521</v>
      </c>
      <c r="B834" s="129"/>
      <c r="C834" s="50"/>
      <c r="D834" s="50"/>
      <c r="E834" s="130">
        <v>8530</v>
      </c>
      <c r="F834" s="43">
        <v>400</v>
      </c>
      <c r="G834" s="63">
        <v>9778</v>
      </c>
      <c r="H834" s="50"/>
      <c r="I834" s="50"/>
      <c r="J834" s="50"/>
      <c r="K834" s="50"/>
      <c r="L834" s="50"/>
      <c r="M834" s="50"/>
      <c r="N834" s="50"/>
    </row>
    <row r="835" spans="1:16" s="43" customFormat="1" x14ac:dyDescent="0.25">
      <c r="A835" s="147" t="s">
        <v>522</v>
      </c>
      <c r="B835" s="53"/>
      <c r="C835" s="50"/>
      <c r="D835" s="50"/>
      <c r="E835" s="50"/>
      <c r="G835" s="50">
        <v>5850</v>
      </c>
      <c r="H835" s="50"/>
      <c r="I835" s="50"/>
      <c r="J835" s="50"/>
      <c r="K835" s="50"/>
      <c r="L835" s="50"/>
      <c r="M835" s="50"/>
      <c r="N835" s="50"/>
    </row>
    <row r="836" spans="1:16" s="43" customFormat="1" x14ac:dyDescent="0.25">
      <c r="A836" s="148" t="s">
        <v>523</v>
      </c>
      <c r="B836" s="96" t="s">
        <v>323</v>
      </c>
      <c r="C836" s="50"/>
      <c r="D836" s="50"/>
      <c r="E836" s="50"/>
      <c r="F836" s="50"/>
      <c r="G836" s="50"/>
      <c r="H836" s="50"/>
      <c r="I836" s="50"/>
      <c r="J836" s="50"/>
      <c r="K836" s="50"/>
      <c r="L836" s="50"/>
      <c r="M836" s="50"/>
      <c r="N836" s="50"/>
      <c r="O836" s="89">
        <v>0</v>
      </c>
    </row>
    <row r="837" spans="1:16" s="43" customFormat="1" x14ac:dyDescent="0.25">
      <c r="A837" s="131" t="s">
        <v>524</v>
      </c>
      <c r="B837" s="132" t="s">
        <v>487</v>
      </c>
      <c r="C837" s="50"/>
      <c r="D837" s="134"/>
      <c r="E837" s="134">
        <v>0</v>
      </c>
      <c r="F837" s="43">
        <v>16456</v>
      </c>
      <c r="G837" s="50"/>
      <c r="H837" s="50"/>
      <c r="I837" s="50"/>
      <c r="J837" s="50"/>
      <c r="K837" s="50"/>
      <c r="L837" s="50"/>
      <c r="M837" s="50"/>
      <c r="N837" s="50"/>
    </row>
    <row r="838" spans="1:16" s="43" customFormat="1" x14ac:dyDescent="0.25">
      <c r="A838" s="131" t="s">
        <v>525</v>
      </c>
      <c r="B838" s="132" t="s">
        <v>487</v>
      </c>
      <c r="C838" s="50"/>
      <c r="D838" s="50"/>
      <c r="E838" s="134">
        <v>0</v>
      </c>
      <c r="F838" s="50"/>
      <c r="G838" s="50"/>
      <c r="H838" s="50"/>
      <c r="I838" s="50"/>
      <c r="J838" s="50"/>
      <c r="K838" s="50"/>
      <c r="L838" s="134">
        <v>2507</v>
      </c>
      <c r="M838" s="50"/>
      <c r="N838" s="50"/>
    </row>
    <row r="839" spans="1:16" s="43" customFormat="1" x14ac:dyDescent="0.25">
      <c r="A839" s="52" t="s">
        <v>526</v>
      </c>
      <c r="B839" s="53"/>
      <c r="C839" s="59"/>
      <c r="D839" s="50"/>
      <c r="E839" s="50"/>
      <c r="F839" s="50"/>
      <c r="G839" s="50"/>
      <c r="H839" s="50"/>
      <c r="I839" s="50"/>
      <c r="J839" s="50"/>
      <c r="K839" s="50"/>
      <c r="L839" s="50"/>
      <c r="M839" s="50"/>
      <c r="N839" s="50"/>
    </row>
    <row r="840" spans="1:16" s="43" customFormat="1" x14ac:dyDescent="0.25">
      <c r="A840" s="92" t="s">
        <v>527</v>
      </c>
      <c r="B840" s="96" t="s">
        <v>330</v>
      </c>
      <c r="C840" s="50"/>
      <c r="D840" s="50"/>
      <c r="E840" s="50"/>
      <c r="F840" s="50"/>
      <c r="G840" s="89"/>
      <c r="H840" s="50"/>
      <c r="I840" s="50"/>
      <c r="J840" s="50"/>
      <c r="K840" s="50"/>
      <c r="L840" s="50"/>
      <c r="M840" s="50"/>
      <c r="N840" s="50"/>
    </row>
    <row r="841" spans="1:16" s="43" customFormat="1" x14ac:dyDescent="0.25">
      <c r="A841" s="92" t="s">
        <v>528</v>
      </c>
      <c r="B841" s="96" t="s">
        <v>330</v>
      </c>
      <c r="C841" s="50"/>
      <c r="D841" s="50"/>
      <c r="E841" s="50"/>
      <c r="F841" s="50"/>
      <c r="G841" s="50"/>
      <c r="H841" s="50"/>
      <c r="I841" s="50"/>
      <c r="J841" s="50"/>
      <c r="K841" s="50"/>
      <c r="L841" s="50"/>
      <c r="M841" s="50"/>
      <c r="N841" s="50"/>
    </row>
    <row r="842" spans="1:16" s="43" customFormat="1" x14ac:dyDescent="0.25">
      <c r="A842" s="146" t="s">
        <v>529</v>
      </c>
      <c r="B842" s="129" t="s">
        <v>245</v>
      </c>
      <c r="C842" s="50"/>
      <c r="D842" s="50"/>
      <c r="E842" s="50"/>
      <c r="F842" s="50"/>
      <c r="G842" s="50"/>
      <c r="H842" s="50"/>
      <c r="I842" s="50"/>
      <c r="J842" s="50"/>
      <c r="K842" s="50"/>
      <c r="L842" s="50"/>
      <c r="M842" s="50"/>
      <c r="N842" s="50"/>
    </row>
    <row r="843" spans="1:16" s="43" customFormat="1" x14ac:dyDescent="0.25">
      <c r="A843" s="146" t="s">
        <v>530</v>
      </c>
      <c r="B843" s="129" t="s">
        <v>245</v>
      </c>
      <c r="C843" s="50"/>
      <c r="D843" s="50"/>
      <c r="E843" s="50"/>
      <c r="F843" s="50"/>
      <c r="G843" s="63">
        <v>150</v>
      </c>
      <c r="H843" s="50"/>
      <c r="I843" s="50"/>
      <c r="J843" s="50"/>
      <c r="K843" s="50"/>
      <c r="L843" s="50"/>
      <c r="M843" s="50"/>
      <c r="N843" s="50"/>
    </row>
    <row r="844" spans="1:16" s="43" customFormat="1" x14ac:dyDescent="0.25">
      <c r="A844" s="92" t="s">
        <v>531</v>
      </c>
      <c r="B844" s="96" t="s">
        <v>323</v>
      </c>
      <c r="C844" s="50"/>
      <c r="D844" s="50"/>
      <c r="E844" s="50"/>
      <c r="F844" s="50"/>
      <c r="G844" s="50"/>
      <c r="H844" s="50"/>
      <c r="I844" s="50"/>
      <c r="J844" s="50"/>
      <c r="K844" s="50"/>
      <c r="L844" s="50"/>
      <c r="M844" s="89">
        <v>0</v>
      </c>
      <c r="N844" s="50"/>
    </row>
    <row r="845" spans="1:16" s="43" customFormat="1" x14ac:dyDescent="0.25">
      <c r="A845" s="92" t="s">
        <v>532</v>
      </c>
      <c r="B845" s="96" t="s">
        <v>323</v>
      </c>
      <c r="C845" s="50"/>
      <c r="D845" s="50"/>
      <c r="E845" s="50"/>
      <c r="F845" s="50"/>
      <c r="G845" s="50"/>
      <c r="H845" s="50"/>
      <c r="I845" s="89">
        <v>0</v>
      </c>
      <c r="J845" s="50"/>
      <c r="K845" s="50"/>
      <c r="L845" s="50"/>
      <c r="M845" s="50"/>
      <c r="N845" s="50"/>
    </row>
    <row r="846" spans="1:16" s="43" customFormat="1" x14ac:dyDescent="0.25">
      <c r="A846" s="92" t="s">
        <v>533</v>
      </c>
      <c r="B846" s="96" t="s">
        <v>323</v>
      </c>
      <c r="C846" s="50"/>
      <c r="D846" s="50"/>
      <c r="E846" s="50"/>
      <c r="F846" s="50"/>
      <c r="G846" s="50"/>
      <c r="H846" s="50"/>
      <c r="I846" s="50"/>
      <c r="J846" s="89">
        <v>0</v>
      </c>
      <c r="K846" s="50"/>
      <c r="L846" s="50"/>
      <c r="M846" s="50"/>
      <c r="N846" s="50"/>
    </row>
    <row r="847" spans="1:16" s="43" customFormat="1" x14ac:dyDescent="0.25">
      <c r="A847" s="92" t="s">
        <v>534</v>
      </c>
      <c r="B847" s="96" t="s">
        <v>323</v>
      </c>
      <c r="C847" s="50"/>
      <c r="D847" s="50"/>
      <c r="E847" s="50"/>
      <c r="F847" s="50"/>
      <c r="G847" s="50"/>
      <c r="H847" s="50"/>
      <c r="I847" s="50"/>
      <c r="J847" s="50"/>
      <c r="K847" s="50"/>
      <c r="L847" s="50"/>
      <c r="M847" s="50"/>
      <c r="N847" s="89">
        <v>0</v>
      </c>
      <c r="P847" s="149">
        <v>0</v>
      </c>
    </row>
    <row r="848" spans="1:16" x14ac:dyDescent="0.25">
      <c r="A848" s="131" t="s">
        <v>535</v>
      </c>
      <c r="B848" s="132" t="s">
        <v>487</v>
      </c>
      <c r="C848" s="50"/>
      <c r="D848" s="133">
        <v>8729</v>
      </c>
      <c r="E848" s="50"/>
      <c r="F848" s="50"/>
      <c r="G848" s="50"/>
      <c r="H848" s="50"/>
      <c r="I848" s="50"/>
      <c r="J848" s="50"/>
      <c r="K848" s="50"/>
      <c r="L848" s="134">
        <v>3761</v>
      </c>
      <c r="M848" s="50"/>
      <c r="N848" s="50"/>
    </row>
    <row r="849" spans="1:18" x14ac:dyDescent="0.25">
      <c r="A849" s="91" t="s">
        <v>536</v>
      </c>
      <c r="B849" s="136" t="s">
        <v>492</v>
      </c>
      <c r="C849" s="50"/>
      <c r="D849" s="50"/>
      <c r="E849" s="85">
        <v>17295</v>
      </c>
      <c r="F849" s="50"/>
      <c r="G849" s="50"/>
      <c r="H849" s="50"/>
      <c r="I849" s="50"/>
      <c r="J849" s="50"/>
      <c r="K849" s="50"/>
      <c r="L849" s="50"/>
      <c r="M849" s="50"/>
      <c r="N849" s="50"/>
    </row>
    <row r="850" spans="1:18" x14ac:dyDescent="0.25">
      <c r="A850" s="91" t="s">
        <v>537</v>
      </c>
      <c r="B850" s="136"/>
      <c r="C850" s="50"/>
      <c r="D850" s="50"/>
      <c r="E850" s="85"/>
      <c r="F850" s="50">
        <v>14091</v>
      </c>
      <c r="G850" s="50"/>
      <c r="H850" s="50"/>
      <c r="I850" s="50"/>
      <c r="J850" s="50"/>
      <c r="K850" s="50"/>
      <c r="L850" s="50"/>
      <c r="M850" s="50"/>
      <c r="N850" s="50"/>
    </row>
    <row r="851" spans="1:18" x14ac:dyDescent="0.25">
      <c r="A851" s="91" t="s">
        <v>538</v>
      </c>
      <c r="B851" s="136" t="s">
        <v>492</v>
      </c>
      <c r="C851" s="50"/>
      <c r="D851" s="50"/>
      <c r="E851" s="50"/>
      <c r="F851" s="50"/>
      <c r="G851" s="50"/>
      <c r="H851" s="50"/>
      <c r="I851" s="50"/>
      <c r="J851" s="50"/>
      <c r="K851" s="50"/>
      <c r="L851" s="50"/>
      <c r="M851" s="50"/>
      <c r="N851" s="50">
        <v>0</v>
      </c>
    </row>
    <row r="852" spans="1:18" x14ac:dyDescent="0.25">
      <c r="A852" s="128" t="s">
        <v>539</v>
      </c>
      <c r="B852" s="129" t="s">
        <v>245</v>
      </c>
      <c r="C852" s="52">
        <v>10314</v>
      </c>
      <c r="D852" s="50"/>
      <c r="E852" s="50"/>
      <c r="F852" s="50"/>
      <c r="G852" s="50"/>
      <c r="H852" s="50"/>
      <c r="I852" s="50"/>
      <c r="J852" s="50"/>
      <c r="K852" s="50"/>
      <c r="L852" s="50"/>
      <c r="M852" s="50"/>
      <c r="N852" s="50"/>
    </row>
    <row r="853" spans="1:18" s="43" customFormat="1" x14ac:dyDescent="0.25">
      <c r="A853" s="92" t="s">
        <v>540</v>
      </c>
      <c r="B853" s="96" t="s">
        <v>330</v>
      </c>
      <c r="C853" s="50"/>
      <c r="D853" s="50"/>
      <c r="E853" s="50"/>
      <c r="F853" s="50"/>
      <c r="G853" s="50"/>
      <c r="H853" s="50"/>
      <c r="I853" s="50"/>
      <c r="J853" s="50"/>
      <c r="K853" s="50"/>
      <c r="L853" s="50"/>
      <c r="M853" s="50"/>
      <c r="N853" s="50"/>
    </row>
    <row r="854" spans="1:18" s="43" customFormat="1" x14ac:dyDescent="0.25">
      <c r="A854" s="92" t="s">
        <v>541</v>
      </c>
      <c r="B854" s="96" t="s">
        <v>323</v>
      </c>
      <c r="C854" s="50"/>
      <c r="D854" s="50"/>
      <c r="E854" s="50"/>
      <c r="F854" s="50"/>
      <c r="G854" s="50"/>
      <c r="H854" s="50"/>
      <c r="I854" s="50"/>
      <c r="J854" s="50"/>
      <c r="K854" s="50"/>
      <c r="L854" s="50"/>
      <c r="M854" s="50"/>
      <c r="N854" s="50"/>
      <c r="Q854" s="149">
        <v>0</v>
      </c>
      <c r="R854" s="149"/>
    </row>
    <row r="855" spans="1:18" x14ac:dyDescent="0.25">
      <c r="A855" s="43" t="s">
        <v>542</v>
      </c>
      <c r="B855" s="53"/>
      <c r="C855" s="50"/>
      <c r="D855" s="50">
        <v>0</v>
      </c>
      <c r="E855" s="50">
        <v>0</v>
      </c>
      <c r="F855" s="50">
        <v>0</v>
      </c>
      <c r="G855" s="50">
        <v>0</v>
      </c>
      <c r="H855" s="50">
        <v>0</v>
      </c>
      <c r="I855" s="50">
        <v>0</v>
      </c>
      <c r="J855" s="50">
        <v>0</v>
      </c>
      <c r="K855" s="50">
        <v>0</v>
      </c>
      <c r="L855" s="50">
        <v>0</v>
      </c>
      <c r="M855" s="50">
        <v>0</v>
      </c>
      <c r="N855" s="50">
        <v>0</v>
      </c>
    </row>
    <row r="856" spans="1:18" x14ac:dyDescent="0.25">
      <c r="A856" s="150" t="s">
        <v>543</v>
      </c>
      <c r="B856" s="127" t="s">
        <v>468</v>
      </c>
      <c r="C856" s="50"/>
      <c r="D856" s="50">
        <v>0</v>
      </c>
      <c r="E856" s="50">
        <v>0</v>
      </c>
      <c r="F856" s="50">
        <v>0</v>
      </c>
      <c r="G856" s="50">
        <v>0</v>
      </c>
      <c r="H856" s="50">
        <v>0</v>
      </c>
      <c r="I856" s="50">
        <v>0</v>
      </c>
      <c r="J856" s="50">
        <v>0</v>
      </c>
      <c r="K856" s="50">
        <v>0</v>
      </c>
      <c r="L856" s="50">
        <v>0</v>
      </c>
      <c r="M856" s="50">
        <v>0</v>
      </c>
      <c r="N856" s="50">
        <v>0</v>
      </c>
    </row>
    <row r="857" spans="1:18" s="43" customFormat="1" x14ac:dyDescent="0.25">
      <c r="A857" s="92" t="s">
        <v>544</v>
      </c>
      <c r="B857" s="96" t="s">
        <v>323</v>
      </c>
      <c r="C857" s="50"/>
      <c r="D857" s="50"/>
      <c r="E857" s="50"/>
      <c r="F857" s="50"/>
      <c r="G857" s="50"/>
      <c r="H857" s="50"/>
      <c r="I857" s="50"/>
      <c r="J857" s="50"/>
      <c r="K857" s="50"/>
      <c r="L857" s="50"/>
      <c r="M857" s="50"/>
      <c r="N857" s="50"/>
      <c r="Q857" s="149">
        <v>0</v>
      </c>
      <c r="R857" s="149"/>
    </row>
    <row r="858" spans="1:18" x14ac:dyDescent="0.25">
      <c r="A858" s="151" t="s">
        <v>545</v>
      </c>
      <c r="B858" s="127" t="s">
        <v>468</v>
      </c>
      <c r="C858" s="59"/>
      <c r="D858" s="50">
        <v>0</v>
      </c>
      <c r="E858" s="50">
        <v>0</v>
      </c>
      <c r="F858" s="50">
        <v>0</v>
      </c>
      <c r="G858" s="50">
        <v>0</v>
      </c>
      <c r="H858" s="50">
        <v>0</v>
      </c>
      <c r="I858" s="50">
        <v>0</v>
      </c>
      <c r="J858" s="50">
        <v>0</v>
      </c>
      <c r="K858" s="50">
        <v>0</v>
      </c>
      <c r="L858" s="50">
        <v>0</v>
      </c>
      <c r="M858" s="50">
        <v>0</v>
      </c>
      <c r="N858" s="50">
        <v>0</v>
      </c>
      <c r="O858" s="50"/>
      <c r="P858" s="50"/>
      <c r="Q858" s="50"/>
      <c r="R858" s="50"/>
    </row>
    <row r="859" spans="1:18" s="43" customFormat="1" x14ac:dyDescent="0.25">
      <c r="A859" s="91" t="s">
        <v>546</v>
      </c>
      <c r="B859" s="136" t="s">
        <v>492</v>
      </c>
      <c r="C859" s="52"/>
      <c r="D859" s="50"/>
      <c r="E859" s="50"/>
      <c r="F859" s="50"/>
      <c r="G859" s="50">
        <v>2850</v>
      </c>
      <c r="H859" s="50"/>
      <c r="I859" s="50"/>
      <c r="J859" s="50"/>
      <c r="K859" s="50"/>
      <c r="L859" s="50"/>
      <c r="M859" s="50"/>
      <c r="N859" s="50"/>
      <c r="O859" s="50">
        <v>0</v>
      </c>
      <c r="P859" s="50">
        <v>0</v>
      </c>
      <c r="Q859" s="50">
        <v>0</v>
      </c>
      <c r="R859" s="50">
        <v>0</v>
      </c>
    </row>
    <row r="860" spans="1:18" x14ac:dyDescent="0.25">
      <c r="A860" s="128" t="s">
        <v>547</v>
      </c>
      <c r="B860" s="129" t="s">
        <v>245</v>
      </c>
      <c r="C860" s="54">
        <v>7219</v>
      </c>
      <c r="D860" s="130">
        <v>12730</v>
      </c>
      <c r="E860" s="50"/>
      <c r="F860" s="50"/>
      <c r="G860" s="50"/>
      <c r="H860" s="50"/>
      <c r="I860" s="50"/>
      <c r="J860" s="50"/>
      <c r="K860" s="50"/>
      <c r="L860" s="50"/>
      <c r="M860" s="50"/>
      <c r="N860" s="50"/>
    </row>
    <row r="861" spans="1:18" x14ac:dyDescent="0.25">
      <c r="A861" s="131" t="s">
        <v>548</v>
      </c>
      <c r="B861" s="132" t="s">
        <v>487</v>
      </c>
      <c r="C861" s="50"/>
      <c r="D861" s="133">
        <v>170</v>
      </c>
      <c r="E861" s="50"/>
      <c r="F861" s="50"/>
      <c r="G861" s="50"/>
      <c r="H861" s="50"/>
      <c r="I861" s="50"/>
      <c r="J861" s="50"/>
      <c r="K861" s="50"/>
      <c r="L861" s="134">
        <v>6269</v>
      </c>
      <c r="M861" s="50"/>
      <c r="N861" s="50"/>
    </row>
    <row r="862" spans="1:18" x14ac:dyDescent="0.25">
      <c r="A862" s="131" t="s">
        <v>549</v>
      </c>
      <c r="B862" s="132" t="s">
        <v>487</v>
      </c>
      <c r="C862" s="50"/>
      <c r="D862" s="50"/>
      <c r="E862" s="134">
        <v>0</v>
      </c>
      <c r="F862" s="50"/>
      <c r="G862" s="50"/>
      <c r="H862" s="50"/>
      <c r="I862" s="50"/>
      <c r="J862" s="134">
        <v>5955</v>
      </c>
      <c r="K862" s="50"/>
      <c r="L862" s="50"/>
      <c r="M862" s="50"/>
      <c r="N862" s="50"/>
      <c r="O862" s="152">
        <v>6672</v>
      </c>
    </row>
    <row r="863" spans="1:18" s="43" customFormat="1" x14ac:dyDescent="0.25">
      <c r="A863" s="52" t="s">
        <v>550</v>
      </c>
      <c r="B863" s="53"/>
      <c r="C863" s="50"/>
      <c r="D863" s="50"/>
      <c r="E863" s="50"/>
      <c r="F863" s="50"/>
      <c r="G863" s="50"/>
      <c r="H863" s="50"/>
      <c r="I863" s="50"/>
      <c r="J863" s="50"/>
      <c r="K863" s="50"/>
      <c r="L863" s="50"/>
      <c r="M863" s="50"/>
      <c r="N863" s="50"/>
    </row>
    <row r="864" spans="1:18" s="43" customFormat="1" x14ac:dyDescent="0.25">
      <c r="A864" s="92" t="s">
        <v>551</v>
      </c>
      <c r="B864" s="96" t="s">
        <v>330</v>
      </c>
      <c r="C864" s="50"/>
      <c r="D864" s="50"/>
      <c r="E864" s="50"/>
      <c r="F864" s="50"/>
      <c r="G864" s="50"/>
      <c r="H864" s="50"/>
      <c r="I864" s="50"/>
      <c r="J864" s="50"/>
      <c r="K864" s="50"/>
      <c r="L864" s="50"/>
      <c r="M864" s="50"/>
      <c r="N864" s="50"/>
      <c r="O864" s="43">
        <v>0</v>
      </c>
      <c r="P864" s="43">
        <v>0</v>
      </c>
      <c r="Q864" s="43">
        <v>0</v>
      </c>
      <c r="R864" s="43">
        <v>0</v>
      </c>
    </row>
    <row r="865" spans="1:18" s="43" customFormat="1" x14ac:dyDescent="0.25">
      <c r="A865" s="92" t="s">
        <v>552</v>
      </c>
      <c r="B865" s="96" t="s">
        <v>330</v>
      </c>
      <c r="C865" s="50"/>
      <c r="D865" s="50"/>
      <c r="E865" s="50"/>
      <c r="F865" s="50"/>
      <c r="G865" s="50"/>
      <c r="H865" s="50"/>
      <c r="I865" s="50"/>
      <c r="J865" s="50"/>
      <c r="K865" s="50"/>
      <c r="L865" s="50"/>
      <c r="M865" s="50"/>
      <c r="N865" s="50"/>
    </row>
    <row r="866" spans="1:18" s="43" customFormat="1" x14ac:dyDescent="0.25">
      <c r="A866" s="153" t="s">
        <v>552</v>
      </c>
      <c r="B866" s="96" t="s">
        <v>323</v>
      </c>
      <c r="C866" s="50"/>
      <c r="D866" s="50"/>
      <c r="E866" s="50"/>
      <c r="F866" s="50"/>
      <c r="G866" s="50"/>
      <c r="H866" s="50"/>
      <c r="I866" s="50"/>
      <c r="J866" s="50"/>
      <c r="K866" s="50"/>
      <c r="L866" s="50"/>
      <c r="M866" s="50"/>
      <c r="N866" s="50"/>
      <c r="O866" s="89">
        <v>0</v>
      </c>
    </row>
    <row r="867" spans="1:18" s="43" customFormat="1" x14ac:dyDescent="0.25">
      <c r="A867" s="153" t="s">
        <v>553</v>
      </c>
      <c r="B867" s="96" t="s">
        <v>323</v>
      </c>
      <c r="C867" s="50"/>
      <c r="D867" s="50"/>
      <c r="E867" s="50"/>
      <c r="F867" s="50"/>
      <c r="G867" s="50"/>
      <c r="H867" s="50"/>
      <c r="I867" s="50"/>
      <c r="J867" s="50"/>
      <c r="K867" s="50"/>
      <c r="L867" s="50"/>
      <c r="M867" s="89">
        <v>0</v>
      </c>
      <c r="N867" s="50"/>
      <c r="O867" s="50"/>
    </row>
    <row r="868" spans="1:18" s="43" customFormat="1" x14ac:dyDescent="0.25">
      <c r="A868" s="153" t="s">
        <v>554</v>
      </c>
      <c r="B868" s="96" t="s">
        <v>323</v>
      </c>
      <c r="C868" s="50"/>
      <c r="D868" s="50"/>
      <c r="E868" s="50"/>
      <c r="F868" s="50"/>
      <c r="G868" s="50"/>
      <c r="H868" s="50"/>
      <c r="I868" s="50"/>
      <c r="J868" s="89">
        <v>0</v>
      </c>
      <c r="K868" s="50"/>
      <c r="L868" s="50"/>
      <c r="M868" s="50"/>
      <c r="N868" s="50"/>
      <c r="O868" s="50"/>
    </row>
    <row r="869" spans="1:18" x14ac:dyDescent="0.25">
      <c r="A869" s="128" t="s">
        <v>555</v>
      </c>
      <c r="B869" s="129" t="s">
        <v>245</v>
      </c>
      <c r="C869" s="54">
        <v>21670</v>
      </c>
      <c r="D869" s="130">
        <v>8600</v>
      </c>
      <c r="E869" s="50"/>
      <c r="F869" s="50"/>
      <c r="G869" s="50"/>
      <c r="H869" s="50"/>
      <c r="I869" s="50"/>
      <c r="J869" s="50"/>
      <c r="K869" s="50"/>
      <c r="L869" s="50"/>
      <c r="M869" s="50"/>
      <c r="N869" s="50"/>
      <c r="O869" s="50"/>
    </row>
    <row r="870" spans="1:18" s="43" customFormat="1" x14ac:dyDescent="0.25">
      <c r="A870" s="83" t="s">
        <v>556</v>
      </c>
      <c r="B870" s="53"/>
      <c r="C870" s="50"/>
      <c r="D870" s="85">
        <v>35105</v>
      </c>
      <c r="E870" s="50"/>
      <c r="F870" s="50"/>
      <c r="G870" s="50"/>
      <c r="H870" s="50"/>
      <c r="I870" s="50"/>
      <c r="J870" s="50"/>
      <c r="K870" s="50"/>
      <c r="L870" s="50"/>
      <c r="M870" s="50"/>
      <c r="N870" s="50"/>
      <c r="O870" s="50"/>
    </row>
    <row r="871" spans="1:18" s="43" customFormat="1" x14ac:dyDescent="0.25">
      <c r="A871" s="92" t="s">
        <v>557</v>
      </c>
      <c r="B871" s="96" t="s">
        <v>323</v>
      </c>
      <c r="C871" s="50"/>
      <c r="D871" s="50"/>
      <c r="E871" s="50"/>
      <c r="F871" s="50"/>
      <c r="G871" s="50"/>
      <c r="H871" s="50"/>
      <c r="I871" s="50"/>
      <c r="J871" s="50"/>
      <c r="K871" s="50"/>
      <c r="L871" s="50"/>
      <c r="M871" s="50"/>
      <c r="N871" s="50"/>
      <c r="O871" s="50"/>
    </row>
    <row r="872" spans="1:18" s="43" customFormat="1" x14ac:dyDescent="0.25">
      <c r="A872" s="92" t="s">
        <v>558</v>
      </c>
      <c r="B872" s="96" t="s">
        <v>323</v>
      </c>
      <c r="C872" s="50"/>
      <c r="D872" s="50"/>
      <c r="E872" s="50"/>
      <c r="F872" s="50"/>
      <c r="G872" s="50"/>
      <c r="H872" s="50"/>
      <c r="I872" s="50"/>
      <c r="J872" s="50"/>
      <c r="K872" s="50"/>
      <c r="L872" s="50"/>
      <c r="M872" s="50"/>
      <c r="N872" s="50"/>
      <c r="O872" s="89">
        <v>0</v>
      </c>
    </row>
    <row r="873" spans="1:18" s="43" customFormat="1" x14ac:dyDescent="0.25">
      <c r="A873" s="52" t="s">
        <v>559</v>
      </c>
      <c r="B873" s="53"/>
      <c r="C873" s="54">
        <v>1338</v>
      </c>
      <c r="D873" s="50">
        <v>13333</v>
      </c>
      <c r="E873" s="50"/>
      <c r="F873" s="50"/>
      <c r="G873" s="50"/>
      <c r="H873" s="50"/>
      <c r="I873" s="50"/>
      <c r="J873" s="50"/>
      <c r="K873" s="50"/>
      <c r="L873" s="50"/>
      <c r="M873" s="50"/>
      <c r="N873" s="50"/>
    </row>
    <row r="874" spans="1:18" s="43" customFormat="1" x14ac:dyDescent="0.25">
      <c r="A874" s="43" t="s">
        <v>560</v>
      </c>
      <c r="B874" s="53"/>
      <c r="C874" s="50"/>
      <c r="D874" s="50"/>
      <c r="E874" s="50"/>
      <c r="F874" s="50"/>
      <c r="G874" s="50"/>
      <c r="H874" s="50"/>
      <c r="I874" s="50"/>
      <c r="J874" s="50"/>
      <c r="K874" s="50"/>
      <c r="L874" s="50"/>
      <c r="M874" s="50"/>
      <c r="N874" s="50"/>
    </row>
    <row r="875" spans="1:18" x14ac:dyDescent="0.25">
      <c r="A875" s="91" t="s">
        <v>561</v>
      </c>
      <c r="B875" s="84" t="s">
        <v>317</v>
      </c>
      <c r="C875" s="54">
        <v>99533</v>
      </c>
      <c r="D875" s="85">
        <v>6209</v>
      </c>
      <c r="E875" s="50"/>
      <c r="F875" s="50"/>
      <c r="G875" s="50"/>
      <c r="H875" s="50"/>
      <c r="I875" s="50"/>
      <c r="J875" s="50"/>
      <c r="K875" s="50"/>
      <c r="L875" s="50"/>
      <c r="M875" s="50"/>
      <c r="N875" s="50"/>
    </row>
    <row r="876" spans="1:18" s="43" customFormat="1" x14ac:dyDescent="0.25">
      <c r="A876" s="43" t="s">
        <v>562</v>
      </c>
      <c r="B876" s="53"/>
      <c r="C876" s="50"/>
      <c r="D876" s="50"/>
      <c r="E876" s="50"/>
      <c r="F876" s="50"/>
      <c r="G876" s="50"/>
      <c r="H876" s="50"/>
      <c r="I876" s="50"/>
      <c r="J876" s="50"/>
      <c r="K876" s="50"/>
      <c r="L876" s="50"/>
      <c r="M876" s="50"/>
      <c r="N876" s="50"/>
    </row>
    <row r="877" spans="1:18" x14ac:dyDescent="0.25">
      <c r="A877" s="128" t="s">
        <v>563</v>
      </c>
      <c r="B877" s="129" t="s">
        <v>245</v>
      </c>
      <c r="C877" s="50"/>
      <c r="D877" s="50"/>
      <c r="E877" s="50"/>
      <c r="F877" s="50"/>
      <c r="G877" s="50"/>
      <c r="H877" s="50"/>
      <c r="I877" s="50"/>
      <c r="J877" s="50"/>
      <c r="K877" s="50"/>
      <c r="L877" s="50"/>
      <c r="M877" s="50"/>
      <c r="N877" s="50"/>
    </row>
    <row r="878" spans="1:18" x14ac:dyDescent="0.25">
      <c r="A878" s="128" t="s">
        <v>564</v>
      </c>
      <c r="B878" s="129" t="s">
        <v>245</v>
      </c>
      <c r="C878" s="54"/>
      <c r="D878" s="63">
        <v>19977</v>
      </c>
      <c r="E878" s="50"/>
      <c r="F878" s="50"/>
      <c r="G878" s="50"/>
      <c r="H878" s="50"/>
      <c r="I878" s="50"/>
      <c r="J878" s="50"/>
      <c r="K878" s="50"/>
      <c r="L878" s="50"/>
      <c r="M878" s="50"/>
      <c r="N878" s="50"/>
    </row>
    <row r="879" spans="1:18" x14ac:dyDescent="0.25">
      <c r="A879" s="83" t="s">
        <v>564</v>
      </c>
      <c r="B879" s="84" t="s">
        <v>317</v>
      </c>
      <c r="C879" s="50">
        <v>47108</v>
      </c>
      <c r="D879" s="85">
        <v>119092</v>
      </c>
      <c r="E879" s="50"/>
      <c r="F879" s="50"/>
      <c r="G879" s="50"/>
      <c r="H879" s="50"/>
      <c r="I879" s="50"/>
      <c r="J879" s="50"/>
      <c r="K879" s="50"/>
      <c r="L879" s="50"/>
      <c r="M879" s="50"/>
      <c r="N879" s="50"/>
    </row>
    <row r="880" spans="1:18" x14ac:dyDescent="0.25">
      <c r="A880" s="126" t="s">
        <v>565</v>
      </c>
      <c r="B880" s="127" t="s">
        <v>468</v>
      </c>
      <c r="C880" s="50"/>
      <c r="D880" s="50">
        <v>0</v>
      </c>
      <c r="E880" s="50">
        <v>0</v>
      </c>
      <c r="F880" s="50">
        <v>0</v>
      </c>
      <c r="G880" s="50">
        <v>0</v>
      </c>
      <c r="H880" s="50">
        <v>0</v>
      </c>
      <c r="I880" s="50">
        <v>0</v>
      </c>
      <c r="J880" s="50">
        <v>0</v>
      </c>
      <c r="K880" s="50">
        <v>0</v>
      </c>
      <c r="L880" s="50">
        <v>0</v>
      </c>
      <c r="M880" s="50">
        <v>0</v>
      </c>
      <c r="N880" s="50"/>
      <c r="O880" s="50"/>
      <c r="P880" s="50"/>
      <c r="Q880" s="50"/>
      <c r="R880" s="50"/>
    </row>
    <row r="881" spans="1:18" x14ac:dyDescent="0.25">
      <c r="A881" s="91" t="s">
        <v>566</v>
      </c>
      <c r="B881" s="84" t="s">
        <v>317</v>
      </c>
      <c r="C881" s="50"/>
      <c r="D881" s="85"/>
      <c r="E881" s="85">
        <v>10382</v>
      </c>
      <c r="F881" s="50"/>
      <c r="G881" s="50"/>
      <c r="H881" s="50"/>
      <c r="I881" s="50"/>
      <c r="J881" s="50"/>
      <c r="K881" s="50"/>
      <c r="L881" s="50"/>
      <c r="M881" s="50"/>
      <c r="N881" s="50"/>
      <c r="O881" s="50"/>
      <c r="P881" s="50"/>
      <c r="Q881" s="50"/>
      <c r="R881" s="50"/>
    </row>
    <row r="882" spans="1:18" s="43" customFormat="1" x14ac:dyDescent="0.25">
      <c r="A882" s="92" t="s">
        <v>567</v>
      </c>
      <c r="B882" s="96" t="s">
        <v>330</v>
      </c>
      <c r="C882" s="50"/>
      <c r="D882" s="50"/>
      <c r="E882" s="50"/>
      <c r="F882" s="50"/>
      <c r="G882" s="50"/>
      <c r="H882" s="50"/>
      <c r="I882" s="50"/>
      <c r="J882" s="50"/>
      <c r="K882" s="50"/>
      <c r="L882" s="50"/>
      <c r="M882" s="50"/>
      <c r="N882" s="50"/>
      <c r="O882" s="50"/>
      <c r="P882" s="50"/>
      <c r="Q882" s="50"/>
      <c r="R882" s="50"/>
    </row>
    <row r="883" spans="1:18" s="43" customFormat="1" x14ac:dyDescent="0.25">
      <c r="A883" s="92" t="s">
        <v>568</v>
      </c>
      <c r="B883" s="96"/>
      <c r="C883" s="50"/>
      <c r="D883" s="50"/>
      <c r="E883" s="50"/>
      <c r="F883" s="50"/>
      <c r="G883" s="50"/>
      <c r="H883" s="50"/>
      <c r="I883" s="50"/>
      <c r="J883" s="50"/>
      <c r="K883" s="50"/>
      <c r="L883" s="50"/>
      <c r="M883" s="50"/>
      <c r="N883" s="50"/>
      <c r="O883" s="50"/>
      <c r="P883" s="50"/>
      <c r="Q883" s="50"/>
      <c r="R883" s="50"/>
    </row>
    <row r="884" spans="1:18" s="43" customFormat="1" x14ac:dyDescent="0.25">
      <c r="A884" s="153" t="s">
        <v>569</v>
      </c>
      <c r="B884" s="96" t="s">
        <v>323</v>
      </c>
      <c r="C884" s="50"/>
      <c r="D884" s="50"/>
      <c r="E884" s="50"/>
      <c r="F884" s="50"/>
      <c r="G884" s="50"/>
      <c r="H884" s="50"/>
      <c r="I884" s="50"/>
      <c r="J884" s="50"/>
      <c r="K884" s="50"/>
      <c r="L884" s="50"/>
      <c r="M884" s="50"/>
      <c r="N884" s="50"/>
      <c r="O884" s="50"/>
      <c r="P884" s="89">
        <v>0</v>
      </c>
      <c r="Q884" s="50"/>
      <c r="R884" s="50"/>
    </row>
    <row r="885" spans="1:18" s="43" customFormat="1" x14ac:dyDescent="0.25">
      <c r="A885" s="153" t="s">
        <v>570</v>
      </c>
      <c r="B885" s="96" t="s">
        <v>323</v>
      </c>
      <c r="C885" s="50"/>
      <c r="D885" s="50"/>
      <c r="E885" s="50"/>
      <c r="F885" s="50"/>
      <c r="G885" s="50"/>
      <c r="H885" s="50"/>
      <c r="I885" s="50"/>
      <c r="J885" s="50"/>
      <c r="K885" s="50"/>
      <c r="L885" s="50"/>
      <c r="M885" s="50"/>
      <c r="N885" s="89">
        <v>0</v>
      </c>
      <c r="O885" s="50"/>
      <c r="P885" s="50"/>
      <c r="Q885" s="50"/>
      <c r="R885" s="50"/>
    </row>
    <row r="886" spans="1:18" s="43" customFormat="1" x14ac:dyDescent="0.25">
      <c r="A886" s="153" t="s">
        <v>571</v>
      </c>
      <c r="B886" s="96" t="s">
        <v>323</v>
      </c>
      <c r="C886" s="50"/>
      <c r="D886" s="50"/>
      <c r="E886" s="50"/>
      <c r="F886" s="50"/>
      <c r="G886" s="50"/>
      <c r="H886" s="50"/>
      <c r="I886" s="50"/>
      <c r="J886" s="50"/>
      <c r="K886" s="89">
        <v>0</v>
      </c>
      <c r="L886" s="50"/>
      <c r="M886" s="50"/>
      <c r="N886" s="50"/>
      <c r="O886" s="50"/>
      <c r="P886" s="50"/>
      <c r="Q886" s="50"/>
      <c r="R886" s="50"/>
    </row>
    <row r="887" spans="1:18" s="43" customFormat="1" x14ac:dyDescent="0.25">
      <c r="A887" s="153" t="s">
        <v>572</v>
      </c>
      <c r="B887" s="96" t="s">
        <v>323</v>
      </c>
      <c r="C887" s="50"/>
      <c r="D887" s="50"/>
      <c r="E887" s="50"/>
      <c r="F887" s="50"/>
      <c r="G887" s="50"/>
      <c r="H887" s="50"/>
      <c r="I887" s="50"/>
      <c r="J887" s="50"/>
      <c r="K887" s="50"/>
      <c r="L887" s="89">
        <v>0</v>
      </c>
      <c r="M887" s="50"/>
      <c r="N887" s="50"/>
      <c r="O887" s="50"/>
      <c r="P887" s="50"/>
      <c r="Q887" s="50"/>
      <c r="R887" s="50"/>
    </row>
    <row r="888" spans="1:18" s="43" customFormat="1" x14ac:dyDescent="0.25">
      <c r="A888" s="147" t="s">
        <v>573</v>
      </c>
      <c r="B888" s="53"/>
      <c r="C888" s="50"/>
      <c r="D888" s="50"/>
      <c r="E888" s="50"/>
      <c r="F888" s="50"/>
      <c r="G888" s="50">
        <v>2850</v>
      </c>
      <c r="H888" s="50"/>
      <c r="I888" s="50"/>
      <c r="J888" s="50"/>
      <c r="K888" s="50"/>
      <c r="L888" s="50"/>
      <c r="M888" s="50"/>
      <c r="N888" s="50"/>
      <c r="O888" s="50"/>
      <c r="P888" s="50"/>
      <c r="Q888" s="50"/>
      <c r="R888" s="50"/>
    </row>
    <row r="889" spans="1:18" x14ac:dyDescent="0.25">
      <c r="A889" s="126" t="s">
        <v>574</v>
      </c>
      <c r="B889" s="127" t="s">
        <v>468</v>
      </c>
      <c r="C889" s="50"/>
      <c r="D889" s="50">
        <v>0</v>
      </c>
      <c r="E889" s="50">
        <v>0</v>
      </c>
      <c r="F889" s="50">
        <v>0</v>
      </c>
      <c r="G889" s="50">
        <v>0</v>
      </c>
      <c r="H889" s="50">
        <v>0</v>
      </c>
      <c r="I889" s="50">
        <v>0</v>
      </c>
      <c r="J889" s="50">
        <v>0</v>
      </c>
      <c r="K889" s="50">
        <v>0</v>
      </c>
      <c r="L889" s="50">
        <v>0</v>
      </c>
      <c r="M889" s="50">
        <v>0</v>
      </c>
      <c r="N889" s="50">
        <v>0</v>
      </c>
      <c r="O889" s="50">
        <v>0</v>
      </c>
      <c r="P889" s="50">
        <v>0</v>
      </c>
      <c r="Q889" s="50">
        <v>0</v>
      </c>
      <c r="R889" s="50">
        <v>0</v>
      </c>
    </row>
    <row r="890" spans="1:18" x14ac:dyDescent="0.25">
      <c r="A890" s="128" t="s">
        <v>575</v>
      </c>
      <c r="B890" s="129" t="s">
        <v>245</v>
      </c>
      <c r="C890" s="59">
        <v>7659</v>
      </c>
      <c r="D890" s="63">
        <v>23680</v>
      </c>
      <c r="E890" s="50"/>
      <c r="F890" s="50"/>
      <c r="G890" s="50"/>
      <c r="H890" s="50"/>
      <c r="I890" s="50"/>
      <c r="J890" s="50"/>
      <c r="K890" s="50"/>
      <c r="L890" s="50"/>
      <c r="M890" s="50"/>
      <c r="N890" s="50"/>
      <c r="O890" s="50"/>
      <c r="P890" s="50"/>
      <c r="Q890" s="50"/>
      <c r="R890" s="50"/>
    </row>
    <row r="891" spans="1:18" x14ac:dyDescent="0.25">
      <c r="A891" s="150" t="s">
        <v>576</v>
      </c>
      <c r="B891" s="154" t="s">
        <v>468</v>
      </c>
      <c r="C891" s="50">
        <v>51000</v>
      </c>
      <c r="D891" s="50">
        <v>0</v>
      </c>
      <c r="E891" s="50">
        <v>0</v>
      </c>
      <c r="F891" s="50">
        <v>0</v>
      </c>
      <c r="G891" s="50">
        <v>0</v>
      </c>
      <c r="H891" s="50">
        <v>0</v>
      </c>
      <c r="I891" s="50">
        <v>0</v>
      </c>
      <c r="J891" s="50">
        <v>0</v>
      </c>
      <c r="K891" s="50">
        <v>0</v>
      </c>
      <c r="L891" s="50">
        <v>0</v>
      </c>
      <c r="M891" s="50">
        <v>0</v>
      </c>
      <c r="N891" s="50">
        <v>0</v>
      </c>
      <c r="O891" s="50">
        <v>0</v>
      </c>
      <c r="P891" s="50">
        <v>0</v>
      </c>
      <c r="Q891" s="50">
        <v>0</v>
      </c>
      <c r="R891" s="50">
        <v>0</v>
      </c>
    </row>
    <row r="892" spans="1:18" x14ac:dyDescent="0.25">
      <c r="A892" s="150" t="s">
        <v>577</v>
      </c>
      <c r="B892" s="127" t="s">
        <v>468</v>
      </c>
      <c r="C892" s="50"/>
      <c r="D892" s="50">
        <v>0</v>
      </c>
      <c r="E892" s="50">
        <v>0</v>
      </c>
      <c r="F892" s="50">
        <v>0</v>
      </c>
      <c r="G892" s="50">
        <v>0</v>
      </c>
      <c r="H892" s="50">
        <v>0</v>
      </c>
      <c r="I892" s="50">
        <v>0</v>
      </c>
      <c r="J892" s="50">
        <v>0</v>
      </c>
      <c r="K892" s="50">
        <v>0</v>
      </c>
      <c r="L892" s="50">
        <v>0</v>
      </c>
      <c r="M892" s="50">
        <v>0</v>
      </c>
      <c r="N892" s="50">
        <v>0</v>
      </c>
      <c r="O892" s="50">
        <v>0</v>
      </c>
      <c r="P892" s="50">
        <v>0</v>
      </c>
      <c r="Q892" s="50">
        <v>0</v>
      </c>
      <c r="R892" s="50">
        <v>0</v>
      </c>
    </row>
    <row r="893" spans="1:18" x14ac:dyDescent="0.25">
      <c r="A893" s="150" t="s">
        <v>578</v>
      </c>
      <c r="B893" s="127" t="s">
        <v>468</v>
      </c>
      <c r="C893" s="59"/>
      <c r="D893" s="50"/>
      <c r="E893" s="50"/>
      <c r="F893" s="50">
        <v>0</v>
      </c>
      <c r="G893" s="50">
        <v>0</v>
      </c>
      <c r="H893" s="50">
        <v>0</v>
      </c>
      <c r="I893" s="50">
        <v>0</v>
      </c>
      <c r="J893" s="50">
        <v>0</v>
      </c>
      <c r="K893" s="50">
        <v>0</v>
      </c>
      <c r="L893" s="50">
        <v>0</v>
      </c>
      <c r="M893" s="50">
        <v>0</v>
      </c>
      <c r="N893" s="50">
        <v>0</v>
      </c>
      <c r="O893" s="50">
        <v>0</v>
      </c>
      <c r="P893" s="50">
        <v>0</v>
      </c>
      <c r="Q893" s="50">
        <v>0</v>
      </c>
      <c r="R893" s="50">
        <v>0</v>
      </c>
    </row>
    <row r="894" spans="1:18" x14ac:dyDescent="0.25">
      <c r="A894" s="91" t="s">
        <v>579</v>
      </c>
      <c r="B894" s="84" t="s">
        <v>317</v>
      </c>
      <c r="C894" s="50">
        <v>19444</v>
      </c>
      <c r="D894" s="85">
        <v>6151</v>
      </c>
      <c r="E894" s="50"/>
      <c r="F894" s="50"/>
      <c r="G894" s="50"/>
      <c r="H894" s="50"/>
      <c r="I894" s="50"/>
      <c r="J894" s="50"/>
      <c r="K894" s="50"/>
      <c r="L894" s="50"/>
      <c r="M894" s="50"/>
      <c r="N894" s="50"/>
      <c r="O894" s="50">
        <v>0</v>
      </c>
      <c r="P894" s="50">
        <v>0</v>
      </c>
      <c r="Q894" s="50">
        <v>0</v>
      </c>
      <c r="R894" s="50">
        <v>0</v>
      </c>
    </row>
    <row r="895" spans="1:18" x14ac:dyDescent="0.25">
      <c r="A895" s="155" t="s">
        <v>580</v>
      </c>
      <c r="B895" s="156"/>
      <c r="C895" s="50"/>
      <c r="D895" s="50">
        <v>7533</v>
      </c>
      <c r="E895" s="50"/>
      <c r="F895" s="50"/>
      <c r="G895" s="50"/>
      <c r="H895" s="50"/>
      <c r="I895" s="50"/>
      <c r="J895" s="50"/>
      <c r="K895" s="50"/>
      <c r="L895" s="50"/>
      <c r="M895" s="50"/>
      <c r="N895" s="50"/>
      <c r="O895" s="50"/>
      <c r="P895" s="50"/>
      <c r="Q895" s="50"/>
      <c r="R895" s="50"/>
    </row>
    <row r="896" spans="1:18" s="43" customFormat="1" x14ac:dyDescent="0.25">
      <c r="A896" s="92" t="s">
        <v>581</v>
      </c>
      <c r="B896" s="96" t="s">
        <v>330</v>
      </c>
      <c r="C896" s="50"/>
      <c r="D896" s="50"/>
      <c r="E896" s="50"/>
      <c r="F896" s="50"/>
      <c r="G896" s="50"/>
      <c r="H896" s="50"/>
      <c r="I896" s="50"/>
      <c r="J896" s="50"/>
      <c r="K896" s="50"/>
      <c r="L896" s="50"/>
      <c r="M896" s="50"/>
      <c r="N896" s="50"/>
    </row>
    <row r="897" spans="1:18" s="43" customFormat="1" x14ac:dyDescent="0.25">
      <c r="A897" s="92" t="s">
        <v>581</v>
      </c>
      <c r="B897" s="96" t="s">
        <v>323</v>
      </c>
      <c r="C897" s="50"/>
      <c r="D897" s="50"/>
      <c r="E897" s="50"/>
      <c r="F897" s="50"/>
      <c r="G897" s="50"/>
      <c r="H897" s="50"/>
      <c r="I897" s="50"/>
      <c r="J897" s="50"/>
      <c r="K897" s="50"/>
      <c r="L897" s="50"/>
      <c r="M897" s="89">
        <v>0</v>
      </c>
      <c r="N897" s="50"/>
    </row>
    <row r="898" spans="1:18" x14ac:dyDescent="0.25">
      <c r="A898" s="91" t="s">
        <v>582</v>
      </c>
      <c r="B898" s="84" t="s">
        <v>317</v>
      </c>
      <c r="C898" s="50"/>
      <c r="D898" s="50"/>
      <c r="E898" s="85">
        <v>33563</v>
      </c>
      <c r="F898" s="50">
        <v>27453</v>
      </c>
      <c r="G898" s="50">
        <v>15694</v>
      </c>
      <c r="H898" s="50"/>
      <c r="I898" s="50"/>
      <c r="J898" s="50"/>
      <c r="K898" s="50"/>
      <c r="L898" s="50"/>
      <c r="M898" s="50"/>
      <c r="N898" s="50"/>
      <c r="O898" s="50">
        <v>0</v>
      </c>
      <c r="P898" s="50">
        <v>0</v>
      </c>
      <c r="Q898" s="50">
        <v>0</v>
      </c>
      <c r="R898" s="50">
        <v>0</v>
      </c>
    </row>
    <row r="899" spans="1:18" x14ac:dyDescent="0.25">
      <c r="A899" s="91" t="s">
        <v>583</v>
      </c>
      <c r="B899" s="84" t="s">
        <v>317</v>
      </c>
      <c r="C899" s="50"/>
      <c r="D899" s="50"/>
      <c r="E899" s="50"/>
      <c r="F899" s="50">
        <v>24375</v>
      </c>
      <c r="G899" s="50"/>
      <c r="H899" s="50"/>
      <c r="I899" s="50"/>
      <c r="J899" s="50"/>
      <c r="K899" s="50"/>
      <c r="L899" s="50"/>
      <c r="M899" s="50"/>
      <c r="N899" s="50"/>
      <c r="O899" s="50"/>
      <c r="P899" s="50"/>
      <c r="Q899" s="50"/>
      <c r="R899" s="50"/>
    </row>
    <row r="900" spans="1:18" x14ac:dyDescent="0.25">
      <c r="A900" s="91" t="s">
        <v>584</v>
      </c>
      <c r="B900" s="84" t="s">
        <v>317</v>
      </c>
      <c r="C900" s="50"/>
      <c r="D900" s="50"/>
      <c r="E900" s="85">
        <v>23403</v>
      </c>
      <c r="F900" s="50"/>
      <c r="G900" s="50"/>
      <c r="H900" s="50"/>
      <c r="I900" s="50"/>
      <c r="J900" s="50"/>
      <c r="K900" s="50"/>
      <c r="L900" s="50"/>
      <c r="M900" s="50"/>
      <c r="N900" s="50"/>
      <c r="O900" s="50"/>
      <c r="P900" s="50"/>
      <c r="Q900" s="50"/>
      <c r="R900" s="50"/>
    </row>
    <row r="901" spans="1:18" x14ac:dyDescent="0.25">
      <c r="A901" s="146" t="s">
        <v>460</v>
      </c>
      <c r="B901" s="129" t="s">
        <v>245</v>
      </c>
      <c r="C901" s="50"/>
      <c r="D901" s="50"/>
      <c r="E901" s="63">
        <v>61733</v>
      </c>
      <c r="F901" s="50"/>
      <c r="G901" s="63">
        <v>0</v>
      </c>
      <c r="H901" s="63">
        <v>30000</v>
      </c>
      <c r="I901" s="50"/>
      <c r="J901" s="50"/>
      <c r="K901" s="50"/>
      <c r="L901" s="50"/>
      <c r="M901" s="50"/>
      <c r="N901" s="50"/>
    </row>
    <row r="902" spans="1:18" s="43" customFormat="1" x14ac:dyDescent="0.25">
      <c r="A902" s="52" t="s">
        <v>585</v>
      </c>
      <c r="B902" s="53"/>
      <c r="C902" s="50"/>
      <c r="D902" s="50">
        <v>5924</v>
      </c>
      <c r="E902" s="50">
        <v>7227</v>
      </c>
      <c r="F902" s="50"/>
      <c r="G902" s="50"/>
      <c r="H902" s="50"/>
      <c r="I902" s="50"/>
      <c r="J902" s="50"/>
      <c r="K902" s="50"/>
      <c r="L902" s="50"/>
      <c r="M902" s="50"/>
      <c r="N902" s="50"/>
    </row>
    <row r="903" spans="1:18" s="43" customFormat="1" x14ac:dyDescent="0.25">
      <c r="A903" s="92" t="s">
        <v>586</v>
      </c>
      <c r="B903" s="96" t="s">
        <v>323</v>
      </c>
      <c r="C903" s="50"/>
      <c r="D903" s="50"/>
      <c r="E903" s="50"/>
      <c r="F903" s="50"/>
      <c r="G903" s="50"/>
      <c r="H903" s="50"/>
      <c r="I903" s="50"/>
      <c r="J903" s="89">
        <v>0</v>
      </c>
      <c r="K903" s="50"/>
      <c r="L903" s="50"/>
      <c r="M903" s="50"/>
      <c r="N903" s="50"/>
    </row>
    <row r="904" spans="1:18" x14ac:dyDescent="0.25">
      <c r="A904" s="146" t="s">
        <v>587</v>
      </c>
      <c r="B904" s="129" t="s">
        <v>245</v>
      </c>
      <c r="C904" s="50"/>
      <c r="D904" s="50"/>
      <c r="E904" s="50"/>
      <c r="F904" s="63"/>
      <c r="G904" s="63">
        <v>2680</v>
      </c>
      <c r="H904" s="50"/>
      <c r="I904" s="50"/>
      <c r="J904" s="50"/>
      <c r="K904" s="50"/>
      <c r="L904" s="50"/>
      <c r="M904" s="50"/>
      <c r="N904" s="50"/>
    </row>
    <row r="905" spans="1:18" s="43" customFormat="1" x14ac:dyDescent="0.25">
      <c r="A905" s="52" t="s">
        <v>588</v>
      </c>
      <c r="B905" s="53"/>
      <c r="C905" s="50"/>
      <c r="D905" s="157">
        <v>61020</v>
      </c>
      <c r="E905" s="50"/>
      <c r="F905" s="50"/>
      <c r="G905" s="50"/>
      <c r="H905" s="50"/>
      <c r="I905" s="50"/>
      <c r="J905" s="50"/>
      <c r="K905" s="50"/>
      <c r="L905" s="50"/>
      <c r="M905" s="50"/>
      <c r="N905" s="50"/>
    </row>
    <row r="906" spans="1:18" x14ac:dyDescent="0.25">
      <c r="A906" s="158" t="s">
        <v>589</v>
      </c>
      <c r="B906" s="159" t="s">
        <v>590</v>
      </c>
      <c r="C906" s="50">
        <v>24200</v>
      </c>
      <c r="D906" s="160"/>
      <c r="E906" s="160">
        <v>21120</v>
      </c>
      <c r="F906" s="50"/>
      <c r="G906" s="50"/>
      <c r="H906" s="160">
        <v>45256</v>
      </c>
      <c r="I906" s="50"/>
      <c r="J906" s="50"/>
      <c r="K906" s="160">
        <v>24439</v>
      </c>
      <c r="L906" s="50"/>
      <c r="M906" s="161">
        <v>25726</v>
      </c>
      <c r="N906" s="162">
        <v>52431</v>
      </c>
      <c r="O906" s="162">
        <v>52431</v>
      </c>
      <c r="P906" s="162">
        <v>52431</v>
      </c>
      <c r="Q906" s="162">
        <v>52431</v>
      </c>
      <c r="R906" s="162">
        <v>52431</v>
      </c>
    </row>
    <row r="907" spans="1:18" x14ac:dyDescent="0.25">
      <c r="A907" s="158" t="s">
        <v>591</v>
      </c>
      <c r="B907" s="159" t="s">
        <v>590</v>
      </c>
      <c r="C907" s="50"/>
      <c r="D907" s="160"/>
      <c r="E907" s="160"/>
      <c r="F907" s="50">
        <v>28128</v>
      </c>
      <c r="G907" s="50"/>
      <c r="H907" s="50"/>
      <c r="I907" s="50"/>
      <c r="J907" s="50"/>
      <c r="K907" s="160"/>
      <c r="L907" s="50"/>
      <c r="M907" s="161"/>
      <c r="N907" s="162"/>
      <c r="O907" s="162"/>
      <c r="P907" s="162"/>
      <c r="Q907" s="162"/>
      <c r="R907" s="162"/>
    </row>
    <row r="908" spans="1:18" s="43" customFormat="1" x14ac:dyDescent="0.25">
      <c r="A908" s="52" t="s">
        <v>591</v>
      </c>
      <c r="B908" s="53"/>
      <c r="C908" s="50"/>
      <c r="D908" s="50"/>
      <c r="E908" s="50"/>
      <c r="F908" s="50"/>
      <c r="G908" s="50"/>
      <c r="H908" s="50"/>
      <c r="I908" s="50"/>
      <c r="J908" s="50"/>
      <c r="K908" s="50"/>
      <c r="L908" s="50"/>
      <c r="M908" s="50"/>
    </row>
    <row r="909" spans="1:18" x14ac:dyDescent="0.25">
      <c r="A909" s="158" t="s">
        <v>592</v>
      </c>
      <c r="B909" s="159"/>
      <c r="C909" s="50"/>
      <c r="D909" s="160"/>
      <c r="E909" s="160"/>
      <c r="F909" s="50"/>
      <c r="G909" s="50"/>
      <c r="H909" s="50"/>
      <c r="I909" s="50"/>
      <c r="J909" s="50"/>
      <c r="K909" s="160"/>
      <c r="L909" s="50"/>
      <c r="M909" s="161"/>
      <c r="N909" s="162"/>
      <c r="O909" s="162"/>
      <c r="P909" s="162"/>
      <c r="Q909" s="162"/>
      <c r="R909" s="162"/>
    </row>
    <row r="910" spans="1:18" x14ac:dyDescent="0.25">
      <c r="A910" s="158" t="s">
        <v>593</v>
      </c>
      <c r="B910" s="159" t="s">
        <v>590</v>
      </c>
      <c r="C910" s="50"/>
      <c r="D910" s="160"/>
      <c r="E910" s="160">
        <v>4400</v>
      </c>
      <c r="F910" s="160">
        <v>0</v>
      </c>
      <c r="G910" s="160">
        <v>0</v>
      </c>
      <c r="H910" s="160">
        <v>2263</v>
      </c>
      <c r="I910" s="160">
        <v>2317</v>
      </c>
      <c r="J910" s="160">
        <v>4764</v>
      </c>
      <c r="K910" s="160">
        <v>2444</v>
      </c>
      <c r="L910" s="160">
        <v>2507</v>
      </c>
      <c r="M910" s="161">
        <v>5118</v>
      </c>
      <c r="N910" s="162">
        <v>2627</v>
      </c>
      <c r="O910" s="162">
        <v>2627</v>
      </c>
      <c r="P910" s="162">
        <v>2627</v>
      </c>
      <c r="Q910" s="162">
        <v>2627</v>
      </c>
      <c r="R910" s="162">
        <v>2627</v>
      </c>
    </row>
    <row r="911" spans="1:18" s="43" customFormat="1" x14ac:dyDescent="0.25">
      <c r="A911" s="158" t="s">
        <v>594</v>
      </c>
      <c r="B911" s="159" t="s">
        <v>590</v>
      </c>
      <c r="C911" s="50"/>
      <c r="D911" s="50"/>
      <c r="E911" s="160">
        <v>2200</v>
      </c>
      <c r="F911" s="50"/>
      <c r="G911" s="50"/>
      <c r="H911" s="50"/>
      <c r="I911" s="50"/>
      <c r="J911" s="50"/>
      <c r="K911" s="50"/>
      <c r="L911" s="50"/>
      <c r="M911" s="50"/>
      <c r="N911" s="50"/>
    </row>
    <row r="912" spans="1:18" s="43" customFormat="1" x14ac:dyDescent="0.25">
      <c r="A912" s="158" t="s">
        <v>595</v>
      </c>
      <c r="B912" s="159"/>
      <c r="C912" s="50"/>
      <c r="D912" s="50"/>
      <c r="E912" s="160"/>
      <c r="F912" s="50"/>
      <c r="G912" s="50"/>
      <c r="H912" s="50"/>
      <c r="I912" s="50"/>
      <c r="J912" s="50"/>
      <c r="K912" s="50"/>
      <c r="L912" s="50"/>
      <c r="M912" s="50"/>
      <c r="N912" s="50"/>
    </row>
    <row r="913" spans="1:18" s="43" customFormat="1" x14ac:dyDescent="0.25">
      <c r="A913" s="158" t="s">
        <v>596</v>
      </c>
      <c r="B913" s="159" t="s">
        <v>590</v>
      </c>
      <c r="C913" s="50"/>
      <c r="D913" s="50"/>
      <c r="E913" s="160">
        <v>0</v>
      </c>
      <c r="F913" s="50"/>
      <c r="G913" s="50"/>
      <c r="H913" s="50"/>
      <c r="I913" s="50"/>
      <c r="J913" s="50"/>
      <c r="K913" s="50"/>
      <c r="L913" s="50"/>
      <c r="M913" s="50"/>
      <c r="N913" s="50"/>
    </row>
    <row r="914" spans="1:18" s="43" customFormat="1" x14ac:dyDescent="0.25">
      <c r="A914" s="92" t="s">
        <v>597</v>
      </c>
      <c r="B914" s="96" t="s">
        <v>330</v>
      </c>
      <c r="C914" s="50"/>
      <c r="D914" s="50"/>
      <c r="E914" s="50"/>
      <c r="F914" s="50"/>
      <c r="G914" s="50"/>
      <c r="H914" s="50"/>
      <c r="I914" s="50"/>
      <c r="J914" s="50"/>
      <c r="K914" s="50"/>
      <c r="L914" s="50"/>
      <c r="M914" s="50"/>
      <c r="N914" s="50"/>
    </row>
    <row r="915" spans="1:18" s="43" customFormat="1" x14ac:dyDescent="0.25">
      <c r="A915" s="153" t="s">
        <v>598</v>
      </c>
      <c r="B915" s="96" t="s">
        <v>323</v>
      </c>
      <c r="C915" s="50"/>
      <c r="D915" s="50"/>
      <c r="E915" s="50"/>
      <c r="F915" s="50"/>
      <c r="G915" s="50"/>
      <c r="H915" s="50"/>
      <c r="I915" s="50"/>
      <c r="J915" s="89">
        <v>0</v>
      </c>
      <c r="K915" s="89">
        <v>0</v>
      </c>
      <c r="L915" s="50"/>
      <c r="M915" s="50"/>
      <c r="N915" s="50"/>
    </row>
    <row r="916" spans="1:18" s="43" customFormat="1" x14ac:dyDescent="0.25">
      <c r="A916" s="153" t="s">
        <v>599</v>
      </c>
      <c r="B916" s="96" t="s">
        <v>323</v>
      </c>
      <c r="C916" s="50"/>
      <c r="D916" s="50"/>
      <c r="E916" s="50"/>
      <c r="F916" s="50"/>
      <c r="G916" s="50"/>
      <c r="H916" s="50"/>
      <c r="I916" s="50"/>
      <c r="J916" s="89">
        <v>0</v>
      </c>
      <c r="K916" s="50"/>
      <c r="L916" s="50"/>
      <c r="M916" s="50"/>
      <c r="N916" s="50"/>
    </row>
    <row r="917" spans="1:18" s="43" customFormat="1" x14ac:dyDescent="0.25">
      <c r="A917" s="153" t="s">
        <v>600</v>
      </c>
      <c r="B917" s="96" t="s">
        <v>323</v>
      </c>
      <c r="C917" s="50"/>
      <c r="D917" s="50"/>
      <c r="E917" s="50"/>
      <c r="F917" s="50"/>
      <c r="G917" s="50"/>
      <c r="H917" s="50"/>
      <c r="I917" s="50"/>
      <c r="J917" s="50">
        <v>0</v>
      </c>
      <c r="K917" s="50"/>
      <c r="L917" s="89">
        <v>0</v>
      </c>
      <c r="M917" s="50"/>
      <c r="N917" s="50"/>
    </row>
    <row r="918" spans="1:18" s="43" customFormat="1" x14ac:dyDescent="0.25">
      <c r="A918" s="153" t="s">
        <v>601</v>
      </c>
      <c r="B918" s="96" t="s">
        <v>323</v>
      </c>
      <c r="C918" s="50"/>
      <c r="D918" s="50"/>
      <c r="E918" s="50"/>
      <c r="F918" s="50"/>
      <c r="G918" s="50"/>
      <c r="H918" s="50"/>
      <c r="I918" s="50"/>
      <c r="J918" s="50"/>
      <c r="K918" s="89">
        <v>0</v>
      </c>
      <c r="L918" s="50"/>
      <c r="M918" s="50"/>
      <c r="N918" s="50"/>
      <c r="O918" s="89">
        <v>0</v>
      </c>
      <c r="P918" s="149">
        <v>0</v>
      </c>
      <c r="Q918" s="149">
        <v>0</v>
      </c>
      <c r="R918" s="149"/>
    </row>
    <row r="919" spans="1:18" s="43" customFormat="1" x14ac:dyDescent="0.25">
      <c r="A919" s="52" t="s">
        <v>602</v>
      </c>
      <c r="B919" s="53"/>
      <c r="C919" s="59"/>
      <c r="D919" s="50"/>
      <c r="E919" s="50"/>
      <c r="F919" s="50"/>
      <c r="G919" s="50"/>
      <c r="H919" s="50"/>
      <c r="I919" s="50"/>
      <c r="J919" s="50"/>
      <c r="K919" s="50"/>
      <c r="L919" s="50"/>
      <c r="M919" s="50"/>
      <c r="N919" s="50"/>
    </row>
    <row r="920" spans="1:18" s="43" customFormat="1" x14ac:dyDescent="0.25">
      <c r="A920" s="61" t="s">
        <v>589</v>
      </c>
      <c r="B920" s="53"/>
      <c r="C920" s="59"/>
      <c r="D920" s="50"/>
      <c r="E920" s="50"/>
      <c r="F920" s="50"/>
      <c r="G920" s="50"/>
      <c r="H920" s="63">
        <v>100000</v>
      </c>
      <c r="I920" s="50"/>
      <c r="J920" s="50"/>
      <c r="K920" s="50"/>
      <c r="L920" s="50"/>
      <c r="M920" s="50"/>
      <c r="N920" s="50"/>
    </row>
    <row r="921" spans="1:18" x14ac:dyDescent="0.25">
      <c r="A921" s="52" t="s">
        <v>603</v>
      </c>
      <c r="B921" s="53"/>
      <c r="C921" s="50"/>
      <c r="D921" s="50"/>
      <c r="E921" s="50"/>
      <c r="F921" s="50"/>
      <c r="G921" s="50"/>
      <c r="H921" s="50"/>
      <c r="I921" s="50"/>
      <c r="J921" s="50"/>
      <c r="K921" s="50"/>
      <c r="L921" s="50"/>
      <c r="M921" s="50"/>
      <c r="N921" s="50"/>
    </row>
    <row r="922" spans="1:18" x14ac:dyDescent="0.25">
      <c r="A922" s="52" t="s">
        <v>604</v>
      </c>
      <c r="B922" s="53"/>
      <c r="C922" s="50"/>
      <c r="D922" s="50">
        <v>0</v>
      </c>
      <c r="E922" s="50">
        <v>0</v>
      </c>
      <c r="F922" s="50">
        <v>0</v>
      </c>
      <c r="G922" s="50">
        <v>0</v>
      </c>
      <c r="H922" s="50">
        <v>0</v>
      </c>
      <c r="I922" s="50">
        <v>0</v>
      </c>
      <c r="J922" s="50">
        <v>0</v>
      </c>
      <c r="K922" s="50">
        <v>0</v>
      </c>
      <c r="L922" s="50">
        <v>0</v>
      </c>
      <c r="M922" s="50">
        <v>0</v>
      </c>
      <c r="N922" s="50">
        <v>0</v>
      </c>
      <c r="O922" s="50">
        <v>0</v>
      </c>
      <c r="P922" s="50">
        <v>0</v>
      </c>
      <c r="Q922" s="50">
        <v>0</v>
      </c>
      <c r="R922" s="50">
        <v>0</v>
      </c>
    </row>
    <row r="923" spans="1:18" x14ac:dyDescent="0.25">
      <c r="A923" s="91" t="s">
        <v>605</v>
      </c>
      <c r="B923" s="84" t="s">
        <v>317</v>
      </c>
      <c r="C923" s="50"/>
      <c r="D923" s="50"/>
      <c r="E923" s="85">
        <v>410</v>
      </c>
      <c r="F923" s="50"/>
      <c r="G923" s="50"/>
      <c r="H923" s="50"/>
      <c r="I923" s="50"/>
      <c r="J923" s="50"/>
      <c r="K923" s="50"/>
      <c r="L923" s="50"/>
      <c r="M923" s="50"/>
      <c r="N923" s="50"/>
    </row>
    <row r="924" spans="1:18" x14ac:dyDescent="0.25">
      <c r="A924" s="52" t="s">
        <v>606</v>
      </c>
      <c r="B924" s="53"/>
      <c r="C924" s="50"/>
      <c r="D924" s="50"/>
      <c r="E924" s="50"/>
      <c r="F924" s="50"/>
      <c r="G924" s="50"/>
      <c r="H924" s="50"/>
      <c r="I924" s="50"/>
      <c r="J924" s="50"/>
      <c r="K924" s="50"/>
      <c r="L924" s="50"/>
      <c r="M924" s="50"/>
      <c r="N924" s="50"/>
    </row>
    <row r="925" spans="1:18" x14ac:dyDescent="0.25">
      <c r="A925" s="52" t="s">
        <v>607</v>
      </c>
      <c r="B925" s="53"/>
      <c r="C925" s="50"/>
      <c r="D925" s="50">
        <v>0</v>
      </c>
      <c r="E925" s="50">
        <v>0</v>
      </c>
      <c r="F925" s="50">
        <v>0</v>
      </c>
      <c r="G925" s="50">
        <v>0</v>
      </c>
      <c r="H925" s="50">
        <v>0</v>
      </c>
      <c r="I925" s="50">
        <v>0</v>
      </c>
      <c r="J925" s="50">
        <v>0</v>
      </c>
      <c r="K925" s="50">
        <v>0</v>
      </c>
      <c r="L925" s="50">
        <v>0</v>
      </c>
      <c r="M925" s="50">
        <v>0</v>
      </c>
      <c r="N925" s="50">
        <v>0</v>
      </c>
      <c r="O925" s="50">
        <v>0</v>
      </c>
      <c r="P925" s="50">
        <v>0</v>
      </c>
      <c r="Q925" s="50">
        <v>0</v>
      </c>
      <c r="R925" s="50">
        <v>0</v>
      </c>
    </row>
    <row r="926" spans="1:18" x14ac:dyDescent="0.25">
      <c r="A926" s="150" t="s">
        <v>608</v>
      </c>
      <c r="B926" s="136" t="s">
        <v>317</v>
      </c>
      <c r="C926" s="50">
        <v>19175</v>
      </c>
      <c r="D926" s="50">
        <v>0</v>
      </c>
      <c r="E926" s="50">
        <v>0</v>
      </c>
      <c r="F926" s="50">
        <v>0</v>
      </c>
      <c r="G926" s="50">
        <v>0</v>
      </c>
      <c r="H926" s="50">
        <v>0</v>
      </c>
      <c r="I926" s="50">
        <v>0</v>
      </c>
      <c r="J926" s="50">
        <v>0</v>
      </c>
      <c r="K926" s="50">
        <v>0</v>
      </c>
      <c r="L926" s="50">
        <v>0</v>
      </c>
      <c r="M926" s="50">
        <v>0</v>
      </c>
      <c r="N926" s="50"/>
    </row>
    <row r="927" spans="1:18" s="43" customFormat="1" x14ac:dyDescent="0.25">
      <c r="A927" s="97" t="s">
        <v>609</v>
      </c>
      <c r="B927" s="96" t="s">
        <v>330</v>
      </c>
      <c r="C927" s="50"/>
      <c r="D927" s="50"/>
      <c r="E927" s="50"/>
      <c r="F927" s="50"/>
      <c r="G927" s="50"/>
      <c r="H927" s="50"/>
      <c r="I927" s="50"/>
      <c r="J927" s="50"/>
      <c r="K927" s="50"/>
      <c r="L927" s="50"/>
      <c r="M927" s="50"/>
      <c r="N927" s="50"/>
    </row>
    <row r="928" spans="1:18" s="43" customFormat="1" x14ac:dyDescent="0.25">
      <c r="A928" s="87" t="s">
        <v>610</v>
      </c>
      <c r="B928" s="96" t="s">
        <v>323</v>
      </c>
      <c r="C928" s="50"/>
      <c r="D928" s="50"/>
      <c r="E928" s="50"/>
      <c r="F928" s="50"/>
      <c r="G928" s="50"/>
      <c r="H928" s="50"/>
      <c r="I928" s="95">
        <v>0</v>
      </c>
      <c r="J928" s="50"/>
      <c r="K928" s="50"/>
      <c r="L928" s="50"/>
      <c r="M928" s="50"/>
      <c r="N928" s="50"/>
      <c r="O928" s="50"/>
      <c r="P928" s="149">
        <v>0</v>
      </c>
    </row>
    <row r="929" spans="1:18" s="43" customFormat="1" x14ac:dyDescent="0.25">
      <c r="A929" s="87" t="s">
        <v>611</v>
      </c>
      <c r="B929" s="96" t="s">
        <v>323</v>
      </c>
      <c r="C929" s="50"/>
      <c r="D929" s="50"/>
      <c r="E929" s="50"/>
      <c r="F929" s="50"/>
      <c r="G929" s="50"/>
      <c r="H929" s="50"/>
      <c r="I929" s="50"/>
      <c r="J929" s="89">
        <v>0</v>
      </c>
      <c r="K929" s="50"/>
      <c r="L929" s="50"/>
      <c r="M929" s="50"/>
      <c r="N929" s="89">
        <v>0</v>
      </c>
    </row>
    <row r="930" spans="1:18" s="43" customFormat="1" x14ac:dyDescent="0.25">
      <c r="A930" s="153" t="s">
        <v>612</v>
      </c>
      <c r="B930" s="96" t="s">
        <v>323</v>
      </c>
      <c r="C930" s="50"/>
      <c r="D930" s="50"/>
      <c r="E930" s="50"/>
      <c r="F930" s="50"/>
      <c r="G930" s="50"/>
      <c r="H930" s="50"/>
      <c r="I930" s="50"/>
      <c r="J930" s="50"/>
      <c r="K930" s="50"/>
      <c r="L930" s="50"/>
      <c r="M930" s="50"/>
      <c r="N930" s="89">
        <v>0</v>
      </c>
    </row>
    <row r="931" spans="1:18" x14ac:dyDescent="0.25">
      <c r="A931" s="41" t="s">
        <v>613</v>
      </c>
      <c r="B931" s="44"/>
      <c r="C931" s="50"/>
      <c r="D931" s="50"/>
      <c r="E931" s="50"/>
      <c r="F931" s="50"/>
      <c r="G931" s="50"/>
      <c r="H931" s="50"/>
      <c r="I931" s="50"/>
      <c r="J931" s="50"/>
      <c r="K931" s="50"/>
      <c r="L931" s="50"/>
      <c r="M931" s="50"/>
      <c r="N931" s="50"/>
    </row>
    <row r="932" spans="1:18" x14ac:dyDescent="0.25">
      <c r="A932" s="91" t="s">
        <v>614</v>
      </c>
      <c r="B932" s="163" t="s">
        <v>317</v>
      </c>
      <c r="C932" s="50"/>
      <c r="D932" s="50">
        <v>0</v>
      </c>
      <c r="E932" s="50">
        <v>0</v>
      </c>
      <c r="F932" s="50">
        <v>0</v>
      </c>
      <c r="G932" s="50">
        <v>0</v>
      </c>
      <c r="H932" s="50">
        <v>0</v>
      </c>
      <c r="I932" s="50">
        <v>0</v>
      </c>
      <c r="J932" s="50">
        <v>0</v>
      </c>
      <c r="K932" s="50">
        <v>0</v>
      </c>
      <c r="L932" s="50">
        <v>0</v>
      </c>
      <c r="M932" s="50">
        <v>0</v>
      </c>
      <c r="N932" s="50">
        <v>0</v>
      </c>
    </row>
    <row r="933" spans="1:18" x14ac:dyDescent="0.25">
      <c r="A933" s="91" t="s">
        <v>400</v>
      </c>
      <c r="B933" s="163" t="s">
        <v>317</v>
      </c>
      <c r="C933" s="50">
        <v>4670</v>
      </c>
      <c r="D933" s="50">
        <v>0</v>
      </c>
      <c r="E933" s="50">
        <v>0</v>
      </c>
      <c r="F933" s="50">
        <v>0</v>
      </c>
      <c r="G933" s="50">
        <v>0</v>
      </c>
      <c r="H933" s="50">
        <v>0</v>
      </c>
      <c r="I933" s="50">
        <v>0</v>
      </c>
      <c r="J933" s="50">
        <v>0</v>
      </c>
      <c r="K933" s="50">
        <v>0</v>
      </c>
      <c r="L933" s="50">
        <v>0</v>
      </c>
      <c r="M933" s="50">
        <v>0</v>
      </c>
      <c r="N933" s="50"/>
    </row>
    <row r="934" spans="1:18" x14ac:dyDescent="0.25">
      <c r="A934" s="91" t="s">
        <v>615</v>
      </c>
      <c r="B934" s="163" t="s">
        <v>317</v>
      </c>
      <c r="C934" s="50"/>
      <c r="D934" s="50"/>
      <c r="E934" s="50"/>
      <c r="F934" s="50">
        <v>21820</v>
      </c>
      <c r="G934" s="50"/>
      <c r="H934" s="50"/>
      <c r="I934" s="50"/>
      <c r="J934" s="50"/>
      <c r="K934" s="50"/>
      <c r="L934" s="50"/>
      <c r="M934" s="50"/>
      <c r="N934" s="50"/>
    </row>
    <row r="935" spans="1:18" s="43" customFormat="1" x14ac:dyDescent="0.25">
      <c r="A935" s="93" t="s">
        <v>616</v>
      </c>
      <c r="B935" s="96" t="s">
        <v>330</v>
      </c>
      <c r="C935" s="50"/>
      <c r="D935" s="50"/>
      <c r="E935" s="50"/>
      <c r="F935" s="50"/>
      <c r="G935" s="50"/>
      <c r="H935" s="50"/>
      <c r="I935" s="50"/>
      <c r="J935" s="50"/>
      <c r="K935" s="50"/>
      <c r="L935" s="50"/>
      <c r="M935" s="50"/>
      <c r="N935" s="50"/>
    </row>
    <row r="936" spans="1:18" s="43" customFormat="1" x14ac:dyDescent="0.25">
      <c r="A936" s="92" t="s">
        <v>617</v>
      </c>
      <c r="B936" s="96" t="s">
        <v>330</v>
      </c>
      <c r="C936" s="59"/>
      <c r="D936" s="50"/>
      <c r="E936" s="50"/>
      <c r="F936" s="50"/>
      <c r="G936" s="50"/>
      <c r="H936" s="50"/>
      <c r="I936" s="50"/>
      <c r="J936" s="50"/>
      <c r="K936" s="50"/>
      <c r="L936" s="50"/>
      <c r="M936" s="50"/>
      <c r="N936" s="50"/>
      <c r="O936" s="50"/>
      <c r="P936" s="50"/>
      <c r="Q936" s="50"/>
      <c r="R936" s="50"/>
    </row>
    <row r="937" spans="1:18" s="43" customFormat="1" x14ac:dyDescent="0.25">
      <c r="A937" s="87" t="s">
        <v>322</v>
      </c>
      <c r="B937" s="96" t="s">
        <v>323</v>
      </c>
      <c r="C937" s="59"/>
      <c r="D937" s="50"/>
      <c r="E937" s="50"/>
      <c r="F937" s="50"/>
      <c r="G937" s="50"/>
      <c r="H937" s="50"/>
      <c r="I937" s="50"/>
      <c r="J937" s="50"/>
      <c r="K937" s="50"/>
      <c r="L937" s="50"/>
      <c r="M937" s="50"/>
      <c r="N937" s="50"/>
      <c r="O937" s="89">
        <v>0</v>
      </c>
      <c r="P937" s="50"/>
      <c r="Q937" s="50"/>
      <c r="R937" s="50"/>
    </row>
    <row r="938" spans="1:18" s="43" customFormat="1" x14ac:dyDescent="0.25">
      <c r="A938" s="87" t="s">
        <v>618</v>
      </c>
      <c r="B938" s="96" t="s">
        <v>323</v>
      </c>
      <c r="C938" s="59"/>
      <c r="D938" s="50"/>
      <c r="E938" s="50"/>
      <c r="F938" s="50"/>
      <c r="G938" s="50"/>
      <c r="H938" s="50"/>
      <c r="I938" s="50"/>
      <c r="J938" s="50"/>
      <c r="K938" s="50"/>
      <c r="L938" s="50"/>
      <c r="M938" s="50"/>
      <c r="N938" s="50"/>
      <c r="O938" s="50"/>
      <c r="P938" s="50"/>
      <c r="Q938" s="50"/>
      <c r="R938" s="50"/>
    </row>
    <row r="939" spans="1:18" s="43" customFormat="1" x14ac:dyDescent="0.25">
      <c r="A939" s="87" t="s">
        <v>324</v>
      </c>
      <c r="B939" s="96" t="s">
        <v>323</v>
      </c>
      <c r="C939" s="59"/>
      <c r="D939" s="50"/>
      <c r="E939" s="50"/>
      <c r="F939" s="50"/>
      <c r="G939" s="50"/>
      <c r="H939" s="50"/>
      <c r="I939" s="50"/>
      <c r="J939" s="50"/>
      <c r="K939" s="50"/>
      <c r="L939" s="89">
        <v>0</v>
      </c>
      <c r="M939" s="50"/>
      <c r="N939" s="50"/>
      <c r="O939" s="50"/>
      <c r="P939" s="89">
        <v>0</v>
      </c>
      <c r="Q939" s="50"/>
      <c r="R939" s="50"/>
    </row>
    <row r="940" spans="1:18" s="43" customFormat="1" x14ac:dyDescent="0.25">
      <c r="A940" s="91" t="s">
        <v>619</v>
      </c>
      <c r="B940" s="163" t="s">
        <v>317</v>
      </c>
      <c r="C940" s="59"/>
      <c r="D940" s="50"/>
      <c r="E940" s="50"/>
      <c r="F940" s="50"/>
      <c r="G940" s="50"/>
      <c r="H940" s="50"/>
      <c r="I940" s="50"/>
      <c r="J940" s="50"/>
      <c r="K940" s="50"/>
      <c r="L940" s="50"/>
      <c r="M940" s="50"/>
      <c r="N940" s="50">
        <v>0</v>
      </c>
    </row>
    <row r="941" spans="1:18" x14ac:dyDescent="0.25">
      <c r="A941" s="43" t="s">
        <v>620</v>
      </c>
      <c r="C941" s="50"/>
      <c r="D941" s="50"/>
      <c r="E941" s="50"/>
      <c r="F941" s="50"/>
      <c r="G941" s="50"/>
      <c r="H941" s="50"/>
      <c r="I941" s="50"/>
      <c r="J941" s="50"/>
      <c r="K941" s="50"/>
      <c r="L941" s="50"/>
      <c r="M941" s="50"/>
      <c r="N941" s="50"/>
    </row>
    <row r="942" spans="1:18" x14ac:dyDescent="0.25">
      <c r="A942" s="43" t="s">
        <v>621</v>
      </c>
      <c r="C942" s="50"/>
      <c r="D942" s="50">
        <v>0</v>
      </c>
      <c r="E942" s="50">
        <v>0</v>
      </c>
      <c r="F942" s="50">
        <v>0</v>
      </c>
      <c r="G942" s="50">
        <v>0</v>
      </c>
      <c r="H942" s="50">
        <v>0</v>
      </c>
      <c r="I942" s="50">
        <v>0</v>
      </c>
      <c r="J942" s="50">
        <v>0</v>
      </c>
      <c r="K942" s="50">
        <v>0</v>
      </c>
      <c r="L942" s="50">
        <v>0</v>
      </c>
      <c r="M942" s="50">
        <v>0</v>
      </c>
      <c r="N942" s="50">
        <v>0</v>
      </c>
      <c r="O942" s="50"/>
      <c r="P942" s="50"/>
      <c r="Q942" s="50"/>
      <c r="R942" s="50"/>
    </row>
    <row r="943" spans="1:18" x14ac:dyDescent="0.25">
      <c r="A943" s="64" t="s">
        <v>622</v>
      </c>
      <c r="B943" s="164" t="s">
        <v>245</v>
      </c>
      <c r="C943" s="50">
        <v>59932</v>
      </c>
      <c r="D943" s="50"/>
      <c r="E943" s="50"/>
      <c r="F943" s="63"/>
      <c r="G943" s="50"/>
      <c r="H943" s="50"/>
      <c r="I943" s="50"/>
      <c r="J943" s="50"/>
      <c r="K943" s="50"/>
      <c r="L943" s="50"/>
      <c r="M943" s="50"/>
      <c r="N943" s="50"/>
    </row>
    <row r="944" spans="1:18" x14ac:dyDescent="0.25">
      <c r="A944" s="128" t="s">
        <v>623</v>
      </c>
      <c r="B944" s="165" t="s">
        <v>245</v>
      </c>
      <c r="C944" s="50"/>
      <c r="D944" s="50"/>
      <c r="E944" s="50"/>
      <c r="F944" s="50"/>
      <c r="G944" s="63">
        <v>0</v>
      </c>
      <c r="H944" s="166"/>
      <c r="I944" s="166"/>
      <c r="J944" s="50"/>
      <c r="K944" s="50"/>
      <c r="L944" s="50"/>
      <c r="M944" s="50"/>
      <c r="N944" s="50"/>
    </row>
    <row r="945" spans="1:18" x14ac:dyDescent="0.25">
      <c r="A945" s="43" t="s">
        <v>624</v>
      </c>
      <c r="C945" s="50"/>
      <c r="D945" s="50">
        <v>0</v>
      </c>
      <c r="E945" s="50">
        <v>0</v>
      </c>
      <c r="F945" s="50">
        <v>0</v>
      </c>
      <c r="G945" s="50">
        <v>0</v>
      </c>
      <c r="H945" s="50">
        <v>0</v>
      </c>
      <c r="I945" s="50">
        <v>0</v>
      </c>
      <c r="J945" s="50">
        <v>0</v>
      </c>
      <c r="K945" s="50">
        <v>0</v>
      </c>
      <c r="L945" s="50">
        <v>0</v>
      </c>
      <c r="M945" s="50">
        <v>0</v>
      </c>
      <c r="N945" s="50">
        <v>0</v>
      </c>
    </row>
    <row r="946" spans="1:18" x14ac:dyDescent="0.25">
      <c r="A946" s="43" t="s">
        <v>625</v>
      </c>
      <c r="B946" s="165" t="s">
        <v>626</v>
      </c>
      <c r="C946" s="50">
        <v>97973</v>
      </c>
      <c r="D946" s="63">
        <v>322630</v>
      </c>
      <c r="E946" s="63">
        <v>140445</v>
      </c>
      <c r="F946" s="50">
        <v>0</v>
      </c>
      <c r="G946" s="50">
        <v>0</v>
      </c>
      <c r="H946" s="50">
        <v>0</v>
      </c>
      <c r="I946" s="50">
        <v>0</v>
      </c>
      <c r="J946" s="50">
        <v>0</v>
      </c>
      <c r="K946" s="50">
        <v>0</v>
      </c>
      <c r="L946" s="50">
        <v>0</v>
      </c>
      <c r="M946" s="50">
        <v>0</v>
      </c>
      <c r="N946" s="50">
        <v>0</v>
      </c>
    </row>
    <row r="947" spans="1:18" x14ac:dyDescent="0.25">
      <c r="A947" s="52" t="s">
        <v>627</v>
      </c>
      <c r="C947" s="68">
        <v>17700</v>
      </c>
      <c r="D947" s="50"/>
      <c r="E947" s="50"/>
      <c r="F947" s="50"/>
      <c r="G947" s="50"/>
      <c r="H947" s="50"/>
      <c r="I947" s="50"/>
      <c r="J947" s="50"/>
      <c r="K947" s="50"/>
      <c r="L947" s="50"/>
      <c r="M947" s="50"/>
      <c r="N947" s="50"/>
    </row>
    <row r="948" spans="1:18" x14ac:dyDescent="0.25">
      <c r="A948" s="91" t="s">
        <v>628</v>
      </c>
      <c r="B948" s="163" t="s">
        <v>317</v>
      </c>
      <c r="C948" s="68"/>
      <c r="D948" s="50"/>
      <c r="E948" s="50"/>
      <c r="F948" s="43">
        <v>13520</v>
      </c>
      <c r="G948" s="50"/>
      <c r="H948" s="50"/>
      <c r="I948" s="50"/>
      <c r="J948" s="50"/>
      <c r="K948" s="50"/>
      <c r="L948" s="50"/>
      <c r="M948" s="50"/>
      <c r="N948" s="50"/>
    </row>
    <row r="949" spans="1:18" x14ac:dyDescent="0.25">
      <c r="A949" s="61" t="s">
        <v>629</v>
      </c>
      <c r="C949" s="68"/>
      <c r="D949" s="63">
        <v>4577</v>
      </c>
      <c r="E949" s="63">
        <v>18889</v>
      </c>
      <c r="F949" s="43">
        <v>134465</v>
      </c>
      <c r="G949" s="50"/>
      <c r="H949" s="50"/>
      <c r="I949" s="50"/>
      <c r="J949" s="50"/>
      <c r="K949" s="50"/>
      <c r="L949" s="50"/>
      <c r="M949" s="50"/>
      <c r="N949" s="50"/>
    </row>
    <row r="950" spans="1:18" x14ac:dyDescent="0.25">
      <c r="A950" s="41" t="s">
        <v>630</v>
      </c>
      <c r="B950" s="44"/>
      <c r="C950" s="50"/>
      <c r="D950" s="50"/>
      <c r="E950" s="50"/>
      <c r="F950" s="50"/>
      <c r="G950" s="50"/>
      <c r="H950" s="50"/>
      <c r="I950" s="50"/>
      <c r="J950" s="50"/>
      <c r="K950" s="50"/>
      <c r="L950" s="50"/>
      <c r="M950" s="50"/>
      <c r="N950" s="50"/>
    </row>
    <row r="951" spans="1:18" x14ac:dyDescent="0.25">
      <c r="A951" s="83" t="s">
        <v>631</v>
      </c>
      <c r="B951" s="163" t="s">
        <v>317</v>
      </c>
      <c r="C951" s="50"/>
      <c r="D951" s="85"/>
      <c r="E951" s="85">
        <v>0</v>
      </c>
      <c r="F951" s="50">
        <v>0</v>
      </c>
      <c r="G951" s="50">
        <v>0</v>
      </c>
      <c r="H951" s="50">
        <v>0</v>
      </c>
      <c r="I951" s="50">
        <v>0</v>
      </c>
      <c r="J951" s="50">
        <v>0</v>
      </c>
      <c r="K951" s="50">
        <v>0</v>
      </c>
      <c r="L951" s="89">
        <v>0</v>
      </c>
      <c r="M951" s="50">
        <v>0</v>
      </c>
      <c r="N951" s="50">
        <v>0</v>
      </c>
      <c r="O951" s="50">
        <v>0</v>
      </c>
      <c r="P951" s="50">
        <v>0</v>
      </c>
      <c r="Q951" s="50">
        <v>0</v>
      </c>
      <c r="R951" s="50">
        <v>0</v>
      </c>
    </row>
    <row r="952" spans="1:18" x14ac:dyDescent="0.25">
      <c r="A952" s="43" t="s">
        <v>456</v>
      </c>
      <c r="C952" s="59"/>
      <c r="D952" s="50">
        <v>0</v>
      </c>
      <c r="E952" s="50">
        <v>0</v>
      </c>
      <c r="F952" s="50">
        <v>0</v>
      </c>
      <c r="G952" s="50">
        <v>0</v>
      </c>
      <c r="H952" s="50">
        <v>0</v>
      </c>
      <c r="I952" s="50">
        <v>0</v>
      </c>
      <c r="J952" s="50">
        <v>0</v>
      </c>
      <c r="K952" s="50">
        <v>0</v>
      </c>
      <c r="L952" s="50">
        <v>0</v>
      </c>
      <c r="M952" s="50">
        <v>0</v>
      </c>
      <c r="N952" s="50">
        <v>0</v>
      </c>
    </row>
    <row r="953" spans="1:18" x14ac:dyDescent="0.25">
      <c r="A953" s="52" t="s">
        <v>632</v>
      </c>
      <c r="C953" s="59"/>
      <c r="D953" s="50"/>
      <c r="E953" s="50"/>
      <c r="F953" s="50"/>
      <c r="G953" s="50"/>
      <c r="H953" s="50"/>
      <c r="I953" s="50"/>
      <c r="J953" s="50"/>
      <c r="K953" s="50"/>
      <c r="L953" s="50"/>
      <c r="M953" s="50"/>
      <c r="N953" s="50"/>
    </row>
    <row r="954" spans="1:18" x14ac:dyDescent="0.25">
      <c r="A954" s="91" t="s">
        <v>633</v>
      </c>
      <c r="B954" s="163" t="s">
        <v>317</v>
      </c>
      <c r="C954" s="50"/>
      <c r="D954" s="50"/>
      <c r="E954" s="50"/>
      <c r="F954" s="50"/>
      <c r="G954" s="50"/>
      <c r="H954" s="50"/>
      <c r="I954" s="50"/>
      <c r="J954" s="50"/>
      <c r="K954" s="50"/>
      <c r="L954" s="50"/>
      <c r="M954" s="50"/>
      <c r="N954" s="50"/>
    </row>
    <row r="955" spans="1:18" x14ac:dyDescent="0.25">
      <c r="A955" s="91" t="s">
        <v>634</v>
      </c>
      <c r="B955" s="163" t="s">
        <v>317</v>
      </c>
      <c r="C955" s="50"/>
      <c r="D955" s="85">
        <v>70395</v>
      </c>
      <c r="E955" s="50"/>
      <c r="F955" s="50"/>
      <c r="G955" s="50"/>
      <c r="H955" s="50"/>
      <c r="I955" s="50"/>
      <c r="J955" s="50"/>
      <c r="K955" s="50"/>
      <c r="L955" s="50"/>
      <c r="M955" s="50"/>
      <c r="N955" s="50"/>
    </row>
    <row r="956" spans="1:18" x14ac:dyDescent="0.25">
      <c r="A956" s="97" t="s">
        <v>635</v>
      </c>
      <c r="B956" s="96" t="s">
        <v>330</v>
      </c>
      <c r="C956" s="50"/>
      <c r="D956" s="50"/>
      <c r="E956" s="50"/>
      <c r="F956" s="50"/>
      <c r="G956" s="50"/>
      <c r="H956" s="50"/>
      <c r="I956" s="50"/>
      <c r="J956" s="50"/>
      <c r="K956" s="50"/>
      <c r="L956" s="50"/>
      <c r="M956" s="50"/>
      <c r="N956" s="50"/>
      <c r="O956" s="50"/>
      <c r="P956" s="50"/>
      <c r="Q956" s="50"/>
      <c r="R956" s="50"/>
    </row>
    <row r="957" spans="1:18" s="43" customFormat="1" x14ac:dyDescent="0.25">
      <c r="A957" s="167" t="s">
        <v>100</v>
      </c>
      <c r="B957" s="129" t="s">
        <v>245</v>
      </c>
      <c r="C957" s="50"/>
      <c r="D957" s="50"/>
      <c r="E957" s="50"/>
      <c r="F957" s="50"/>
      <c r="G957" s="50"/>
      <c r="H957" s="50"/>
      <c r="I957" s="50">
        <f t="shared" ref="I957:R957" si="521">I706/2</f>
        <v>168794.99999999997</v>
      </c>
      <c r="J957" s="50">
        <f t="shared" si="521"/>
        <v>172846.07999999999</v>
      </c>
      <c r="K957" s="50">
        <f t="shared" si="521"/>
        <v>176994.38592</v>
      </c>
      <c r="L957" s="50">
        <f t="shared" si="521"/>
        <v>181065.25679615999</v>
      </c>
      <c r="M957" s="50">
        <f t="shared" si="521"/>
        <v>185048.69244567552</v>
      </c>
      <c r="N957" s="50">
        <f t="shared" si="521"/>
        <v>189304.81237192603</v>
      </c>
      <c r="O957" s="50">
        <f t="shared" si="521"/>
        <v>194037.43268122416</v>
      </c>
      <c r="P957" s="50">
        <f t="shared" si="521"/>
        <v>198888.36849825474</v>
      </c>
      <c r="Q957" s="50">
        <f t="shared" si="521"/>
        <v>203661.68934221286</v>
      </c>
      <c r="R957" s="50">
        <f t="shared" si="521"/>
        <v>208549.56988642598</v>
      </c>
    </row>
    <row r="958" spans="1:18" s="43" customFormat="1" x14ac:dyDescent="0.25">
      <c r="A958" s="168" t="s">
        <v>636</v>
      </c>
      <c r="B958" s="62" t="s">
        <v>245</v>
      </c>
      <c r="C958" s="50"/>
      <c r="D958" s="50"/>
      <c r="E958" s="50"/>
      <c r="F958" s="50"/>
      <c r="G958" s="50"/>
      <c r="H958" s="50"/>
      <c r="I958" s="50">
        <f t="shared" ref="I958:R958" si="522">I706/2</f>
        <v>168794.99999999997</v>
      </c>
      <c r="J958" s="50">
        <f t="shared" si="522"/>
        <v>172846.07999999999</v>
      </c>
      <c r="K958" s="50">
        <f t="shared" si="522"/>
        <v>176994.38592</v>
      </c>
      <c r="L958" s="50">
        <f t="shared" si="522"/>
        <v>181065.25679615999</v>
      </c>
      <c r="M958" s="50">
        <f t="shared" si="522"/>
        <v>185048.69244567552</v>
      </c>
      <c r="N958" s="50">
        <f t="shared" si="522"/>
        <v>189304.81237192603</v>
      </c>
      <c r="O958" s="50">
        <f t="shared" si="522"/>
        <v>194037.43268122416</v>
      </c>
      <c r="P958" s="50">
        <f t="shared" si="522"/>
        <v>198888.36849825474</v>
      </c>
      <c r="Q958" s="50">
        <f t="shared" si="522"/>
        <v>203661.68934221286</v>
      </c>
      <c r="R958" s="50">
        <f t="shared" si="522"/>
        <v>208549.56988642598</v>
      </c>
    </row>
    <row r="959" spans="1:18" s="43" customFormat="1" x14ac:dyDescent="0.25">
      <c r="A959" s="141"/>
      <c r="B959" s="53"/>
      <c r="C959" s="50"/>
      <c r="D959" s="50"/>
      <c r="E959" s="50"/>
      <c r="F959" s="50"/>
      <c r="G959" s="50"/>
      <c r="H959" s="50"/>
      <c r="I959" s="50"/>
      <c r="J959" s="50"/>
      <c r="K959" s="50"/>
      <c r="L959" s="50"/>
      <c r="M959" s="50"/>
      <c r="N959" s="50"/>
      <c r="O959" s="50"/>
      <c r="P959" s="50"/>
      <c r="Q959" s="50"/>
      <c r="R959" s="50"/>
    </row>
    <row r="960" spans="1:18" x14ac:dyDescent="0.25">
      <c r="A960" s="41" t="s">
        <v>107</v>
      </c>
      <c r="B960" s="44"/>
      <c r="C960" s="51">
        <f>SUM(C801:C959)</f>
        <v>491208</v>
      </c>
      <c r="D960" s="51">
        <f>SUM(D801:D959)</f>
        <v>846481</v>
      </c>
      <c r="E960" s="51">
        <f>SUM(E801:E959)</f>
        <v>350530</v>
      </c>
      <c r="F960" s="51">
        <f>SUM(F801:F959)</f>
        <v>676141.5</v>
      </c>
      <c r="G960" s="51">
        <f t="shared" ref="G960:R960" si="523">SUM(G801:G959)</f>
        <v>179176</v>
      </c>
      <c r="H960" s="51">
        <f t="shared" si="523"/>
        <v>194490</v>
      </c>
      <c r="I960" s="51">
        <f t="shared" si="523"/>
        <v>339906.99999999994</v>
      </c>
      <c r="J960" s="51">
        <f t="shared" si="523"/>
        <v>356411.16</v>
      </c>
      <c r="K960" s="51">
        <f t="shared" si="523"/>
        <v>380871.77184</v>
      </c>
      <c r="L960" s="51">
        <f t="shared" si="523"/>
        <v>377174.51359231997</v>
      </c>
      <c r="M960" s="51">
        <f t="shared" si="523"/>
        <v>400941.38489135104</v>
      </c>
      <c r="N960" s="51">
        <f t="shared" si="523"/>
        <v>433667.62474385207</v>
      </c>
      <c r="O960" s="51">
        <f t="shared" si="523"/>
        <v>449804.86536244833</v>
      </c>
      <c r="P960" s="51">
        <f t="shared" si="523"/>
        <v>452834.73699650948</v>
      </c>
      <c r="Q960" s="51">
        <f t="shared" si="523"/>
        <v>462381.37868442573</v>
      </c>
      <c r="R960" s="51">
        <f t="shared" si="523"/>
        <v>472157.13977285195</v>
      </c>
    </row>
    <row r="961" spans="1:18" x14ac:dyDescent="0.25">
      <c r="C961" s="50"/>
      <c r="D961" s="50"/>
      <c r="E961" s="50"/>
      <c r="F961" s="50"/>
      <c r="G961" s="50"/>
      <c r="H961" s="50"/>
      <c r="I961" s="50"/>
      <c r="J961" s="50"/>
      <c r="K961" s="50"/>
      <c r="L961" s="50"/>
      <c r="M961" s="50"/>
      <c r="N961" s="50"/>
      <c r="O961" s="50"/>
      <c r="P961" s="50"/>
      <c r="Q961" s="50"/>
      <c r="R961" s="50"/>
    </row>
    <row r="962" spans="1:18" x14ac:dyDescent="0.25">
      <c r="A962" s="41" t="s">
        <v>637</v>
      </c>
      <c r="B962" s="44"/>
      <c r="C962" s="51">
        <f>C960+C772-C717-C796</f>
        <v>868011</v>
      </c>
      <c r="D962" s="51">
        <f>D960+D772-D717-D796</f>
        <v>819867</v>
      </c>
      <c r="E962" s="51">
        <f>E960+E772-E717-E796</f>
        <v>702018</v>
      </c>
      <c r="F962" s="51">
        <f>F960+F772-F717-F796</f>
        <v>896789.32000000007</v>
      </c>
      <c r="G962" s="51">
        <f t="shared" ref="G962:R962" si="524">G960+G772-G717-G796</f>
        <v>469827</v>
      </c>
      <c r="H962" s="51">
        <f t="shared" si="524"/>
        <v>776987.69576680008</v>
      </c>
      <c r="I962" s="51">
        <f t="shared" si="524"/>
        <v>1049185.9430784164</v>
      </c>
      <c r="J962" s="51">
        <f t="shared" si="524"/>
        <v>1034574.3680754195</v>
      </c>
      <c r="K962" s="51">
        <f t="shared" si="524"/>
        <v>1078748.58331426</v>
      </c>
      <c r="L962" s="51">
        <f t="shared" si="524"/>
        <v>1096243.7366149505</v>
      </c>
      <c r="M962" s="51">
        <f t="shared" si="524"/>
        <v>1141420.6752100601</v>
      </c>
      <c r="N962" s="51">
        <f t="shared" si="524"/>
        <v>1195046.6107298711</v>
      </c>
      <c r="O962" s="51">
        <f t="shared" si="524"/>
        <v>1234099.516018796</v>
      </c>
      <c r="P962" s="51">
        <f t="shared" si="524"/>
        <v>1262302.9877904321</v>
      </c>
      <c r="Q962" s="51">
        <f t="shared" si="524"/>
        <v>1297248.27722474</v>
      </c>
      <c r="R962" s="51">
        <f t="shared" si="524"/>
        <v>1325371.5163976206</v>
      </c>
    </row>
    <row r="963" spans="1:18" x14ac:dyDescent="0.25">
      <c r="C963" s="50"/>
      <c r="D963" s="50"/>
      <c r="E963" s="50"/>
      <c r="F963" s="50"/>
      <c r="G963" s="50"/>
      <c r="H963" s="50"/>
      <c r="I963" s="50"/>
      <c r="J963" s="50"/>
      <c r="K963" s="50"/>
      <c r="L963" s="50"/>
      <c r="M963" s="50"/>
      <c r="N963" s="50"/>
      <c r="O963" s="50"/>
      <c r="P963" s="50"/>
      <c r="Q963" s="50"/>
      <c r="R963" s="50"/>
    </row>
    <row r="964" spans="1:18" x14ac:dyDescent="0.25">
      <c r="A964" s="41" t="s">
        <v>638</v>
      </c>
      <c r="B964" s="44"/>
      <c r="C964" s="50"/>
      <c r="D964" s="50"/>
      <c r="E964" s="50"/>
      <c r="F964" s="50"/>
      <c r="G964" s="50"/>
      <c r="H964" s="50"/>
      <c r="I964" s="50"/>
      <c r="J964" s="50"/>
      <c r="K964" s="50"/>
      <c r="L964" s="50"/>
      <c r="M964" s="50"/>
      <c r="N964" s="50"/>
      <c r="O964" s="50"/>
      <c r="P964" s="50"/>
      <c r="Q964" s="50"/>
      <c r="R964" s="50"/>
    </row>
    <row r="965" spans="1:18" x14ac:dyDescent="0.25">
      <c r="A965" s="41"/>
      <c r="B965" s="44"/>
      <c r="C965" s="50"/>
      <c r="D965" s="50"/>
      <c r="E965" s="50"/>
      <c r="F965" s="50"/>
      <c r="G965" s="50"/>
      <c r="H965" s="50"/>
      <c r="I965" s="50"/>
      <c r="J965" s="50"/>
      <c r="K965" s="50"/>
      <c r="L965" s="50"/>
      <c r="M965" s="50"/>
      <c r="N965" s="50"/>
      <c r="O965" s="50"/>
      <c r="P965" s="50"/>
      <c r="Q965" s="50"/>
      <c r="R965" s="50"/>
    </row>
    <row r="966" spans="1:18" x14ac:dyDescent="0.25">
      <c r="A966" s="41" t="s">
        <v>202</v>
      </c>
      <c r="B966" s="44"/>
      <c r="C966" s="50"/>
      <c r="D966" s="50"/>
      <c r="E966" s="50"/>
      <c r="F966" s="50"/>
      <c r="G966" s="50"/>
      <c r="H966" s="50"/>
      <c r="I966" s="50"/>
      <c r="J966" s="50"/>
      <c r="K966" s="50"/>
      <c r="L966" s="50"/>
      <c r="M966" s="50"/>
      <c r="N966" s="50"/>
      <c r="O966" s="50"/>
      <c r="P966" s="50"/>
      <c r="Q966" s="50"/>
      <c r="R966" s="50"/>
    </row>
    <row r="967" spans="1:18" x14ac:dyDescent="0.25">
      <c r="C967" s="50"/>
      <c r="D967" s="50"/>
      <c r="E967" s="50"/>
      <c r="F967" s="50"/>
      <c r="G967" s="50"/>
      <c r="H967" s="50"/>
      <c r="I967" s="50"/>
      <c r="J967" s="50"/>
      <c r="K967" s="50"/>
      <c r="L967" s="50"/>
      <c r="M967" s="50"/>
      <c r="N967" s="50"/>
      <c r="O967" s="50"/>
      <c r="P967" s="50"/>
      <c r="Q967" s="50"/>
      <c r="R967" s="50"/>
    </row>
    <row r="968" spans="1:18" x14ac:dyDescent="0.25">
      <c r="A968" s="43" t="s">
        <v>639</v>
      </c>
      <c r="C968" s="50"/>
      <c r="D968" s="50"/>
      <c r="E968" s="50"/>
      <c r="F968" s="50"/>
      <c r="G968" s="50"/>
      <c r="H968" s="50"/>
      <c r="I968" s="50"/>
      <c r="J968" s="50"/>
      <c r="K968" s="50"/>
      <c r="L968" s="50"/>
      <c r="M968" s="50"/>
      <c r="N968" s="50"/>
      <c r="O968" s="50"/>
      <c r="P968" s="50"/>
      <c r="Q968" s="50"/>
      <c r="R968" s="50"/>
    </row>
    <row r="969" spans="1:18" x14ac:dyDescent="0.25">
      <c r="A969" s="43" t="s">
        <v>640</v>
      </c>
      <c r="C969" s="54">
        <v>51737</v>
      </c>
      <c r="D969" s="54">
        <v>47758</v>
      </c>
      <c r="E969" s="50">
        <v>35251</v>
      </c>
      <c r="F969" s="54">
        <v>0</v>
      </c>
      <c r="G969" s="54">
        <v>0</v>
      </c>
      <c r="H969" s="54">
        <v>0</v>
      </c>
      <c r="I969" s="54">
        <v>0</v>
      </c>
      <c r="J969" s="54">
        <v>0</v>
      </c>
      <c r="K969" s="54">
        <v>0</v>
      </c>
      <c r="L969" s="54">
        <v>0</v>
      </c>
      <c r="M969" s="54">
        <v>0</v>
      </c>
      <c r="N969" s="54">
        <v>0</v>
      </c>
      <c r="O969" s="54">
        <v>0</v>
      </c>
      <c r="P969" s="54">
        <v>0</v>
      </c>
      <c r="Q969" s="54">
        <v>0</v>
      </c>
      <c r="R969" s="54">
        <v>0</v>
      </c>
    </row>
    <row r="970" spans="1:18" x14ac:dyDescent="0.25">
      <c r="A970" s="43" t="s">
        <v>641</v>
      </c>
      <c r="C970" s="54">
        <v>15294</v>
      </c>
      <c r="D970" s="54">
        <v>14303</v>
      </c>
      <c r="E970" s="43">
        <v>11805</v>
      </c>
      <c r="F970" s="54">
        <v>17516</v>
      </c>
      <c r="G970" s="54">
        <v>16655</v>
      </c>
      <c r="H970" s="54">
        <v>16000</v>
      </c>
      <c r="I970" s="54">
        <f>H970*1.023</f>
        <v>16367.999999999998</v>
      </c>
      <c r="J970" s="54">
        <f t="shared" ref="J970:K975" si="525">I970*1.024</f>
        <v>16760.831999999999</v>
      </c>
      <c r="K970" s="54">
        <f t="shared" si="525"/>
        <v>17163.091968000001</v>
      </c>
      <c r="L970" s="54">
        <f t="shared" ref="L970:L975" si="526">K970*1.023</f>
        <v>17557.843083264001</v>
      </c>
      <c r="M970" s="54">
        <f t="shared" ref="M970:M975" si="527">L970*1.022</f>
        <v>17944.11563109581</v>
      </c>
      <c r="N970" s="54">
        <f t="shared" ref="N970:N975" si="528">M970*1.023</f>
        <v>18356.830290611011</v>
      </c>
      <c r="O970" s="54">
        <f t="shared" ref="O970:P975" si="529">N970*1.025</f>
        <v>18815.751047876285</v>
      </c>
      <c r="P970" s="54">
        <f t="shared" si="529"/>
        <v>19286.144824073192</v>
      </c>
      <c r="Q970" s="54">
        <f t="shared" ref="Q970:R975" si="530">P970*1.024</f>
        <v>19749.012299850947</v>
      </c>
      <c r="R970" s="54">
        <f t="shared" si="530"/>
        <v>20222.988595047369</v>
      </c>
    </row>
    <row r="971" spans="1:18" x14ac:dyDescent="0.25">
      <c r="A971" s="43" t="s">
        <v>642</v>
      </c>
      <c r="C971" s="54">
        <v>19504</v>
      </c>
      <c r="D971" s="54">
        <v>20367</v>
      </c>
      <c r="E971" s="43">
        <v>22584</v>
      </c>
      <c r="F971" s="54">
        <v>23900</v>
      </c>
      <c r="G971" s="54">
        <v>24231</v>
      </c>
      <c r="H971" s="54">
        <v>24700</v>
      </c>
      <c r="I971" s="54">
        <f>H971*1.023</f>
        <v>25268.1</v>
      </c>
      <c r="J971" s="54">
        <f t="shared" si="525"/>
        <v>25874.5344</v>
      </c>
      <c r="K971" s="54">
        <f t="shared" si="525"/>
        <v>26495.523225600002</v>
      </c>
      <c r="L971" s="54">
        <f t="shared" si="526"/>
        <v>27104.9202597888</v>
      </c>
      <c r="M971" s="54">
        <f t="shared" si="527"/>
        <v>27701.228505504154</v>
      </c>
      <c r="N971" s="54">
        <f t="shared" si="528"/>
        <v>28338.356761130748</v>
      </c>
      <c r="O971" s="54">
        <f t="shared" si="529"/>
        <v>29046.815680159016</v>
      </c>
      <c r="P971" s="54">
        <f t="shared" si="529"/>
        <v>29772.986072162988</v>
      </c>
      <c r="Q971" s="54">
        <f t="shared" si="530"/>
        <v>30487.537737894902</v>
      </c>
      <c r="R971" s="54">
        <f t="shared" si="530"/>
        <v>31219.238643604378</v>
      </c>
    </row>
    <row r="972" spans="1:18" x14ac:dyDescent="0.25">
      <c r="A972" s="52" t="s">
        <v>643</v>
      </c>
      <c r="B972" s="53"/>
      <c r="C972" s="54">
        <v>6992</v>
      </c>
      <c r="D972" s="54">
        <v>12476</v>
      </c>
      <c r="E972" s="43">
        <v>10092</v>
      </c>
      <c r="F972" s="54">
        <v>18507</v>
      </c>
      <c r="G972" s="50">
        <v>26804</v>
      </c>
      <c r="H972" s="50">
        <v>32000</v>
      </c>
      <c r="I972" s="54">
        <f t="shared" ref="I972:I975" si="531">H972*1.023</f>
        <v>32735.999999999996</v>
      </c>
      <c r="J972" s="54">
        <f t="shared" si="525"/>
        <v>33521.663999999997</v>
      </c>
      <c r="K972" s="54">
        <f t="shared" si="525"/>
        <v>34326.183936000001</v>
      </c>
      <c r="L972" s="54">
        <f t="shared" si="526"/>
        <v>35115.686166528001</v>
      </c>
      <c r="M972" s="54">
        <f t="shared" si="527"/>
        <v>35888.231262191621</v>
      </c>
      <c r="N972" s="54">
        <f t="shared" si="528"/>
        <v>36713.660581222022</v>
      </c>
      <c r="O972" s="54">
        <f t="shared" si="529"/>
        <v>37631.50209575257</v>
      </c>
      <c r="P972" s="54">
        <f t="shared" si="529"/>
        <v>38572.289648146383</v>
      </c>
      <c r="Q972" s="54">
        <f t="shared" si="530"/>
        <v>39498.024599701894</v>
      </c>
      <c r="R972" s="54">
        <f t="shared" si="530"/>
        <v>40445.977190094738</v>
      </c>
    </row>
    <row r="973" spans="1:18" x14ac:dyDescent="0.25">
      <c r="A973" s="150" t="s">
        <v>644</v>
      </c>
      <c r="B973" s="127" t="s">
        <v>468</v>
      </c>
      <c r="C973" s="54">
        <v>42292</v>
      </c>
      <c r="D973" s="54">
        <v>34349</v>
      </c>
      <c r="E973" s="43">
        <v>36067</v>
      </c>
      <c r="F973" s="54">
        <v>37870</v>
      </c>
      <c r="G973" s="54">
        <v>39764</v>
      </c>
      <c r="H973" s="54">
        <v>37200</v>
      </c>
      <c r="I973" s="54">
        <f t="shared" si="531"/>
        <v>38055.599999999999</v>
      </c>
      <c r="J973" s="54">
        <f t="shared" si="525"/>
        <v>38968.934399999998</v>
      </c>
      <c r="K973" s="54">
        <f t="shared" si="525"/>
        <v>39904.188825600002</v>
      </c>
      <c r="L973" s="54">
        <f t="shared" si="526"/>
        <v>40821.985168588799</v>
      </c>
      <c r="M973" s="54">
        <f t="shared" si="527"/>
        <v>41720.068842297755</v>
      </c>
      <c r="N973" s="54">
        <f t="shared" si="528"/>
        <v>42679.630425670599</v>
      </c>
      <c r="O973" s="54">
        <f t="shared" si="529"/>
        <v>43746.621186312361</v>
      </c>
      <c r="P973" s="54">
        <f t="shared" si="529"/>
        <v>44840.286715970164</v>
      </c>
      <c r="Q973" s="54">
        <f t="shared" si="530"/>
        <v>45916.45359715345</v>
      </c>
      <c r="R973" s="54">
        <f t="shared" si="530"/>
        <v>47018.448483485132</v>
      </c>
    </row>
    <row r="974" spans="1:18" x14ac:dyDescent="0.25">
      <c r="A974" s="52" t="s">
        <v>645</v>
      </c>
      <c r="B974" s="53"/>
      <c r="C974" s="54">
        <v>37319</v>
      </c>
      <c r="D974" s="54">
        <v>32008</v>
      </c>
      <c r="E974" s="43">
        <v>30328</v>
      </c>
      <c r="F974" s="54">
        <v>36720</v>
      </c>
      <c r="G974" s="54">
        <v>35730</v>
      </c>
      <c r="H974" s="54">
        <v>35200</v>
      </c>
      <c r="I974" s="54">
        <f t="shared" si="531"/>
        <v>36009.599999999999</v>
      </c>
      <c r="J974" s="54">
        <f t="shared" si="525"/>
        <v>36873.830399999999</v>
      </c>
      <c r="K974" s="54">
        <f t="shared" si="525"/>
        <v>37758.802329600003</v>
      </c>
      <c r="L974" s="54">
        <f t="shared" si="526"/>
        <v>38627.254783180797</v>
      </c>
      <c r="M974" s="54">
        <f t="shared" si="527"/>
        <v>39477.054388410776</v>
      </c>
      <c r="N974" s="54">
        <f t="shared" si="528"/>
        <v>40385.026639344222</v>
      </c>
      <c r="O974" s="54">
        <f t="shared" si="529"/>
        <v>41394.652305327822</v>
      </c>
      <c r="P974" s="54">
        <f t="shared" si="529"/>
        <v>42429.518612961016</v>
      </c>
      <c r="Q974" s="54">
        <f t="shared" si="530"/>
        <v>43447.827059672083</v>
      </c>
      <c r="R974" s="54">
        <f t="shared" si="530"/>
        <v>44490.574909104216</v>
      </c>
    </row>
    <row r="975" spans="1:18" x14ac:dyDescent="0.25">
      <c r="A975" s="52" t="s">
        <v>646</v>
      </c>
      <c r="B975" s="53"/>
      <c r="C975" s="54"/>
      <c r="D975" s="54"/>
      <c r="F975" s="54"/>
      <c r="G975" s="54"/>
      <c r="H975" s="54">
        <v>208000</v>
      </c>
      <c r="I975" s="54">
        <f t="shared" si="531"/>
        <v>212783.99999999997</v>
      </c>
      <c r="J975" s="54">
        <f t="shared" si="525"/>
        <v>217890.81599999996</v>
      </c>
      <c r="K975" s="54">
        <f t="shared" si="525"/>
        <v>223120.19558399997</v>
      </c>
      <c r="L975" s="54">
        <f t="shared" si="526"/>
        <v>228251.96008243196</v>
      </c>
      <c r="M975" s="54">
        <f t="shared" si="527"/>
        <v>233273.50320424547</v>
      </c>
      <c r="N975" s="54">
        <f t="shared" si="528"/>
        <v>238638.79377794309</v>
      </c>
      <c r="O975" s="54">
        <f t="shared" si="529"/>
        <v>244604.76362239165</v>
      </c>
      <c r="P975" s="54">
        <f t="shared" si="529"/>
        <v>250719.88271295142</v>
      </c>
      <c r="Q975" s="54">
        <f t="shared" si="530"/>
        <v>256737.15989806227</v>
      </c>
      <c r="R975" s="54">
        <f t="shared" si="530"/>
        <v>262898.85173561575</v>
      </c>
    </row>
    <row r="976" spans="1:18" x14ac:dyDescent="0.25">
      <c r="C976" s="50"/>
      <c r="D976" s="50"/>
      <c r="E976" s="50"/>
      <c r="F976" s="50"/>
      <c r="G976" s="50"/>
      <c r="H976" s="50"/>
      <c r="I976" s="50"/>
      <c r="J976" s="50"/>
      <c r="K976" s="50"/>
      <c r="L976" s="50"/>
      <c r="M976" s="50"/>
      <c r="N976" s="50"/>
      <c r="O976" s="50"/>
      <c r="P976" s="50"/>
      <c r="Q976" s="50"/>
      <c r="R976" s="50"/>
    </row>
    <row r="977" spans="1:18" x14ac:dyDescent="0.25">
      <c r="A977" s="41" t="s">
        <v>216</v>
      </c>
      <c r="B977" s="44"/>
      <c r="C977" s="51">
        <f t="shared" ref="C977" si="532">SUM(C968:C976)</f>
        <v>173138</v>
      </c>
      <c r="D977" s="51">
        <f t="shared" ref="D977:R977" si="533">SUM(D968:D976)</f>
        <v>161261</v>
      </c>
      <c r="E977" s="51">
        <f t="shared" si="533"/>
        <v>146127</v>
      </c>
      <c r="F977" s="51">
        <f t="shared" si="533"/>
        <v>134513</v>
      </c>
      <c r="G977" s="51">
        <f t="shared" si="533"/>
        <v>143184</v>
      </c>
      <c r="H977" s="51">
        <f t="shared" si="533"/>
        <v>353100</v>
      </c>
      <c r="I977" s="51">
        <f t="shared" si="533"/>
        <v>361221.29999999993</v>
      </c>
      <c r="J977" s="51">
        <f t="shared" si="533"/>
        <v>369890.61119999993</v>
      </c>
      <c r="K977" s="51">
        <f t="shared" si="533"/>
        <v>378767.98586879997</v>
      </c>
      <c r="L977" s="51">
        <f t="shared" si="533"/>
        <v>387479.64954378235</v>
      </c>
      <c r="M977" s="51">
        <f t="shared" si="533"/>
        <v>396004.20183374558</v>
      </c>
      <c r="N977" s="51">
        <f t="shared" si="533"/>
        <v>405112.29847592174</v>
      </c>
      <c r="O977" s="51">
        <f t="shared" si="533"/>
        <v>415240.1059378197</v>
      </c>
      <c r="P977" s="51">
        <f t="shared" si="533"/>
        <v>425621.10858626518</v>
      </c>
      <c r="Q977" s="51">
        <f t="shared" si="533"/>
        <v>435836.01519233559</v>
      </c>
      <c r="R977" s="51">
        <f t="shared" si="533"/>
        <v>446296.07955695159</v>
      </c>
    </row>
    <row r="978" spans="1:18" x14ac:dyDescent="0.25">
      <c r="C978" s="50"/>
      <c r="D978" s="50"/>
      <c r="E978" s="50"/>
      <c r="F978" s="50"/>
      <c r="G978" s="50"/>
      <c r="H978" s="50"/>
      <c r="I978" s="50"/>
      <c r="J978" s="50"/>
      <c r="K978" s="50"/>
      <c r="L978" s="50"/>
      <c r="M978" s="50"/>
      <c r="N978" s="50"/>
      <c r="O978" s="50"/>
      <c r="P978" s="50"/>
      <c r="Q978" s="50"/>
      <c r="R978" s="50"/>
    </row>
    <row r="979" spans="1:18" x14ac:dyDescent="0.25">
      <c r="A979" s="41" t="s">
        <v>165</v>
      </c>
      <c r="B979" s="44"/>
      <c r="C979" s="50"/>
      <c r="D979" s="50"/>
      <c r="E979" s="50"/>
      <c r="F979" s="50"/>
      <c r="G979" s="50"/>
      <c r="H979" s="50"/>
      <c r="I979" s="50"/>
      <c r="J979" s="50"/>
      <c r="K979" s="50"/>
      <c r="L979" s="50"/>
      <c r="M979" s="50"/>
      <c r="N979" s="50"/>
      <c r="O979" s="50"/>
      <c r="P979" s="50"/>
      <c r="Q979" s="50"/>
      <c r="R979" s="50"/>
    </row>
    <row r="980" spans="1:18" x14ac:dyDescent="0.25">
      <c r="C980" s="50"/>
      <c r="D980" s="50"/>
      <c r="E980" s="50"/>
      <c r="F980" s="50"/>
      <c r="G980" s="50"/>
      <c r="H980" s="50"/>
      <c r="I980" s="50"/>
      <c r="J980" s="50"/>
      <c r="K980" s="50"/>
      <c r="L980" s="50"/>
      <c r="M980" s="50"/>
      <c r="N980" s="50"/>
      <c r="O980" s="50"/>
      <c r="P980" s="50"/>
      <c r="Q980" s="50"/>
      <c r="R980" s="50"/>
    </row>
    <row r="981" spans="1:18" x14ac:dyDescent="0.25">
      <c r="A981" s="43" t="s">
        <v>217</v>
      </c>
      <c r="C981" s="50">
        <v>60335</v>
      </c>
      <c r="D981">
        <v>57659</v>
      </c>
      <c r="E981" s="43">
        <v>48664</v>
      </c>
      <c r="F981" s="43">
        <v>65003</v>
      </c>
      <c r="G981" s="43">
        <v>58001</v>
      </c>
      <c r="H981" s="43">
        <v>73900</v>
      </c>
      <c r="I981" s="50">
        <f>H981*1.025</f>
        <v>75747.5</v>
      </c>
      <c r="J981" s="50">
        <f>I981*1.029</f>
        <v>77944.177499999991</v>
      </c>
      <c r="K981" s="54">
        <f>J981*1.031</f>
        <v>80360.44700249999</v>
      </c>
      <c r="L981" s="54">
        <f>K981*1.033</f>
        <v>83012.341753582485</v>
      </c>
      <c r="M981" s="54">
        <f>L981*1.032</f>
        <v>85668.736689697122</v>
      </c>
      <c r="N981" s="54">
        <f>M981*1.03</f>
        <v>88238.798790388042</v>
      </c>
      <c r="O981" s="54">
        <f>N981*1.032</f>
        <v>91062.44035168046</v>
      </c>
      <c r="P981" s="54">
        <f>O981*1.034</f>
        <v>94158.563323637602</v>
      </c>
      <c r="Q981" s="54">
        <f>P981*1.034</f>
        <v>97359.954476641287</v>
      </c>
      <c r="R981" s="54">
        <f>Q981*1.034</f>
        <v>100670.1929288471</v>
      </c>
    </row>
    <row r="982" spans="1:18" x14ac:dyDescent="0.25">
      <c r="A982" t="s">
        <v>219</v>
      </c>
      <c r="C982" s="50"/>
      <c r="D982"/>
      <c r="G982">
        <v>4102</v>
      </c>
      <c r="H982">
        <v>9400</v>
      </c>
      <c r="I982" s="54">
        <f t="shared" ref="I982" si="534">H982*1.023</f>
        <v>9616.1999999999989</v>
      </c>
      <c r="J982" s="54">
        <f t="shared" ref="J982:K982" si="535">I982*1.024</f>
        <v>9846.9887999999992</v>
      </c>
      <c r="K982" s="54">
        <f t="shared" si="535"/>
        <v>10083.3165312</v>
      </c>
      <c r="L982" s="54">
        <f t="shared" ref="L982" si="536">K982*1.023</f>
        <v>10315.2328114176</v>
      </c>
      <c r="M982" s="54">
        <f t="shared" ref="M982" si="537">L982*1.022</f>
        <v>10542.167933268787</v>
      </c>
      <c r="N982" s="54">
        <f t="shared" ref="N982" si="538">M982*1.023</f>
        <v>10784.637795733968</v>
      </c>
      <c r="O982" s="54">
        <f t="shared" ref="O982:P982" si="539">N982*1.025</f>
        <v>11054.253740627317</v>
      </c>
      <c r="P982" s="54">
        <f t="shared" si="539"/>
        <v>11330.610084142998</v>
      </c>
      <c r="Q982" s="54">
        <f t="shared" ref="Q982:R982" si="540">P982*1.024</f>
        <v>11602.54472616243</v>
      </c>
      <c r="R982" s="54">
        <f t="shared" si="540"/>
        <v>11881.00579959033</v>
      </c>
    </row>
    <row r="983" spans="1:18" x14ac:dyDescent="0.25">
      <c r="A983" s="43" t="s">
        <v>220</v>
      </c>
      <c r="C983" s="50">
        <v>-3575</v>
      </c>
      <c r="D983" s="50">
        <v>10663</v>
      </c>
      <c r="E983" s="50">
        <v>12212</v>
      </c>
      <c r="F983" s="50">
        <v>8764</v>
      </c>
      <c r="G983" s="52">
        <v>39395</v>
      </c>
      <c r="H983" s="52">
        <v>10200</v>
      </c>
      <c r="I983" s="50">
        <f>H983*1.025</f>
        <v>10455</v>
      </c>
      <c r="J983" s="50">
        <f>I983*1.029</f>
        <v>10758.195</v>
      </c>
      <c r="K983" s="54">
        <f>J983*1.031</f>
        <v>11091.699044999999</v>
      </c>
      <c r="L983" s="54">
        <f>K983*1.033</f>
        <v>11457.725113484998</v>
      </c>
      <c r="M983" s="54">
        <f>L983*1.032</f>
        <v>11824.372317116518</v>
      </c>
      <c r="N983" s="54">
        <f>M983*1.03</f>
        <v>12179.103486630014</v>
      </c>
      <c r="O983" s="54">
        <f>N983*1.032</f>
        <v>12568.834798202175</v>
      </c>
      <c r="P983" s="54">
        <f>O983*1.034</f>
        <v>12996.17518134105</v>
      </c>
      <c r="Q983" s="54">
        <f>P983*1.034</f>
        <v>13438.045137506646</v>
      </c>
      <c r="R983" s="54">
        <f>Q983*1.034</f>
        <v>13894.938672181872</v>
      </c>
    </row>
    <row r="984" spans="1:18" x14ac:dyDescent="0.25">
      <c r="A984" s="43" t="s">
        <v>221</v>
      </c>
      <c r="C984" s="50"/>
      <c r="D984" s="50"/>
      <c r="E984" s="50"/>
      <c r="F984" s="50"/>
      <c r="G984" s="52"/>
      <c r="H984" s="60">
        <v>9400</v>
      </c>
      <c r="I984" s="60">
        <v>9400</v>
      </c>
      <c r="J984" s="58">
        <v>9700</v>
      </c>
      <c r="K984" s="58">
        <v>9700</v>
      </c>
      <c r="L984" s="169">
        <v>10400</v>
      </c>
      <c r="M984" s="169">
        <v>10400</v>
      </c>
      <c r="N984" s="169">
        <v>10400</v>
      </c>
      <c r="O984" s="169">
        <v>10700</v>
      </c>
      <c r="P984" s="169">
        <v>10700</v>
      </c>
      <c r="Q984" s="169">
        <v>10700</v>
      </c>
      <c r="R984" s="169">
        <v>10700</v>
      </c>
    </row>
    <row r="985" spans="1:18" x14ac:dyDescent="0.25">
      <c r="A985" s="52" t="s">
        <v>647</v>
      </c>
      <c r="B985" s="53"/>
      <c r="C985" s="50"/>
      <c r="D985" s="50"/>
      <c r="E985" s="50"/>
      <c r="F985" s="50"/>
      <c r="G985" s="50"/>
      <c r="H985" s="50"/>
      <c r="I985" s="50"/>
      <c r="J985" s="50"/>
      <c r="K985" s="50"/>
      <c r="L985" s="50"/>
      <c r="M985" s="50"/>
      <c r="N985" s="50"/>
      <c r="O985" s="50"/>
      <c r="P985" s="50"/>
      <c r="Q985" s="50"/>
      <c r="R985" s="50"/>
    </row>
    <row r="986" spans="1:18" x14ac:dyDescent="0.25">
      <c r="A986" s="43" t="s">
        <v>640</v>
      </c>
      <c r="C986" s="50">
        <f>8936+46</f>
        <v>8982</v>
      </c>
      <c r="D986" s="50">
        <v>8043</v>
      </c>
      <c r="E986" s="50">
        <v>8598</v>
      </c>
      <c r="F986" s="50">
        <v>0</v>
      </c>
      <c r="G986" s="50">
        <v>0</v>
      </c>
      <c r="H986" s="50">
        <v>0</v>
      </c>
      <c r="I986" s="50">
        <v>0</v>
      </c>
      <c r="J986" s="50">
        <v>0</v>
      </c>
      <c r="K986" s="50">
        <v>0</v>
      </c>
      <c r="L986" s="50">
        <v>0</v>
      </c>
      <c r="M986" s="50">
        <v>0</v>
      </c>
      <c r="N986" s="50">
        <v>0</v>
      </c>
      <c r="O986" s="50">
        <v>0</v>
      </c>
      <c r="P986" s="50">
        <v>0</v>
      </c>
      <c r="Q986" s="50">
        <v>0</v>
      </c>
      <c r="R986" s="50">
        <v>0</v>
      </c>
    </row>
    <row r="987" spans="1:18" x14ac:dyDescent="0.25">
      <c r="A987" s="43" t="s">
        <v>304</v>
      </c>
      <c r="C987" s="105">
        <v>1333</v>
      </c>
      <c r="D987" s="105">
        <v>1333</v>
      </c>
      <c r="E987" s="72">
        <v>0</v>
      </c>
      <c r="F987" s="50">
        <v>0</v>
      </c>
      <c r="G987" s="50">
        <v>0</v>
      </c>
      <c r="H987" s="50">
        <v>0</v>
      </c>
      <c r="I987" s="50">
        <v>0</v>
      </c>
      <c r="J987" s="50">
        <v>0</v>
      </c>
      <c r="K987" s="50">
        <v>0</v>
      </c>
      <c r="L987" s="50">
        <v>0</v>
      </c>
      <c r="M987" s="50">
        <v>0</v>
      </c>
      <c r="N987" s="50">
        <v>0</v>
      </c>
      <c r="O987" s="50">
        <v>0</v>
      </c>
      <c r="P987" s="50">
        <v>0</v>
      </c>
      <c r="Q987" s="50">
        <v>0</v>
      </c>
      <c r="R987" s="50">
        <v>0</v>
      </c>
    </row>
    <row r="988" spans="1:18" x14ac:dyDescent="0.25">
      <c r="A988" s="52" t="s">
        <v>648</v>
      </c>
      <c r="B988" s="53"/>
      <c r="C988" s="50">
        <v>22544</v>
      </c>
      <c r="D988" s="50">
        <v>29047</v>
      </c>
      <c r="E988" s="50">
        <v>24000</v>
      </c>
      <c r="F988" s="50">
        <v>31088</v>
      </c>
      <c r="G988" s="50">
        <v>21918</v>
      </c>
      <c r="H988" s="50">
        <v>30640</v>
      </c>
      <c r="I988" s="50">
        <v>31406.799999999996</v>
      </c>
      <c r="J988" s="50">
        <v>32230.75</v>
      </c>
      <c r="K988" s="50">
        <v>33091.326155000002</v>
      </c>
      <c r="L988" s="50">
        <v>33969.013795014995</v>
      </c>
      <c r="M988" s="50">
        <v>34841.858043972483</v>
      </c>
      <c r="N988" s="50">
        <v>35745.495787852968</v>
      </c>
      <c r="O988" s="50">
        <v>36735.68064323334</v>
      </c>
      <c r="P988" s="50">
        <v>37770.951491770902</v>
      </c>
      <c r="Q988" s="50">
        <v>38812.651508211398</v>
      </c>
      <c r="R988" s="50">
        <v>39884.662850951012</v>
      </c>
    </row>
    <row r="989" spans="1:18" x14ac:dyDescent="0.25">
      <c r="A989" s="43" t="s">
        <v>649</v>
      </c>
      <c r="C989" s="170">
        <v>1091</v>
      </c>
      <c r="D989" s="170">
        <v>1091</v>
      </c>
      <c r="E989" s="70">
        <v>1091</v>
      </c>
      <c r="F989" s="104">
        <v>1091</v>
      </c>
      <c r="G989" s="104">
        <v>1153</v>
      </c>
      <c r="H989" s="70">
        <v>1120</v>
      </c>
      <c r="I989" s="70">
        <v>1150</v>
      </c>
      <c r="J989" s="70">
        <v>1180</v>
      </c>
      <c r="K989" s="70">
        <v>1210</v>
      </c>
      <c r="L989" s="70">
        <v>1230</v>
      </c>
      <c r="M989" s="70">
        <v>1260</v>
      </c>
      <c r="N989" s="70">
        <v>1290</v>
      </c>
      <c r="O989" s="70">
        <v>1320</v>
      </c>
      <c r="P989" s="70">
        <v>1360</v>
      </c>
      <c r="Q989" s="70">
        <v>1390</v>
      </c>
      <c r="R989" s="70">
        <v>1390</v>
      </c>
    </row>
    <row r="990" spans="1:18" x14ac:dyDescent="0.25">
      <c r="A990" s="43" t="s">
        <v>304</v>
      </c>
      <c r="C990" s="105">
        <v>14554</v>
      </c>
      <c r="D990" s="105">
        <v>14626</v>
      </c>
      <c r="E990" s="72">
        <v>14948</v>
      </c>
      <c r="F990" s="105">
        <v>15548</v>
      </c>
      <c r="G990" s="105">
        <v>15548</v>
      </c>
      <c r="H990" s="74">
        <v>14860</v>
      </c>
      <c r="I990" s="74">
        <v>15200</v>
      </c>
      <c r="J990" s="74">
        <v>15570</v>
      </c>
      <c r="K990" s="74">
        <v>15940</v>
      </c>
      <c r="L990" s="74">
        <v>16310</v>
      </c>
      <c r="M990" s="74">
        <v>16670</v>
      </c>
      <c r="N990" s="74">
        <v>17050</v>
      </c>
      <c r="O990" s="74">
        <v>17480</v>
      </c>
      <c r="P990" s="74">
        <v>17910</v>
      </c>
      <c r="Q990" s="74">
        <v>18340</v>
      </c>
      <c r="R990" s="74">
        <v>18340</v>
      </c>
    </row>
    <row r="991" spans="1:18" x14ac:dyDescent="0.25">
      <c r="A991" s="52" t="s">
        <v>650</v>
      </c>
      <c r="B991" s="53"/>
      <c r="C991" s="50">
        <v>12428</v>
      </c>
      <c r="D991" s="50">
        <v>15286</v>
      </c>
      <c r="E991" s="50">
        <v>17072</v>
      </c>
      <c r="F991" s="50">
        <v>16483</v>
      </c>
      <c r="G991" s="50">
        <v>8477</v>
      </c>
      <c r="H991" s="50">
        <v>15600</v>
      </c>
      <c r="I991" s="50">
        <v>16002.799999999996</v>
      </c>
      <c r="J991" s="50">
        <v>16431.122799999997</v>
      </c>
      <c r="K991" s="50">
        <v>16878.480087200005</v>
      </c>
      <c r="L991" s="50">
        <v>17336.325895255592</v>
      </c>
      <c r="M991" s="50">
        <v>17793.966079142192</v>
      </c>
      <c r="N991" s="50">
        <v>18266.942538754243</v>
      </c>
      <c r="O991" s="50">
        <v>18781.608788461519</v>
      </c>
      <c r="P991" s="50">
        <v>19319.677626609511</v>
      </c>
      <c r="Q991" s="50">
        <v>19863.311138741694</v>
      </c>
      <c r="R991" s="50">
        <v>20423.241024252777</v>
      </c>
    </row>
    <row r="992" spans="1:18" x14ac:dyDescent="0.25">
      <c r="A992" s="43" t="s">
        <v>649</v>
      </c>
      <c r="C992" s="170">
        <v>0</v>
      </c>
      <c r="D992" s="69">
        <v>0</v>
      </c>
      <c r="E992" s="76">
        <v>0</v>
      </c>
      <c r="F992" s="76">
        <v>0</v>
      </c>
      <c r="G992" s="76">
        <v>0</v>
      </c>
      <c r="H992" s="76">
        <v>0</v>
      </c>
      <c r="I992" s="76">
        <v>0</v>
      </c>
      <c r="J992" s="76">
        <v>0</v>
      </c>
      <c r="K992" s="76">
        <v>0</v>
      </c>
      <c r="L992" s="76">
        <v>0</v>
      </c>
      <c r="M992" s="76">
        <v>0</v>
      </c>
      <c r="N992" s="76">
        <v>0</v>
      </c>
      <c r="O992" s="76">
        <v>0</v>
      </c>
      <c r="P992" s="76">
        <v>0</v>
      </c>
      <c r="Q992" s="76">
        <v>0</v>
      </c>
      <c r="R992" s="76">
        <v>0</v>
      </c>
    </row>
    <row r="993" spans="1:18" x14ac:dyDescent="0.25">
      <c r="A993" s="43" t="s">
        <v>304</v>
      </c>
      <c r="C993" s="105">
        <v>24435</v>
      </c>
      <c r="D993" s="74">
        <v>24435</v>
      </c>
      <c r="E993" s="72">
        <v>24435</v>
      </c>
      <c r="F993" s="72">
        <v>27243</v>
      </c>
      <c r="G993" s="72">
        <v>27243</v>
      </c>
      <c r="H993" s="71">
        <v>14170</v>
      </c>
      <c r="I993" s="71">
        <v>14500</v>
      </c>
      <c r="J993" s="71">
        <v>14850</v>
      </c>
      <c r="K993" s="71">
        <v>15210</v>
      </c>
      <c r="L993" s="71">
        <v>15560</v>
      </c>
      <c r="M993" s="71">
        <v>15900</v>
      </c>
      <c r="N993" s="71">
        <v>16270</v>
      </c>
      <c r="O993" s="71">
        <v>16670</v>
      </c>
      <c r="P993" s="71">
        <v>17090</v>
      </c>
      <c r="Q993" s="71">
        <v>17500</v>
      </c>
      <c r="R993" s="71">
        <v>17500</v>
      </c>
    </row>
    <row r="994" spans="1:18" x14ac:dyDescent="0.25">
      <c r="A994" s="52" t="s">
        <v>651</v>
      </c>
      <c r="B994" s="53"/>
      <c r="C994" s="50">
        <f>195548-11534</f>
        <v>184014</v>
      </c>
      <c r="D994" s="50">
        <v>176928</v>
      </c>
      <c r="E994" s="50">
        <v>171052</v>
      </c>
      <c r="F994" s="50">
        <v>170598</v>
      </c>
      <c r="G994" s="50">
        <v>158269</v>
      </c>
      <c r="H994" s="50">
        <v>215400</v>
      </c>
      <c r="I994" s="50">
        <v>220801.59999999998</v>
      </c>
      <c r="J994" s="50">
        <v>226481.7469</v>
      </c>
      <c r="K994" s="50">
        <v>232340.15048810001</v>
      </c>
      <c r="L994" s="50">
        <v>238182.7505802013</v>
      </c>
      <c r="M994" s="50">
        <v>243963.9186179321</v>
      </c>
      <c r="N994" s="50">
        <v>250079.85735006066</v>
      </c>
      <c r="O994" s="50">
        <v>256816.55305419897</v>
      </c>
      <c r="P994" s="50">
        <v>263772.51245557819</v>
      </c>
      <c r="Q994" s="50">
        <v>270701.45963900496</v>
      </c>
      <c r="R994" s="50">
        <v>277824.11909861001</v>
      </c>
    </row>
    <row r="995" spans="1:18" x14ac:dyDescent="0.25">
      <c r="A995" s="43" t="s">
        <v>649</v>
      </c>
      <c r="C995" s="170">
        <v>11534</v>
      </c>
      <c r="D995" s="69">
        <v>11534</v>
      </c>
      <c r="E995" s="70">
        <v>13257</v>
      </c>
      <c r="F995" s="104">
        <v>16234</v>
      </c>
      <c r="G995" s="104">
        <v>15190</v>
      </c>
      <c r="H995" s="70">
        <v>16620</v>
      </c>
      <c r="I995" s="70">
        <v>17120</v>
      </c>
      <c r="J995" s="70">
        <v>17540</v>
      </c>
      <c r="K995" s="70">
        <v>17950</v>
      </c>
      <c r="L995" s="70">
        <v>18360</v>
      </c>
      <c r="M995" s="70">
        <v>18770</v>
      </c>
      <c r="N995" s="70">
        <v>19200</v>
      </c>
      <c r="O995" s="70">
        <v>19680</v>
      </c>
      <c r="P995" s="70">
        <v>20170</v>
      </c>
      <c r="Q995" s="70">
        <v>20650</v>
      </c>
      <c r="R995" s="70">
        <v>20650</v>
      </c>
    </row>
    <row r="996" spans="1:18" x14ac:dyDescent="0.25">
      <c r="A996" s="43" t="s">
        <v>304</v>
      </c>
      <c r="C996" s="120">
        <v>0</v>
      </c>
      <c r="D996" s="74">
        <v>0</v>
      </c>
      <c r="E996" s="100">
        <v>0</v>
      </c>
      <c r="F996" s="100">
        <v>0</v>
      </c>
      <c r="G996" s="100">
        <v>0</v>
      </c>
      <c r="H996" s="100">
        <v>0</v>
      </c>
      <c r="I996" s="100">
        <v>0</v>
      </c>
      <c r="J996" s="100">
        <v>0</v>
      </c>
      <c r="K996" s="100">
        <v>0</v>
      </c>
      <c r="L996" s="100">
        <v>0</v>
      </c>
      <c r="M996" s="100">
        <v>0</v>
      </c>
      <c r="N996" s="100">
        <v>0</v>
      </c>
      <c r="O996" s="100">
        <v>0</v>
      </c>
      <c r="P996" s="100">
        <v>0</v>
      </c>
      <c r="Q996" s="100">
        <v>0</v>
      </c>
      <c r="R996" s="100">
        <v>0</v>
      </c>
    </row>
    <row r="997" spans="1:18" x14ac:dyDescent="0.25">
      <c r="A997" s="52" t="s">
        <v>652</v>
      </c>
      <c r="C997" s="117">
        <v>1414</v>
      </c>
      <c r="D997" s="81">
        <v>1932</v>
      </c>
      <c r="E997" s="171">
        <v>1793</v>
      </c>
      <c r="F997" s="171">
        <v>1793</v>
      </c>
      <c r="G997" s="171">
        <v>1793</v>
      </c>
      <c r="H997" s="171">
        <v>1840</v>
      </c>
      <c r="I997" s="171">
        <v>1880</v>
      </c>
      <c r="J997" s="171">
        <v>1920</v>
      </c>
      <c r="K997" s="171">
        <v>1980</v>
      </c>
      <c r="L997" s="171">
        <v>2010</v>
      </c>
      <c r="M997" s="171">
        <v>2050</v>
      </c>
      <c r="N997" s="171">
        <v>2110</v>
      </c>
      <c r="O997" s="171">
        <v>2150</v>
      </c>
      <c r="P997" s="171">
        <v>2220</v>
      </c>
      <c r="Q997" s="171">
        <v>2260</v>
      </c>
      <c r="R997" s="171">
        <v>2260</v>
      </c>
    </row>
    <row r="998" spans="1:18" x14ac:dyDescent="0.25">
      <c r="A998" s="52" t="s">
        <v>645</v>
      </c>
      <c r="C998" s="50">
        <v>4519</v>
      </c>
      <c r="D998">
        <v>3919</v>
      </c>
      <c r="E998">
        <v>15095</v>
      </c>
      <c r="F998" s="54">
        <v>7188</v>
      </c>
      <c r="G998" s="54">
        <v>8502</v>
      </c>
      <c r="H998" s="54">
        <v>9410</v>
      </c>
      <c r="I998" s="50">
        <v>9648.6499999999978</v>
      </c>
      <c r="J998" s="50">
        <v>9896.4689499999986</v>
      </c>
      <c r="K998" s="50">
        <v>10151.55616355</v>
      </c>
      <c r="L998" s="50">
        <v>10408.68888304915</v>
      </c>
      <c r="M998" s="50">
        <v>10666.734609832723</v>
      </c>
      <c r="N998" s="50">
        <v>10936.574690833146</v>
      </c>
      <c r="O998" s="50">
        <v>11226.012342333388</v>
      </c>
      <c r="P998" s="50">
        <v>11524.181308231349</v>
      </c>
      <c r="Q998" s="50">
        <v>11824.47973976898</v>
      </c>
      <c r="R998" s="50">
        <v>12133.000118337573</v>
      </c>
    </row>
    <row r="999" spans="1:18" s="43" customFormat="1" x14ac:dyDescent="0.25">
      <c r="A999" s="43" t="s">
        <v>304</v>
      </c>
      <c r="B999" s="42"/>
      <c r="C999" s="120">
        <v>1333</v>
      </c>
      <c r="D999" s="120">
        <v>1333</v>
      </c>
      <c r="E999" s="72">
        <v>1333</v>
      </c>
      <c r="F999" s="105">
        <v>1333</v>
      </c>
      <c r="G999" s="105">
        <v>1333</v>
      </c>
      <c r="H999" s="71">
        <v>1390</v>
      </c>
      <c r="I999" s="71">
        <v>1420</v>
      </c>
      <c r="J999" s="71">
        <v>1450</v>
      </c>
      <c r="K999" s="71">
        <v>1480</v>
      </c>
      <c r="L999" s="71">
        <v>1520</v>
      </c>
      <c r="M999" s="71">
        <v>1550</v>
      </c>
      <c r="N999" s="71">
        <v>1580</v>
      </c>
      <c r="O999" s="71">
        <v>1620</v>
      </c>
      <c r="P999" s="71">
        <v>1670</v>
      </c>
      <c r="Q999" s="71">
        <v>1670</v>
      </c>
      <c r="R999" s="71">
        <v>1670</v>
      </c>
    </row>
    <row r="1000" spans="1:18" x14ac:dyDescent="0.25">
      <c r="A1000" s="43" t="s">
        <v>653</v>
      </c>
      <c r="C1000" s="50">
        <v>0</v>
      </c>
      <c r="D1000" s="54">
        <v>0</v>
      </c>
      <c r="E1000" s="54">
        <v>0</v>
      </c>
      <c r="F1000" s="54">
        <v>0</v>
      </c>
      <c r="G1000" s="54">
        <v>0</v>
      </c>
      <c r="H1000" s="54">
        <v>0</v>
      </c>
      <c r="I1000" s="54">
        <f>H1000*1.026</f>
        <v>0</v>
      </c>
      <c r="J1000" s="54">
        <f t="shared" ref="J1000" si="541">I1000*1.033</f>
        <v>0</v>
      </c>
      <c r="K1000" s="54">
        <f t="shared" ref="K1000" si="542">J1000*1.035</f>
        <v>0</v>
      </c>
      <c r="L1000" s="54">
        <f t="shared" ref="L1000:M1000" si="543">K1000*1.036</f>
        <v>0</v>
      </c>
      <c r="M1000" s="54">
        <f t="shared" si="543"/>
        <v>0</v>
      </c>
      <c r="N1000" s="54">
        <f t="shared" ref="N1000" si="544">M1000*1.034</f>
        <v>0</v>
      </c>
      <c r="O1000" s="54">
        <f t="shared" ref="O1000" si="545">N1000*1.032</f>
        <v>0</v>
      </c>
      <c r="P1000" s="54">
        <f t="shared" ref="P1000:R1000" si="546">O1000*1.034</f>
        <v>0</v>
      </c>
      <c r="Q1000" s="54">
        <f t="shared" si="546"/>
        <v>0</v>
      </c>
      <c r="R1000" s="54">
        <f t="shared" si="546"/>
        <v>0</v>
      </c>
    </row>
    <row r="1001" spans="1:18" x14ac:dyDescent="0.25">
      <c r="A1001" s="43" t="s">
        <v>654</v>
      </c>
      <c r="C1001" s="50">
        <v>0</v>
      </c>
      <c r="D1001" s="54">
        <v>0</v>
      </c>
      <c r="E1001" s="54">
        <v>0</v>
      </c>
      <c r="F1001" s="54">
        <v>0</v>
      </c>
      <c r="G1001" s="54">
        <v>0</v>
      </c>
      <c r="H1001" s="54">
        <v>0</v>
      </c>
      <c r="I1001" s="54">
        <v>0</v>
      </c>
      <c r="J1001" s="54">
        <v>0</v>
      </c>
      <c r="K1001" s="54">
        <v>0</v>
      </c>
      <c r="L1001" s="54">
        <v>0</v>
      </c>
      <c r="M1001" s="54">
        <v>0</v>
      </c>
      <c r="N1001" s="54">
        <v>0</v>
      </c>
      <c r="O1001" s="54">
        <v>0</v>
      </c>
      <c r="P1001" s="54">
        <v>0</v>
      </c>
      <c r="Q1001" s="54">
        <f t="shared" ref="Q1001:R1001" si="547">P1001*1.037</f>
        <v>0</v>
      </c>
      <c r="R1001" s="54">
        <f t="shared" si="547"/>
        <v>0</v>
      </c>
    </row>
    <row r="1002" spans="1:18" x14ac:dyDescent="0.25">
      <c r="C1002" s="50"/>
      <c r="D1002" s="50"/>
      <c r="E1002" s="50"/>
      <c r="F1002" s="50"/>
      <c r="G1002" s="50"/>
      <c r="H1002" s="50"/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</row>
    <row r="1003" spans="1:18" x14ac:dyDescent="0.25">
      <c r="A1003" s="41" t="s">
        <v>230</v>
      </c>
      <c r="B1003" s="44"/>
      <c r="C1003" s="51">
        <f t="shared" ref="C1003" si="548">SUM(C981:C1002)</f>
        <v>344941</v>
      </c>
      <c r="D1003" s="51">
        <f t="shared" ref="D1003:R1003" si="549">SUM(D981:D1002)</f>
        <v>357829</v>
      </c>
      <c r="E1003" s="51">
        <f t="shared" si="549"/>
        <v>353550</v>
      </c>
      <c r="F1003" s="51">
        <f t="shared" si="549"/>
        <v>362366</v>
      </c>
      <c r="G1003" s="51">
        <f t="shared" si="549"/>
        <v>360924</v>
      </c>
      <c r="H1003" s="51">
        <f t="shared" si="549"/>
        <v>423950</v>
      </c>
      <c r="I1003" s="51">
        <f t="shared" si="549"/>
        <v>434348.55</v>
      </c>
      <c r="J1003" s="51">
        <f t="shared" si="549"/>
        <v>445799.44995000004</v>
      </c>
      <c r="K1003" s="51">
        <f t="shared" si="549"/>
        <v>457466.97547255002</v>
      </c>
      <c r="L1003" s="51">
        <f t="shared" si="549"/>
        <v>470072.07883200614</v>
      </c>
      <c r="M1003" s="51">
        <f t="shared" si="549"/>
        <v>481901.75429096195</v>
      </c>
      <c r="N1003" s="51">
        <f t="shared" si="549"/>
        <v>494131.41044025309</v>
      </c>
      <c r="O1003" s="51">
        <f t="shared" si="549"/>
        <v>507865.38371873717</v>
      </c>
      <c r="P1003" s="51">
        <f t="shared" si="549"/>
        <v>521992.67147131165</v>
      </c>
      <c r="Q1003" s="51">
        <f t="shared" si="549"/>
        <v>536112.44636603747</v>
      </c>
      <c r="R1003" s="51">
        <f t="shared" si="549"/>
        <v>549221.16049277072</v>
      </c>
    </row>
    <row r="1004" spans="1:18" x14ac:dyDescent="0.25">
      <c r="C1004" s="50"/>
      <c r="D1004" s="50"/>
      <c r="E1004" s="50"/>
      <c r="F1004" s="50"/>
      <c r="G1004" s="50"/>
      <c r="H1004" s="50"/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</row>
    <row r="1005" spans="1:18" x14ac:dyDescent="0.25">
      <c r="A1005" s="41" t="s">
        <v>251</v>
      </c>
      <c r="B1005" s="44"/>
      <c r="C1005" s="50"/>
      <c r="D1005" s="50"/>
      <c r="E1005" s="50"/>
      <c r="F1005" s="50"/>
      <c r="G1005" s="50"/>
      <c r="H1005" s="50"/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</row>
    <row r="1006" spans="1:18" x14ac:dyDescent="0.25">
      <c r="C1006" s="50"/>
      <c r="D1006" s="50"/>
      <c r="E1006" s="50"/>
      <c r="F1006" s="50"/>
      <c r="G1006" s="50"/>
      <c r="H1006" s="50"/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</row>
    <row r="1007" spans="1:18" x14ac:dyDescent="0.25">
      <c r="A1007" s="64" t="s">
        <v>655</v>
      </c>
      <c r="C1007" s="50">
        <v>0</v>
      </c>
      <c r="D1007" s="50">
        <v>0</v>
      </c>
      <c r="E1007" s="50">
        <v>0</v>
      </c>
      <c r="F1007" s="50">
        <v>0</v>
      </c>
      <c r="G1007" s="50">
        <v>0</v>
      </c>
      <c r="H1007" s="63">
        <v>50000</v>
      </c>
      <c r="I1007" s="50">
        <v>0</v>
      </c>
      <c r="J1007" s="50">
        <v>0</v>
      </c>
      <c r="K1007" s="50">
        <v>0</v>
      </c>
      <c r="L1007" s="50">
        <v>0</v>
      </c>
      <c r="M1007" s="50">
        <v>0</v>
      </c>
      <c r="N1007" s="50">
        <v>0</v>
      </c>
      <c r="O1007" s="50">
        <v>0</v>
      </c>
      <c r="P1007" s="50">
        <v>0</v>
      </c>
      <c r="Q1007" s="50">
        <v>0</v>
      </c>
      <c r="R1007" s="50">
        <v>0</v>
      </c>
    </row>
    <row r="1008" spans="1:18" x14ac:dyDescent="0.25">
      <c r="C1008" s="50"/>
      <c r="D1008" s="50"/>
      <c r="E1008" s="50"/>
      <c r="F1008" s="50"/>
      <c r="G1008" s="50"/>
      <c r="H1008" s="50"/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</row>
    <row r="1009" spans="1:18" x14ac:dyDescent="0.25">
      <c r="A1009" s="41" t="s">
        <v>254</v>
      </c>
      <c r="B1009" s="44"/>
      <c r="C1009" s="51">
        <f t="shared" ref="C1009:E1009" si="550">SUM(C1007:C1008)</f>
        <v>0</v>
      </c>
      <c r="D1009" s="51">
        <f t="shared" si="550"/>
        <v>0</v>
      </c>
      <c r="E1009" s="51">
        <f t="shared" si="550"/>
        <v>0</v>
      </c>
      <c r="F1009" s="51">
        <v>0</v>
      </c>
      <c r="G1009" s="51">
        <v>0</v>
      </c>
      <c r="H1009" s="51">
        <f>SUM(H1007:H1008)</f>
        <v>50000</v>
      </c>
      <c r="I1009" s="51">
        <f>SUM(I1007:I1008)</f>
        <v>0</v>
      </c>
      <c r="J1009" s="51">
        <f t="shared" ref="J1009:R1009" si="551">SUM(J1007:J1008)</f>
        <v>0</v>
      </c>
      <c r="K1009" s="51">
        <f t="shared" si="551"/>
        <v>0</v>
      </c>
      <c r="L1009" s="51">
        <f t="shared" si="551"/>
        <v>0</v>
      </c>
      <c r="M1009" s="51">
        <f t="shared" si="551"/>
        <v>0</v>
      </c>
      <c r="N1009" s="51">
        <f t="shared" si="551"/>
        <v>0</v>
      </c>
      <c r="O1009" s="51">
        <f t="shared" si="551"/>
        <v>0</v>
      </c>
      <c r="P1009" s="51">
        <f t="shared" si="551"/>
        <v>0</v>
      </c>
      <c r="Q1009" s="51">
        <f t="shared" si="551"/>
        <v>0</v>
      </c>
      <c r="R1009" s="51">
        <f t="shared" si="551"/>
        <v>0</v>
      </c>
    </row>
    <row r="1010" spans="1:18" x14ac:dyDescent="0.25">
      <c r="A1010" s="41"/>
      <c r="B1010" s="44"/>
      <c r="C1010" s="50"/>
      <c r="D1010" s="50"/>
      <c r="E1010" s="50"/>
      <c r="F1010" s="50"/>
      <c r="G1010" s="50"/>
      <c r="H1010" s="50"/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</row>
    <row r="1011" spans="1:18" x14ac:dyDescent="0.25">
      <c r="A1011" s="41" t="s">
        <v>171</v>
      </c>
      <c r="B1011" s="44"/>
      <c r="C1011" s="50"/>
      <c r="D1011" s="50"/>
      <c r="E1011" s="50"/>
      <c r="F1011" s="50"/>
      <c r="G1011" s="50"/>
      <c r="H1011" s="50"/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</row>
    <row r="1012" spans="1:18" x14ac:dyDescent="0.25">
      <c r="A1012" s="41"/>
      <c r="B1012" s="44"/>
      <c r="C1012" s="50"/>
      <c r="D1012" s="50"/>
      <c r="E1012" s="50"/>
      <c r="F1012" s="50"/>
      <c r="G1012" s="50"/>
      <c r="H1012" s="50"/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</row>
    <row r="1013" spans="1:18" x14ac:dyDescent="0.25">
      <c r="A1013" s="41" t="s">
        <v>656</v>
      </c>
      <c r="B1013" s="44"/>
      <c r="C1013" s="50"/>
      <c r="D1013" s="50"/>
      <c r="E1013" s="50"/>
      <c r="F1013" s="50"/>
      <c r="G1013" s="50"/>
      <c r="H1013" s="50"/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</row>
    <row r="1014" spans="1:18" x14ac:dyDescent="0.25">
      <c r="A1014" s="91" t="s">
        <v>400</v>
      </c>
      <c r="B1014" s="163" t="s">
        <v>317</v>
      </c>
      <c r="C1014" s="50">
        <v>0</v>
      </c>
      <c r="D1014" s="50">
        <v>0</v>
      </c>
      <c r="E1014" s="50">
        <v>0</v>
      </c>
      <c r="F1014" s="50">
        <v>26545</v>
      </c>
      <c r="G1014" s="50">
        <v>0</v>
      </c>
      <c r="H1014" s="50">
        <v>0</v>
      </c>
      <c r="I1014" s="50">
        <v>0</v>
      </c>
      <c r="J1014" s="50">
        <v>0</v>
      </c>
      <c r="K1014" s="50">
        <v>0</v>
      </c>
      <c r="L1014" s="50">
        <v>0</v>
      </c>
      <c r="M1014" s="50">
        <v>0</v>
      </c>
      <c r="N1014" s="50">
        <v>0</v>
      </c>
      <c r="O1014" s="50">
        <v>0</v>
      </c>
      <c r="P1014" s="50">
        <v>0</v>
      </c>
      <c r="Q1014" s="50">
        <v>0</v>
      </c>
      <c r="R1014" s="50">
        <v>0</v>
      </c>
    </row>
    <row r="1015" spans="1:18" x14ac:dyDescent="0.25">
      <c r="A1015" s="91" t="s">
        <v>657</v>
      </c>
      <c r="B1015" s="163" t="s">
        <v>317</v>
      </c>
      <c r="C1015" s="50"/>
      <c r="D1015" s="50"/>
      <c r="E1015" s="85">
        <v>13282</v>
      </c>
      <c r="F1015" s="50"/>
      <c r="G1015" s="50"/>
      <c r="H1015" s="50"/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</row>
    <row r="1016" spans="1:18" x14ac:dyDescent="0.25">
      <c r="A1016" s="91" t="s">
        <v>658</v>
      </c>
      <c r="B1016" s="163" t="s">
        <v>317</v>
      </c>
      <c r="C1016" s="50">
        <v>0</v>
      </c>
      <c r="D1016" s="50">
        <v>0</v>
      </c>
      <c r="E1016" s="50">
        <v>0</v>
      </c>
      <c r="F1016" s="50"/>
      <c r="G1016" s="50">
        <v>0</v>
      </c>
      <c r="H1016" s="50">
        <v>0</v>
      </c>
      <c r="I1016" s="50">
        <v>0</v>
      </c>
      <c r="J1016" s="50">
        <v>0</v>
      </c>
      <c r="K1016" s="50">
        <v>0</v>
      </c>
      <c r="L1016" s="50">
        <v>0</v>
      </c>
      <c r="M1016" s="50">
        <v>0</v>
      </c>
      <c r="N1016" s="50">
        <v>0</v>
      </c>
      <c r="O1016" s="50">
        <v>0</v>
      </c>
      <c r="P1016" s="50">
        <v>0</v>
      </c>
      <c r="Q1016" s="50">
        <v>0</v>
      </c>
      <c r="R1016" s="50">
        <v>0</v>
      </c>
    </row>
    <row r="1017" spans="1:18" s="43" customFormat="1" x14ac:dyDescent="0.25">
      <c r="A1017" s="93" t="s">
        <v>396</v>
      </c>
      <c r="B1017" s="96" t="s">
        <v>330</v>
      </c>
      <c r="C1017" s="50"/>
      <c r="D1017" s="50"/>
      <c r="E1017" s="50"/>
      <c r="F1017" s="50">
        <v>1930</v>
      </c>
      <c r="G1017" s="50"/>
      <c r="H1017" s="50"/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</row>
    <row r="1018" spans="1:18" s="43" customFormat="1" x14ac:dyDescent="0.25">
      <c r="A1018" s="93" t="s">
        <v>321</v>
      </c>
      <c r="B1018" s="96" t="s">
        <v>330</v>
      </c>
      <c r="C1018" s="50"/>
      <c r="D1018" s="50"/>
      <c r="E1018" s="50"/>
      <c r="F1018" s="50">
        <v>364</v>
      </c>
      <c r="G1018" s="50"/>
      <c r="H1018" s="50"/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</row>
    <row r="1019" spans="1:18" s="43" customFormat="1" x14ac:dyDescent="0.25">
      <c r="A1019" s="93" t="s">
        <v>659</v>
      </c>
      <c r="B1019" s="96" t="s">
        <v>330</v>
      </c>
      <c r="C1019" s="50"/>
      <c r="D1019" s="50"/>
      <c r="E1019" s="50"/>
      <c r="F1019" s="50"/>
      <c r="G1019" s="172"/>
      <c r="H1019" s="172"/>
      <c r="I1019" s="50"/>
      <c r="J1019" s="50"/>
      <c r="K1019" s="50"/>
      <c r="L1019" s="50"/>
      <c r="M1019" s="50"/>
      <c r="N1019" s="50">
        <v>0</v>
      </c>
      <c r="O1019" s="50"/>
      <c r="P1019" s="50"/>
      <c r="Q1019" s="50"/>
      <c r="R1019" s="50"/>
    </row>
    <row r="1020" spans="1:18" s="43" customFormat="1" x14ac:dyDescent="0.25">
      <c r="A1020" s="93" t="s">
        <v>660</v>
      </c>
      <c r="B1020" s="96" t="s">
        <v>330</v>
      </c>
      <c r="C1020" s="50"/>
      <c r="D1020" s="50"/>
      <c r="E1020" s="50"/>
      <c r="F1020" s="50"/>
      <c r="G1020" s="172"/>
      <c r="H1020" s="172"/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</row>
    <row r="1021" spans="1:18" s="43" customFormat="1" x14ac:dyDescent="0.25">
      <c r="A1021" s="87" t="s">
        <v>322</v>
      </c>
      <c r="B1021" s="96" t="s">
        <v>323</v>
      </c>
      <c r="C1021" s="50"/>
      <c r="D1021" s="50"/>
      <c r="E1021" s="50"/>
      <c r="F1021" s="50"/>
      <c r="G1021" s="50"/>
      <c r="H1021" s="50"/>
      <c r="I1021" s="172"/>
      <c r="J1021" s="50"/>
      <c r="K1021" s="89">
        <v>0</v>
      </c>
      <c r="L1021" s="50"/>
      <c r="M1021" s="50"/>
      <c r="N1021" s="50"/>
      <c r="O1021" s="50"/>
      <c r="P1021" s="89">
        <v>0</v>
      </c>
      <c r="Q1021" s="50"/>
      <c r="R1021" s="50"/>
    </row>
    <row r="1022" spans="1:18" s="43" customFormat="1" x14ac:dyDescent="0.25">
      <c r="A1022" s="87" t="s">
        <v>324</v>
      </c>
      <c r="B1022" s="96" t="s">
        <v>323</v>
      </c>
      <c r="C1022" s="50"/>
      <c r="D1022" s="50"/>
      <c r="E1022" s="50"/>
      <c r="F1022" s="50"/>
      <c r="G1022" s="50"/>
      <c r="H1022" s="50"/>
      <c r="I1022" s="95">
        <v>0</v>
      </c>
      <c r="J1022" s="50"/>
      <c r="K1022" s="50"/>
      <c r="L1022" s="50"/>
      <c r="M1022" s="50"/>
      <c r="N1022" s="50"/>
      <c r="O1022" s="50"/>
      <c r="P1022" s="50"/>
      <c r="Q1022" s="50"/>
      <c r="R1022" s="50"/>
    </row>
    <row r="1023" spans="1:18" x14ac:dyDescent="0.25">
      <c r="A1023" s="41" t="s">
        <v>661</v>
      </c>
      <c r="B1023" s="44"/>
      <c r="C1023" s="50"/>
      <c r="D1023" s="50"/>
      <c r="E1023" s="50"/>
      <c r="F1023" s="50"/>
      <c r="G1023" s="50"/>
      <c r="H1023" s="50"/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</row>
    <row r="1024" spans="1:18" x14ac:dyDescent="0.25">
      <c r="A1024" s="91" t="s">
        <v>662</v>
      </c>
      <c r="B1024" s="163" t="s">
        <v>317</v>
      </c>
      <c r="C1024" s="50">
        <v>0</v>
      </c>
      <c r="D1024" s="50">
        <v>0</v>
      </c>
      <c r="E1024" s="85">
        <v>4836</v>
      </c>
      <c r="F1024" s="50">
        <v>0</v>
      </c>
      <c r="G1024" s="50">
        <v>0</v>
      </c>
      <c r="H1024" s="50">
        <v>0</v>
      </c>
      <c r="I1024" s="50">
        <v>0</v>
      </c>
      <c r="J1024" s="50">
        <v>0</v>
      </c>
      <c r="K1024" s="50">
        <v>0</v>
      </c>
      <c r="L1024" s="50">
        <v>0</v>
      </c>
      <c r="M1024" s="50">
        <v>0</v>
      </c>
      <c r="N1024" s="50"/>
      <c r="O1024" s="50">
        <v>0</v>
      </c>
      <c r="P1024" s="50">
        <v>0</v>
      </c>
      <c r="Q1024" s="50">
        <v>0</v>
      </c>
      <c r="R1024" s="50">
        <v>0</v>
      </c>
    </row>
    <row r="1025" spans="1:18" x14ac:dyDescent="0.25">
      <c r="A1025" s="91" t="s">
        <v>663</v>
      </c>
      <c r="B1025" s="163" t="s">
        <v>317</v>
      </c>
      <c r="C1025" s="50">
        <v>0</v>
      </c>
      <c r="D1025" s="50">
        <v>0</v>
      </c>
      <c r="E1025" s="50">
        <v>0</v>
      </c>
      <c r="F1025" s="85">
        <v>9724</v>
      </c>
      <c r="G1025" s="50">
        <v>0</v>
      </c>
      <c r="H1025" s="50">
        <v>0</v>
      </c>
      <c r="I1025" s="50">
        <v>0</v>
      </c>
      <c r="J1025" s="50">
        <v>0</v>
      </c>
      <c r="K1025" s="50">
        <v>0</v>
      </c>
      <c r="L1025" s="50">
        <v>0</v>
      </c>
      <c r="M1025" s="50">
        <v>0</v>
      </c>
      <c r="N1025" s="50">
        <v>0</v>
      </c>
      <c r="O1025" s="50">
        <v>0</v>
      </c>
      <c r="P1025" s="50">
        <v>0</v>
      </c>
      <c r="Q1025" s="50">
        <v>0</v>
      </c>
      <c r="R1025" s="50">
        <v>0</v>
      </c>
    </row>
    <row r="1026" spans="1:18" x14ac:dyDescent="0.25">
      <c r="A1026" s="91" t="s">
        <v>664</v>
      </c>
      <c r="B1026" s="163" t="s">
        <v>317</v>
      </c>
      <c r="C1026" s="50">
        <v>0</v>
      </c>
      <c r="D1026" s="50">
        <v>0</v>
      </c>
      <c r="E1026" s="50">
        <v>0</v>
      </c>
      <c r="F1026" s="50">
        <v>0</v>
      </c>
      <c r="G1026" s="50">
        <v>0</v>
      </c>
      <c r="H1026" s="50">
        <v>0</v>
      </c>
      <c r="I1026" s="50">
        <v>0</v>
      </c>
      <c r="J1026" s="50">
        <v>0</v>
      </c>
      <c r="K1026" s="50">
        <v>0</v>
      </c>
      <c r="L1026" s="50">
        <v>0</v>
      </c>
      <c r="M1026" s="50">
        <v>0</v>
      </c>
      <c r="N1026" s="50">
        <v>0</v>
      </c>
      <c r="O1026" s="50">
        <v>0</v>
      </c>
      <c r="P1026" s="50">
        <v>0</v>
      </c>
      <c r="Q1026" s="50">
        <v>0</v>
      </c>
      <c r="R1026" s="50">
        <v>0</v>
      </c>
    </row>
    <row r="1027" spans="1:18" x14ac:dyDescent="0.25">
      <c r="A1027" s="91" t="s">
        <v>326</v>
      </c>
      <c r="B1027" s="163" t="s">
        <v>317</v>
      </c>
      <c r="C1027" s="50">
        <v>0</v>
      </c>
      <c r="D1027" s="50">
        <v>0</v>
      </c>
      <c r="E1027" s="50">
        <v>0</v>
      </c>
      <c r="F1027" s="50">
        <v>0</v>
      </c>
      <c r="G1027" s="50">
        <v>0</v>
      </c>
      <c r="H1027" s="50">
        <v>0</v>
      </c>
      <c r="I1027" s="50">
        <v>0</v>
      </c>
      <c r="J1027" s="50">
        <v>0</v>
      </c>
      <c r="K1027" s="50">
        <v>0</v>
      </c>
      <c r="L1027" s="50">
        <v>0</v>
      </c>
      <c r="M1027" s="50">
        <v>0</v>
      </c>
      <c r="N1027" s="50">
        <v>0</v>
      </c>
      <c r="O1027" s="50">
        <v>0</v>
      </c>
      <c r="P1027" s="50">
        <v>0</v>
      </c>
      <c r="Q1027" s="50">
        <v>0</v>
      </c>
      <c r="R1027" s="50">
        <v>0</v>
      </c>
    </row>
    <row r="1028" spans="1:18" x14ac:dyDescent="0.25">
      <c r="A1028" s="91" t="s">
        <v>665</v>
      </c>
      <c r="B1028" s="163" t="s">
        <v>317</v>
      </c>
      <c r="C1028" s="50">
        <v>0</v>
      </c>
      <c r="D1028" s="50">
        <v>0</v>
      </c>
      <c r="E1028" s="85">
        <v>0</v>
      </c>
      <c r="F1028" s="50">
        <v>6608</v>
      </c>
      <c r="G1028" s="50">
        <v>0</v>
      </c>
      <c r="H1028" s="50">
        <v>0</v>
      </c>
      <c r="I1028" s="50">
        <v>0</v>
      </c>
      <c r="J1028" s="50">
        <v>0</v>
      </c>
      <c r="K1028" s="50">
        <v>0</v>
      </c>
      <c r="L1028" s="50">
        <v>0</v>
      </c>
      <c r="M1028" s="50">
        <v>0</v>
      </c>
      <c r="N1028" s="50"/>
      <c r="O1028" s="50">
        <v>0</v>
      </c>
      <c r="P1028" s="50">
        <v>0</v>
      </c>
      <c r="Q1028" s="50">
        <v>0</v>
      </c>
      <c r="R1028" s="50">
        <v>0</v>
      </c>
    </row>
    <row r="1029" spans="1:18" x14ac:dyDescent="0.25">
      <c r="A1029" s="91" t="s">
        <v>666</v>
      </c>
      <c r="B1029" s="163" t="s">
        <v>317</v>
      </c>
      <c r="C1029" s="54">
        <v>9458</v>
      </c>
      <c r="D1029" s="50"/>
      <c r="E1029" s="50"/>
      <c r="F1029" s="50"/>
      <c r="G1029" s="50"/>
      <c r="H1029" s="50"/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</row>
    <row r="1030" spans="1:18" x14ac:dyDescent="0.25">
      <c r="A1030" s="137" t="s">
        <v>667</v>
      </c>
      <c r="B1030" s="163" t="s">
        <v>317</v>
      </c>
      <c r="C1030" s="54"/>
      <c r="D1030" s="85">
        <v>2867</v>
      </c>
      <c r="E1030" s="50"/>
      <c r="F1030" s="50"/>
      <c r="G1030" s="50"/>
      <c r="H1030" s="50"/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</row>
    <row r="1031" spans="1:18" x14ac:dyDescent="0.25">
      <c r="A1031" s="93" t="s">
        <v>668</v>
      </c>
      <c r="B1031" s="96" t="s">
        <v>330</v>
      </c>
      <c r="C1031" s="50"/>
      <c r="D1031" s="50"/>
      <c r="E1031" s="50"/>
      <c r="F1031" s="50"/>
      <c r="G1031" s="50"/>
      <c r="H1031" s="50"/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</row>
    <row r="1032" spans="1:18" x14ac:dyDescent="0.25">
      <c r="A1032" s="93" t="s">
        <v>669</v>
      </c>
      <c r="B1032" s="96" t="s">
        <v>330</v>
      </c>
      <c r="C1032" s="54">
        <v>2200</v>
      </c>
      <c r="D1032" s="50"/>
      <c r="E1032" s="50"/>
      <c r="F1032" s="50"/>
      <c r="G1032" s="50"/>
      <c r="H1032" s="50"/>
      <c r="I1032" s="50"/>
      <c r="J1032" s="50"/>
      <c r="K1032" s="50"/>
      <c r="L1032" s="50"/>
      <c r="M1032" s="50"/>
      <c r="N1032" s="67"/>
    </row>
    <row r="1033" spans="1:18" x14ac:dyDescent="0.25">
      <c r="A1033" s="93" t="s">
        <v>670</v>
      </c>
      <c r="B1033" s="96" t="s">
        <v>330</v>
      </c>
      <c r="C1033" s="50"/>
      <c r="D1033" s="50"/>
      <c r="E1033" s="50"/>
      <c r="F1033" s="50"/>
      <c r="G1033" s="50"/>
      <c r="H1033" s="50"/>
      <c r="I1033" s="50"/>
      <c r="J1033" s="50"/>
      <c r="K1033" s="50"/>
      <c r="L1033" s="50"/>
      <c r="M1033" s="50"/>
      <c r="N1033" s="50">
        <v>0</v>
      </c>
      <c r="O1033" s="50"/>
      <c r="P1033" s="50"/>
      <c r="Q1033" s="50"/>
      <c r="R1033" s="50"/>
    </row>
    <row r="1034" spans="1:18" x14ac:dyDescent="0.25">
      <c r="A1034" s="87" t="s">
        <v>322</v>
      </c>
      <c r="B1034" s="96" t="s">
        <v>323</v>
      </c>
      <c r="C1034" s="50"/>
      <c r="D1034" s="50"/>
      <c r="E1034" s="50"/>
      <c r="F1034" s="50"/>
      <c r="G1034" s="50"/>
      <c r="H1034" s="50"/>
      <c r="I1034" s="50"/>
      <c r="J1034" s="50"/>
      <c r="K1034" s="50"/>
      <c r="L1034" s="50"/>
      <c r="M1034" s="50"/>
      <c r="N1034" s="50"/>
      <c r="O1034" s="50"/>
      <c r="P1034" s="89">
        <v>0</v>
      </c>
      <c r="Q1034" s="50"/>
      <c r="R1034" s="50"/>
    </row>
    <row r="1035" spans="1:18" x14ac:dyDescent="0.25">
      <c r="A1035" s="87" t="s">
        <v>324</v>
      </c>
      <c r="B1035" s="96" t="s">
        <v>323</v>
      </c>
      <c r="C1035" s="50"/>
      <c r="D1035" s="50"/>
      <c r="E1035" s="50"/>
      <c r="F1035" s="50"/>
      <c r="G1035" s="50"/>
      <c r="H1035" s="50"/>
      <c r="I1035" s="50"/>
      <c r="J1035" s="50"/>
      <c r="K1035" s="50"/>
      <c r="L1035" s="50"/>
      <c r="M1035" s="89">
        <v>0</v>
      </c>
      <c r="N1035" s="50"/>
      <c r="O1035" s="50"/>
      <c r="P1035" s="89">
        <v>0</v>
      </c>
      <c r="Q1035" s="50"/>
      <c r="R1035" s="50"/>
    </row>
    <row r="1036" spans="1:18" x14ac:dyDescent="0.25">
      <c r="A1036" s="41" t="s">
        <v>671</v>
      </c>
      <c r="B1036" s="44"/>
      <c r="C1036" s="50"/>
      <c r="D1036" s="50"/>
      <c r="E1036" s="50"/>
      <c r="F1036" s="50"/>
      <c r="G1036" s="50"/>
      <c r="H1036" s="50"/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</row>
    <row r="1037" spans="1:18" x14ac:dyDescent="0.25">
      <c r="A1037" s="91" t="s">
        <v>672</v>
      </c>
      <c r="B1037" s="163" t="s">
        <v>317</v>
      </c>
      <c r="C1037" s="50">
        <v>0</v>
      </c>
      <c r="D1037" s="50">
        <v>0</v>
      </c>
      <c r="E1037" s="50">
        <v>0</v>
      </c>
      <c r="F1037" s="50">
        <v>0</v>
      </c>
      <c r="G1037" s="50">
        <v>0</v>
      </c>
      <c r="H1037" s="50">
        <v>0</v>
      </c>
      <c r="I1037" s="50">
        <v>0</v>
      </c>
      <c r="J1037" s="50">
        <v>0</v>
      </c>
      <c r="K1037" s="50">
        <v>0</v>
      </c>
      <c r="L1037" s="50">
        <v>0</v>
      </c>
      <c r="M1037" s="50">
        <v>0</v>
      </c>
      <c r="N1037" s="50">
        <v>0</v>
      </c>
      <c r="O1037" s="50">
        <v>0</v>
      </c>
      <c r="P1037" s="50">
        <v>0</v>
      </c>
      <c r="Q1037" s="50">
        <v>0</v>
      </c>
      <c r="R1037" s="50">
        <v>0</v>
      </c>
    </row>
    <row r="1038" spans="1:18" x14ac:dyDescent="0.25">
      <c r="A1038" s="91" t="s">
        <v>673</v>
      </c>
      <c r="B1038" s="163" t="s">
        <v>317</v>
      </c>
      <c r="C1038" s="50">
        <v>0</v>
      </c>
      <c r="D1038" s="50">
        <v>0</v>
      </c>
      <c r="E1038" s="50">
        <v>0</v>
      </c>
      <c r="F1038" s="50">
        <v>0</v>
      </c>
      <c r="G1038" s="50">
        <v>0</v>
      </c>
      <c r="H1038" s="50">
        <v>0</v>
      </c>
      <c r="I1038" s="50">
        <v>0</v>
      </c>
      <c r="J1038" s="50">
        <v>0</v>
      </c>
      <c r="K1038" s="50">
        <v>0</v>
      </c>
      <c r="L1038" s="50">
        <v>0</v>
      </c>
      <c r="M1038" s="50">
        <v>0</v>
      </c>
      <c r="N1038" s="50">
        <v>0</v>
      </c>
      <c r="O1038" s="50">
        <v>0</v>
      </c>
      <c r="P1038" s="50">
        <v>0</v>
      </c>
      <c r="Q1038" s="50">
        <v>0</v>
      </c>
      <c r="R1038" s="50">
        <v>0</v>
      </c>
    </row>
    <row r="1039" spans="1:18" x14ac:dyDescent="0.25">
      <c r="A1039" s="91" t="s">
        <v>674</v>
      </c>
      <c r="B1039" s="163"/>
      <c r="C1039" s="54">
        <v>8500</v>
      </c>
      <c r="D1039" s="50">
        <v>15500</v>
      </c>
      <c r="E1039" s="50"/>
      <c r="F1039" s="50"/>
      <c r="G1039" s="50"/>
      <c r="H1039" s="50"/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</row>
    <row r="1040" spans="1:18" s="43" customFormat="1" x14ac:dyDescent="0.25">
      <c r="A1040" s="91" t="s">
        <v>675</v>
      </c>
      <c r="B1040" s="53"/>
      <c r="C1040" s="59"/>
      <c r="D1040" s="50"/>
      <c r="E1040" s="50"/>
      <c r="F1040" s="50"/>
      <c r="G1040" s="50"/>
      <c r="H1040" s="50"/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</row>
    <row r="1041" spans="1:18" s="43" customFormat="1" x14ac:dyDescent="0.25">
      <c r="A1041" s="91" t="s">
        <v>676</v>
      </c>
      <c r="B1041" s="53"/>
      <c r="C1041" s="59">
        <v>62413</v>
      </c>
      <c r="D1041" s="50"/>
      <c r="E1041" s="50"/>
      <c r="F1041" s="50"/>
      <c r="G1041" s="50"/>
      <c r="H1041" s="50"/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</row>
    <row r="1042" spans="1:18" x14ac:dyDescent="0.25">
      <c r="A1042" s="91" t="s">
        <v>677</v>
      </c>
      <c r="B1042" s="163" t="s">
        <v>317</v>
      </c>
      <c r="C1042" s="50"/>
      <c r="D1042" s="50"/>
      <c r="E1042" s="50"/>
      <c r="F1042" s="50"/>
      <c r="G1042" s="50"/>
      <c r="H1042" s="50"/>
      <c r="I1042" s="50"/>
      <c r="J1042" s="50"/>
      <c r="K1042" s="50"/>
      <c r="L1042" s="50"/>
      <c r="M1042" s="50"/>
      <c r="N1042" s="50"/>
    </row>
    <row r="1043" spans="1:18" x14ac:dyDescent="0.25">
      <c r="A1043" s="91" t="s">
        <v>678</v>
      </c>
      <c r="B1043" s="163" t="s">
        <v>317</v>
      </c>
      <c r="C1043" s="50"/>
      <c r="D1043" s="50"/>
      <c r="E1043" s="50"/>
      <c r="F1043" s="50"/>
      <c r="G1043" s="50"/>
      <c r="H1043" s="50"/>
      <c r="I1043" s="50"/>
      <c r="J1043" s="50"/>
      <c r="K1043" s="50"/>
      <c r="L1043" s="50"/>
      <c r="M1043" s="50"/>
      <c r="N1043" s="50"/>
    </row>
    <row r="1044" spans="1:18" x14ac:dyDescent="0.25">
      <c r="A1044" s="91" t="s">
        <v>679</v>
      </c>
      <c r="B1044" s="163" t="s">
        <v>317</v>
      </c>
      <c r="C1044" s="50"/>
      <c r="D1044" s="85">
        <v>19660</v>
      </c>
      <c r="E1044" s="83">
        <v>54986</v>
      </c>
      <c r="F1044" s="83">
        <v>29747</v>
      </c>
      <c r="G1044" s="85">
        <v>5000</v>
      </c>
      <c r="H1044" s="85">
        <v>373418</v>
      </c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</row>
    <row r="1045" spans="1:18" x14ac:dyDescent="0.25">
      <c r="A1045" s="91" t="s">
        <v>680</v>
      </c>
      <c r="B1045" s="163" t="s">
        <v>317</v>
      </c>
      <c r="C1045" s="50">
        <v>22011</v>
      </c>
      <c r="D1045" s="50"/>
      <c r="E1045" s="50"/>
      <c r="F1045" s="50"/>
      <c r="G1045" s="50"/>
      <c r="H1045" s="50"/>
      <c r="I1045" s="50"/>
      <c r="J1045" s="50"/>
      <c r="K1045" s="50"/>
      <c r="L1045" s="50"/>
      <c r="M1045" s="50"/>
      <c r="N1045" s="50"/>
      <c r="O1045" s="50">
        <v>0</v>
      </c>
      <c r="P1045" s="50">
        <v>0</v>
      </c>
      <c r="Q1045" s="50">
        <v>0</v>
      </c>
      <c r="R1045" s="50">
        <v>0</v>
      </c>
    </row>
    <row r="1046" spans="1:18" x14ac:dyDescent="0.25">
      <c r="A1046" s="91" t="s">
        <v>681</v>
      </c>
      <c r="B1046" s="163" t="s">
        <v>317</v>
      </c>
      <c r="C1046" s="50"/>
      <c r="D1046" s="50"/>
      <c r="E1046" s="50"/>
      <c r="F1046" s="85">
        <v>0</v>
      </c>
      <c r="G1046" s="85">
        <v>12418</v>
      </c>
      <c r="H1046" s="50"/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</row>
    <row r="1047" spans="1:18" x14ac:dyDescent="0.25">
      <c r="A1047" s="52" t="s">
        <v>682</v>
      </c>
      <c r="B1047" s="53"/>
      <c r="C1047" s="50"/>
      <c r="D1047" s="50"/>
      <c r="E1047" s="50"/>
      <c r="F1047" s="50"/>
      <c r="G1047" s="50"/>
      <c r="H1047" s="50"/>
      <c r="I1047" s="50"/>
      <c r="J1047" s="50"/>
      <c r="K1047" s="50"/>
      <c r="L1047" s="50"/>
      <c r="M1047" s="50"/>
      <c r="N1047" s="50"/>
    </row>
    <row r="1048" spans="1:18" x14ac:dyDescent="0.25">
      <c r="A1048" s="52" t="s">
        <v>683</v>
      </c>
      <c r="B1048" s="53"/>
      <c r="C1048" s="50">
        <v>7753</v>
      </c>
      <c r="D1048" s="50"/>
      <c r="E1048" s="50"/>
      <c r="F1048" s="50"/>
      <c r="G1048" s="50"/>
      <c r="H1048" s="50"/>
      <c r="I1048" s="50"/>
      <c r="J1048" s="50"/>
      <c r="K1048" s="50"/>
      <c r="L1048" s="50"/>
      <c r="M1048" s="50"/>
      <c r="N1048" s="50"/>
    </row>
    <row r="1049" spans="1:18" x14ac:dyDescent="0.25">
      <c r="A1049" s="93" t="s">
        <v>684</v>
      </c>
      <c r="B1049" s="96" t="s">
        <v>330</v>
      </c>
      <c r="C1049" s="50"/>
      <c r="D1049" s="50"/>
      <c r="E1049" s="50"/>
      <c r="F1049" s="50"/>
      <c r="G1049" s="50"/>
      <c r="H1049" s="50"/>
      <c r="I1049" s="50"/>
      <c r="J1049" s="50"/>
      <c r="K1049" s="50"/>
      <c r="L1049" s="50"/>
      <c r="M1049" s="50"/>
      <c r="N1049" s="50"/>
    </row>
    <row r="1050" spans="1:18" x14ac:dyDescent="0.25">
      <c r="A1050" s="93" t="s">
        <v>685</v>
      </c>
      <c r="B1050" s="96" t="s">
        <v>330</v>
      </c>
      <c r="C1050" s="50"/>
      <c r="D1050" s="50"/>
      <c r="E1050" s="50"/>
      <c r="F1050" s="50"/>
      <c r="G1050" s="50"/>
      <c r="H1050" s="50"/>
      <c r="I1050" s="50"/>
      <c r="J1050" s="50"/>
      <c r="K1050" s="50"/>
      <c r="L1050" s="50"/>
      <c r="M1050" s="50"/>
      <c r="N1050" s="50"/>
    </row>
    <row r="1051" spans="1:18" x14ac:dyDescent="0.25">
      <c r="A1051" s="93" t="s">
        <v>686</v>
      </c>
      <c r="B1051" s="96" t="s">
        <v>330</v>
      </c>
      <c r="C1051" s="50"/>
      <c r="D1051" s="50"/>
      <c r="E1051" s="50"/>
      <c r="F1051" s="50"/>
      <c r="G1051" s="50"/>
      <c r="H1051" s="50"/>
      <c r="I1051" s="50"/>
      <c r="J1051" s="50"/>
      <c r="K1051" s="50"/>
      <c r="L1051" s="50"/>
      <c r="M1051" s="50"/>
      <c r="N1051" s="50">
        <v>0</v>
      </c>
    </row>
    <row r="1052" spans="1:18" x14ac:dyDescent="0.25">
      <c r="A1052" s="93" t="s">
        <v>687</v>
      </c>
      <c r="B1052" s="96" t="s">
        <v>330</v>
      </c>
      <c r="C1052" s="50"/>
      <c r="D1052" s="50"/>
      <c r="E1052" s="50"/>
      <c r="F1052" s="50"/>
      <c r="G1052" s="50"/>
      <c r="H1052" s="50"/>
      <c r="I1052" s="50"/>
      <c r="J1052" s="50"/>
      <c r="K1052" s="50"/>
      <c r="L1052" s="50"/>
      <c r="M1052" s="50"/>
      <c r="N1052" s="50">
        <v>0</v>
      </c>
    </row>
    <row r="1053" spans="1:18" x14ac:dyDescent="0.25">
      <c r="A1053" s="93" t="s">
        <v>688</v>
      </c>
      <c r="B1053" s="96" t="s">
        <v>330</v>
      </c>
      <c r="C1053" s="50"/>
      <c r="D1053" s="50"/>
      <c r="E1053" s="50"/>
      <c r="F1053" s="50"/>
      <c r="G1053" s="50"/>
      <c r="H1053" s="50"/>
      <c r="I1053" s="50"/>
      <c r="J1053" s="50"/>
      <c r="K1053" s="50"/>
      <c r="L1053" s="50"/>
      <c r="M1053" s="50"/>
      <c r="N1053" s="50"/>
    </row>
    <row r="1054" spans="1:18" x14ac:dyDescent="0.25">
      <c r="A1054" s="93" t="s">
        <v>355</v>
      </c>
      <c r="B1054" s="96" t="s">
        <v>330</v>
      </c>
      <c r="C1054" s="50"/>
      <c r="D1054" s="50"/>
      <c r="E1054" s="50"/>
      <c r="F1054" s="50"/>
      <c r="G1054" s="50"/>
      <c r="H1054" s="50"/>
      <c r="I1054" s="50"/>
      <c r="J1054" s="50"/>
      <c r="K1054" s="50"/>
      <c r="L1054" s="50"/>
      <c r="M1054" s="50"/>
      <c r="N1054" s="50">
        <v>0</v>
      </c>
    </row>
    <row r="1055" spans="1:18" x14ac:dyDescent="0.25">
      <c r="A1055" s="87" t="s">
        <v>322</v>
      </c>
      <c r="B1055" s="96" t="s">
        <v>323</v>
      </c>
      <c r="C1055" s="50"/>
      <c r="D1055" s="50"/>
      <c r="E1055" s="50"/>
      <c r="F1055" s="50"/>
      <c r="G1055" s="50"/>
      <c r="H1055" s="50"/>
      <c r="I1055" s="50"/>
      <c r="J1055" s="50"/>
      <c r="K1055" s="50"/>
      <c r="L1055" s="89">
        <v>0</v>
      </c>
      <c r="M1055" s="50"/>
      <c r="N1055" s="50"/>
      <c r="O1055" s="50"/>
    </row>
    <row r="1056" spans="1:18" x14ac:dyDescent="0.25">
      <c r="A1056" s="87" t="s">
        <v>324</v>
      </c>
      <c r="B1056" s="96" t="s">
        <v>323</v>
      </c>
      <c r="C1056" s="50"/>
      <c r="D1056" s="50"/>
      <c r="E1056" s="50"/>
      <c r="F1056" s="50"/>
      <c r="G1056" s="50"/>
      <c r="H1056" s="50"/>
      <c r="I1056" s="50"/>
      <c r="J1056" s="50"/>
      <c r="K1056" s="50"/>
      <c r="L1056" s="50"/>
      <c r="M1056" s="89">
        <v>0</v>
      </c>
      <c r="N1056" s="50"/>
      <c r="O1056" s="50"/>
    </row>
    <row r="1057" spans="1:18" x14ac:dyDescent="0.25">
      <c r="A1057" s="87" t="s">
        <v>355</v>
      </c>
      <c r="B1057" s="96" t="s">
        <v>323</v>
      </c>
      <c r="C1057" s="50"/>
      <c r="D1057" s="50"/>
      <c r="E1057" s="50"/>
      <c r="F1057" s="50"/>
      <c r="G1057" s="50"/>
      <c r="H1057" s="50"/>
      <c r="I1057" s="50"/>
      <c r="J1057" s="50"/>
      <c r="K1057" s="50"/>
      <c r="L1057" s="50"/>
      <c r="M1057" s="50"/>
      <c r="N1057" s="50"/>
      <c r="O1057" s="50"/>
    </row>
    <row r="1058" spans="1:18" s="43" customFormat="1" x14ac:dyDescent="0.25">
      <c r="A1058" s="173" t="s">
        <v>689</v>
      </c>
      <c r="B1058" s="62" t="s">
        <v>245</v>
      </c>
      <c r="C1058" s="50"/>
      <c r="D1058" s="50"/>
      <c r="E1058" s="50"/>
      <c r="F1058" s="50"/>
      <c r="G1058" s="50"/>
      <c r="H1058" s="63">
        <v>50000</v>
      </c>
      <c r="I1058" s="50"/>
      <c r="J1058" s="50"/>
      <c r="K1058" s="50"/>
      <c r="L1058" s="50"/>
      <c r="M1058" s="50"/>
      <c r="N1058" s="50"/>
      <c r="O1058" s="50"/>
    </row>
    <row r="1059" spans="1:18" s="43" customFormat="1" x14ac:dyDescent="0.25">
      <c r="A1059" s="174" t="s">
        <v>690</v>
      </c>
      <c r="B1059" s="175" t="s">
        <v>691</v>
      </c>
      <c r="C1059" s="50"/>
      <c r="D1059" s="50"/>
      <c r="E1059" s="176">
        <v>1900</v>
      </c>
      <c r="F1059" s="50"/>
      <c r="G1059" s="50"/>
      <c r="H1059" s="50"/>
      <c r="I1059" s="176">
        <v>72500</v>
      </c>
      <c r="J1059" s="176">
        <v>75000</v>
      </c>
      <c r="K1059" s="176">
        <v>62500</v>
      </c>
      <c r="L1059" s="176">
        <v>52500</v>
      </c>
      <c r="M1059" s="176">
        <v>45000</v>
      </c>
      <c r="N1059" s="177">
        <v>82500</v>
      </c>
      <c r="O1059" s="177">
        <v>82500</v>
      </c>
      <c r="P1059" s="177">
        <v>82500</v>
      </c>
      <c r="Q1059" s="177">
        <v>82500</v>
      </c>
      <c r="R1059" s="177">
        <v>82500</v>
      </c>
    </row>
    <row r="1060" spans="1:18" s="43" customFormat="1" x14ac:dyDescent="0.25">
      <c r="A1060" s="178" t="s">
        <v>692</v>
      </c>
      <c r="B1060" s="53"/>
      <c r="C1060" s="50"/>
      <c r="D1060" s="50"/>
      <c r="E1060" s="50"/>
      <c r="F1060" s="50"/>
      <c r="G1060" s="50"/>
      <c r="H1060" s="50"/>
      <c r="I1060" s="50"/>
      <c r="J1060" s="50"/>
      <c r="K1060" s="50"/>
      <c r="L1060" s="50"/>
      <c r="M1060" s="50"/>
      <c r="N1060" s="50"/>
      <c r="O1060" s="50"/>
    </row>
    <row r="1061" spans="1:18" s="43" customFormat="1" x14ac:dyDescent="0.25">
      <c r="A1061" s="87" t="s">
        <v>693</v>
      </c>
      <c r="B1061" s="96" t="s">
        <v>323</v>
      </c>
      <c r="C1061" s="50"/>
      <c r="D1061" s="50"/>
      <c r="E1061" s="50"/>
      <c r="F1061" s="50"/>
      <c r="G1061" s="50"/>
      <c r="H1061" s="50"/>
      <c r="I1061" s="89">
        <v>0</v>
      </c>
      <c r="J1061" s="50"/>
      <c r="K1061" s="50"/>
      <c r="L1061" s="50"/>
      <c r="M1061" s="50"/>
      <c r="N1061" s="50"/>
      <c r="O1061" s="50"/>
    </row>
    <row r="1062" spans="1:18" s="43" customFormat="1" x14ac:dyDescent="0.25">
      <c r="A1062" s="179"/>
      <c r="B1062" s="53"/>
      <c r="C1062" s="50"/>
      <c r="D1062" s="50"/>
      <c r="E1062" s="50"/>
      <c r="F1062" s="50"/>
      <c r="G1062" s="50"/>
      <c r="H1062" s="50"/>
      <c r="I1062" s="50"/>
      <c r="J1062" s="50"/>
      <c r="K1062" s="50"/>
      <c r="L1062" s="50"/>
      <c r="M1062" s="50"/>
      <c r="N1062" s="50"/>
      <c r="O1062" s="50"/>
    </row>
    <row r="1063" spans="1:18" x14ac:dyDescent="0.25">
      <c r="A1063" s="52"/>
      <c r="B1063" s="53"/>
      <c r="C1063" s="50"/>
      <c r="D1063" s="50"/>
      <c r="E1063" s="50"/>
      <c r="F1063" s="50"/>
      <c r="G1063" s="50"/>
      <c r="H1063" s="50"/>
      <c r="I1063" s="50"/>
      <c r="J1063" s="50"/>
      <c r="K1063" s="50"/>
      <c r="L1063" s="50"/>
      <c r="M1063" s="50"/>
      <c r="N1063" s="50"/>
      <c r="O1063" s="50"/>
    </row>
    <row r="1064" spans="1:18" x14ac:dyDescent="0.25">
      <c r="A1064" s="41" t="s">
        <v>107</v>
      </c>
      <c r="B1064" s="44"/>
      <c r="C1064" s="51">
        <f t="shared" ref="C1064:R1064" si="552">SUM(C1013:C1063)</f>
        <v>112335</v>
      </c>
      <c r="D1064" s="51">
        <f t="shared" si="552"/>
        <v>38027</v>
      </c>
      <c r="E1064" s="51">
        <f t="shared" si="552"/>
        <v>75004</v>
      </c>
      <c r="F1064" s="51">
        <f t="shared" si="552"/>
        <v>74918</v>
      </c>
      <c r="G1064" s="51">
        <f t="shared" si="552"/>
        <v>17418</v>
      </c>
      <c r="H1064" s="51">
        <f t="shared" si="552"/>
        <v>423418</v>
      </c>
      <c r="I1064" s="51">
        <f t="shared" si="552"/>
        <v>72500</v>
      </c>
      <c r="J1064" s="51">
        <f t="shared" si="552"/>
        <v>75000</v>
      </c>
      <c r="K1064" s="51">
        <f t="shared" si="552"/>
        <v>62500</v>
      </c>
      <c r="L1064" s="51">
        <f t="shared" si="552"/>
        <v>52500</v>
      </c>
      <c r="M1064" s="51">
        <f t="shared" si="552"/>
        <v>45000</v>
      </c>
      <c r="N1064" s="51">
        <f t="shared" si="552"/>
        <v>82500</v>
      </c>
      <c r="O1064" s="51">
        <f t="shared" si="552"/>
        <v>82500</v>
      </c>
      <c r="P1064" s="51">
        <f t="shared" si="552"/>
        <v>82500</v>
      </c>
      <c r="Q1064" s="51">
        <f t="shared" si="552"/>
        <v>82500</v>
      </c>
      <c r="R1064" s="51">
        <f t="shared" si="552"/>
        <v>82500</v>
      </c>
    </row>
    <row r="1065" spans="1:18" x14ac:dyDescent="0.25">
      <c r="A1065" s="41"/>
      <c r="B1065" s="44"/>
      <c r="C1065" s="50"/>
      <c r="D1065" s="50"/>
      <c r="E1065" s="50"/>
      <c r="F1065" s="50"/>
      <c r="G1065" s="50"/>
      <c r="H1065" s="50"/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</row>
    <row r="1066" spans="1:18" x14ac:dyDescent="0.25">
      <c r="A1066" s="41" t="s">
        <v>694</v>
      </c>
      <c r="B1066" s="44"/>
      <c r="C1066" s="51">
        <f t="shared" ref="C1066:R1066" si="553">C1064+C1003-C977-C1009</f>
        <v>284138</v>
      </c>
      <c r="D1066" s="51">
        <f t="shared" si="553"/>
        <v>234595</v>
      </c>
      <c r="E1066" s="51">
        <f t="shared" si="553"/>
        <v>282427</v>
      </c>
      <c r="F1066" s="51">
        <f t="shared" si="553"/>
        <v>302771</v>
      </c>
      <c r="G1066" s="51">
        <f t="shared" si="553"/>
        <v>235158</v>
      </c>
      <c r="H1066" s="51">
        <f t="shared" si="553"/>
        <v>444268</v>
      </c>
      <c r="I1066" s="51">
        <f t="shared" si="553"/>
        <v>145627.25000000006</v>
      </c>
      <c r="J1066" s="51">
        <f t="shared" si="553"/>
        <v>150908.83875000011</v>
      </c>
      <c r="K1066" s="51">
        <f t="shared" si="553"/>
        <v>141198.98960375006</v>
      </c>
      <c r="L1066" s="51">
        <f t="shared" si="553"/>
        <v>135092.42928822379</v>
      </c>
      <c r="M1066" s="51">
        <f t="shared" si="553"/>
        <v>130897.55245721631</v>
      </c>
      <c r="N1066" s="51">
        <f t="shared" si="553"/>
        <v>171519.11196433136</v>
      </c>
      <c r="O1066" s="51">
        <f t="shared" si="553"/>
        <v>175125.27778091747</v>
      </c>
      <c r="P1066" s="51">
        <f t="shared" si="553"/>
        <v>178871.56288504653</v>
      </c>
      <c r="Q1066" s="51">
        <f t="shared" si="553"/>
        <v>182776.43117370189</v>
      </c>
      <c r="R1066" s="51">
        <f t="shared" si="553"/>
        <v>185425.08093581913</v>
      </c>
    </row>
    <row r="1067" spans="1:18" x14ac:dyDescent="0.25">
      <c r="A1067" s="41"/>
      <c r="B1067" s="44"/>
      <c r="C1067" s="50"/>
      <c r="D1067" s="50"/>
      <c r="E1067" s="50"/>
      <c r="F1067" s="50"/>
      <c r="G1067" s="50"/>
      <c r="H1067" s="50"/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</row>
    <row r="1068" spans="1:18" x14ac:dyDescent="0.25">
      <c r="A1068" s="41" t="s">
        <v>695</v>
      </c>
      <c r="B1068" s="44"/>
      <c r="C1068" s="50"/>
      <c r="D1068" s="50"/>
      <c r="E1068" s="50"/>
      <c r="F1068" s="50"/>
      <c r="G1068" s="50"/>
      <c r="H1068" s="50"/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</row>
    <row r="1069" spans="1:18" x14ac:dyDescent="0.25">
      <c r="A1069" s="41"/>
      <c r="B1069" s="44"/>
      <c r="C1069" s="50"/>
      <c r="D1069" s="50"/>
      <c r="E1069" s="50"/>
      <c r="F1069" s="50"/>
      <c r="G1069" s="50"/>
      <c r="H1069" s="50"/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</row>
    <row r="1070" spans="1:18" x14ac:dyDescent="0.25">
      <c r="A1070" s="41" t="s">
        <v>202</v>
      </c>
      <c r="B1070" s="44"/>
      <c r="C1070" s="50"/>
      <c r="D1070" s="50"/>
      <c r="E1070" s="50"/>
      <c r="F1070" s="50"/>
      <c r="G1070" s="50"/>
      <c r="H1070" s="50"/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</row>
    <row r="1071" spans="1:18" x14ac:dyDescent="0.25">
      <c r="C1071" s="50"/>
      <c r="D1071" s="50"/>
      <c r="E1071" s="50"/>
      <c r="F1071" s="50"/>
      <c r="G1071" s="50"/>
      <c r="H1071" s="50"/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</row>
    <row r="1072" spans="1:18" x14ac:dyDescent="0.25">
      <c r="A1072" s="52" t="s">
        <v>696</v>
      </c>
      <c r="B1072" s="53"/>
      <c r="C1072" s="52">
        <v>1142</v>
      </c>
      <c r="D1072" s="54">
        <v>91</v>
      </c>
      <c r="E1072" s="54">
        <v>132</v>
      </c>
      <c r="F1072" s="54">
        <v>164</v>
      </c>
      <c r="G1072" s="54">
        <v>91</v>
      </c>
      <c r="H1072" s="54">
        <v>200</v>
      </c>
      <c r="I1072" s="54">
        <f>H1072*1.023</f>
        <v>204.6</v>
      </c>
      <c r="J1072" s="54">
        <f t="shared" ref="J1072:K1072" si="554">I1072*1.024</f>
        <v>209.5104</v>
      </c>
      <c r="K1072" s="54">
        <f t="shared" si="554"/>
        <v>214.53864960000001</v>
      </c>
      <c r="L1072" s="54">
        <f t="shared" ref="L1072" si="555">K1072*1.023</f>
        <v>219.47303854079999</v>
      </c>
      <c r="M1072" s="54">
        <f t="shared" ref="M1072" si="556">L1072*1.022</f>
        <v>224.3014453886976</v>
      </c>
      <c r="N1072" s="54">
        <f t="shared" ref="N1072" si="557">M1072*1.023</f>
        <v>229.46037863263763</v>
      </c>
      <c r="O1072" s="54">
        <f t="shared" ref="O1072:P1072" si="558">N1072*1.025</f>
        <v>235.19688809845354</v>
      </c>
      <c r="P1072" s="54">
        <f t="shared" si="558"/>
        <v>241.07681030091487</v>
      </c>
      <c r="Q1072" s="54">
        <f t="shared" ref="Q1072:R1072" si="559">P1072*1.024</f>
        <v>246.86265374813684</v>
      </c>
      <c r="R1072" s="54">
        <f t="shared" si="559"/>
        <v>252.78735743809213</v>
      </c>
    </row>
    <row r="1073" spans="1:18" x14ac:dyDescent="0.25">
      <c r="A1073" s="43" t="s">
        <v>697</v>
      </c>
      <c r="B1073" s="53"/>
      <c r="C1073" s="52">
        <v>0</v>
      </c>
      <c r="D1073" s="54"/>
      <c r="E1073" s="54"/>
      <c r="F1073" s="54"/>
      <c r="G1073" s="54"/>
      <c r="H1073" s="54"/>
      <c r="I1073" s="54"/>
      <c r="J1073" s="54"/>
      <c r="K1073" s="54"/>
      <c r="L1073" s="54"/>
      <c r="M1073" s="54"/>
      <c r="N1073" s="54"/>
      <c r="O1073" s="54"/>
      <c r="P1073" s="54"/>
      <c r="Q1073" s="54"/>
      <c r="R1073" s="54"/>
    </row>
    <row r="1074" spans="1:18" x14ac:dyDescent="0.25">
      <c r="A1074" s="52" t="s">
        <v>698</v>
      </c>
      <c r="C1074" s="67">
        <v>26127</v>
      </c>
      <c r="D1074" s="50">
        <v>6490</v>
      </c>
      <c r="E1074">
        <v>2123</v>
      </c>
      <c r="F1074">
        <v>1920</v>
      </c>
      <c r="G1074">
        <v>1483</v>
      </c>
      <c r="H1074">
        <v>2500</v>
      </c>
      <c r="I1074" s="54">
        <f>H1074*1.023</f>
        <v>2557.5</v>
      </c>
      <c r="J1074" s="54">
        <f t="shared" ref="J1074:K1074" si="560">I1074*1.024</f>
        <v>2618.88</v>
      </c>
      <c r="K1074" s="54">
        <f t="shared" si="560"/>
        <v>2681.7331200000003</v>
      </c>
      <c r="L1074" s="54">
        <f t="shared" ref="L1074" si="561">K1074*1.023</f>
        <v>2743.4129817600001</v>
      </c>
      <c r="M1074" s="54">
        <f t="shared" ref="M1074" si="562">L1074*1.022</f>
        <v>2803.7680673587201</v>
      </c>
      <c r="N1074" s="54">
        <f t="shared" ref="N1074" si="563">M1074*1.023</f>
        <v>2868.2547329079703</v>
      </c>
      <c r="O1074" s="54">
        <f t="shared" ref="O1074:P1074" si="564">N1074*1.025</f>
        <v>2939.9611012306691</v>
      </c>
      <c r="P1074" s="54">
        <f t="shared" si="564"/>
        <v>3013.4601287614355</v>
      </c>
      <c r="Q1074" s="54">
        <f t="shared" ref="Q1074:R1074" si="565">P1074*1.024</f>
        <v>3085.78317185171</v>
      </c>
      <c r="R1074" s="54">
        <f t="shared" si="565"/>
        <v>3159.841967976151</v>
      </c>
    </row>
    <row r="1075" spans="1:18" x14ac:dyDescent="0.25">
      <c r="A1075" s="52" t="s">
        <v>699</v>
      </c>
      <c r="C1075" s="50"/>
      <c r="D1075" s="50"/>
      <c r="E1075">
        <v>31818</v>
      </c>
      <c r="F1075"/>
      <c r="G1075"/>
      <c r="H1075"/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</row>
    <row r="1076" spans="1:18" x14ac:dyDescent="0.25">
      <c r="A1076" s="41" t="s">
        <v>216</v>
      </c>
      <c r="B1076" s="44"/>
      <c r="C1076" s="51">
        <f t="shared" ref="C1076" si="566">SUM(C1071:C1074)</f>
        <v>27269</v>
      </c>
      <c r="D1076" s="51">
        <f t="shared" ref="D1076" si="567">SUM(D1071:D1074)</f>
        <v>6581</v>
      </c>
      <c r="E1076" s="51">
        <f>SUM(E1071:E1075)</f>
        <v>34073</v>
      </c>
      <c r="F1076" s="51">
        <f t="shared" ref="F1076:R1076" si="568">SUM(F1071:F1075)</f>
        <v>2084</v>
      </c>
      <c r="G1076" s="51">
        <f t="shared" si="568"/>
        <v>1574</v>
      </c>
      <c r="H1076" s="51">
        <f t="shared" si="568"/>
        <v>2700</v>
      </c>
      <c r="I1076" s="51">
        <f t="shared" si="568"/>
        <v>2762.1</v>
      </c>
      <c r="J1076" s="51">
        <f t="shared" si="568"/>
        <v>2828.3904000000002</v>
      </c>
      <c r="K1076" s="51">
        <f t="shared" si="568"/>
        <v>2896.2717696000004</v>
      </c>
      <c r="L1076" s="51">
        <f t="shared" si="568"/>
        <v>2962.8860203008003</v>
      </c>
      <c r="M1076" s="51">
        <f t="shared" si="568"/>
        <v>3028.0695127474178</v>
      </c>
      <c r="N1076" s="51">
        <f t="shared" si="568"/>
        <v>3097.7151115406077</v>
      </c>
      <c r="O1076" s="51">
        <f t="shared" si="568"/>
        <v>3175.1579893291228</v>
      </c>
      <c r="P1076" s="51">
        <f t="shared" si="568"/>
        <v>3254.5369390623505</v>
      </c>
      <c r="Q1076" s="51">
        <f t="shared" si="568"/>
        <v>3332.6458255998468</v>
      </c>
      <c r="R1076" s="51">
        <f t="shared" si="568"/>
        <v>3412.6293254142429</v>
      </c>
    </row>
    <row r="1077" spans="1:18" x14ac:dyDescent="0.25">
      <c r="C1077" s="50"/>
      <c r="D1077" s="50"/>
      <c r="E1077" s="50"/>
      <c r="F1077" s="50"/>
      <c r="G1077" s="50"/>
      <c r="H1077" s="50"/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</row>
    <row r="1078" spans="1:18" x14ac:dyDescent="0.25">
      <c r="A1078" s="41" t="s">
        <v>165</v>
      </c>
      <c r="B1078" s="44"/>
      <c r="C1078" s="50"/>
      <c r="D1078" s="50"/>
      <c r="E1078" s="50"/>
      <c r="F1078" s="50"/>
      <c r="G1078" s="50"/>
      <c r="H1078" s="50"/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</row>
    <row r="1079" spans="1:18" x14ac:dyDescent="0.25">
      <c r="C1079" s="50"/>
      <c r="D1079" s="50"/>
      <c r="E1079" s="50"/>
      <c r="F1079" s="50"/>
      <c r="G1079" s="50"/>
      <c r="H1079" s="50"/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</row>
    <row r="1080" spans="1:18" x14ac:dyDescent="0.25">
      <c r="A1080" s="52" t="s">
        <v>700</v>
      </c>
      <c r="B1080" s="53"/>
      <c r="C1080" s="59">
        <v>19539</v>
      </c>
      <c r="D1080" s="50">
        <v>11039</v>
      </c>
      <c r="E1080" s="50">
        <v>8960</v>
      </c>
      <c r="F1080" s="50">
        <v>5281</v>
      </c>
      <c r="G1080" s="50">
        <v>5239</v>
      </c>
      <c r="H1080" s="50">
        <v>7450</v>
      </c>
      <c r="I1080" s="54">
        <v>7625.4499999999989</v>
      </c>
      <c r="J1080" s="54">
        <v>7807.6920499999987</v>
      </c>
      <c r="K1080" s="54">
        <v>7994.2915604500004</v>
      </c>
      <c r="L1080" s="54">
        <v>8182.5637623828507</v>
      </c>
      <c r="M1080" s="54">
        <v>8370.8898536634915</v>
      </c>
      <c r="N1080" s="54">
        <v>8568.0498219540877</v>
      </c>
      <c r="O1080" s="54">
        <v>8779.013429748873</v>
      </c>
      <c r="P1080" s="54">
        <v>8996.8327137813831</v>
      </c>
      <c r="Q1080" s="54">
        <v>9218.6360516523473</v>
      </c>
      <c r="R1080" s="54">
        <v>9445.9198282324287</v>
      </c>
    </row>
    <row r="1081" spans="1:18" x14ac:dyDescent="0.25">
      <c r="A1081" s="52" t="s">
        <v>701</v>
      </c>
      <c r="B1081" s="53"/>
      <c r="C1081" s="59"/>
      <c r="D1081" s="50"/>
      <c r="E1081" s="50"/>
      <c r="F1081" s="50"/>
      <c r="G1081" s="67">
        <v>0</v>
      </c>
      <c r="H1081" s="67">
        <v>0</v>
      </c>
      <c r="I1081" s="50">
        <v>30000</v>
      </c>
      <c r="J1081" s="54">
        <f t="shared" ref="J1081:K1081" si="569">I1081*1.024</f>
        <v>30720</v>
      </c>
      <c r="K1081" s="54">
        <f t="shared" si="569"/>
        <v>31457.279999999999</v>
      </c>
      <c r="L1081" s="54">
        <f t="shared" ref="L1081" si="570">K1081*1.023</f>
        <v>32180.797439999995</v>
      </c>
      <c r="M1081" s="54">
        <f t="shared" ref="M1081" si="571">L1081*1.022</f>
        <v>32888.774983679992</v>
      </c>
      <c r="N1081" s="54">
        <f t="shared" ref="N1081" si="572">M1081*1.023</f>
        <v>33645.216808304627</v>
      </c>
      <c r="O1081" s="54">
        <f t="shared" ref="O1081:P1081" si="573">N1081*1.025</f>
        <v>34486.347228512241</v>
      </c>
      <c r="P1081" s="54">
        <f t="shared" si="573"/>
        <v>35348.505909225045</v>
      </c>
      <c r="Q1081" s="54">
        <f t="shared" ref="Q1081:R1081" si="574">P1081*1.024</f>
        <v>36196.870051046448</v>
      </c>
      <c r="R1081" s="54">
        <f t="shared" si="574"/>
        <v>37065.594932271561</v>
      </c>
    </row>
    <row r="1082" spans="1:18" x14ac:dyDescent="0.25">
      <c r="A1082" s="52" t="s">
        <v>702</v>
      </c>
      <c r="B1082" s="53"/>
      <c r="C1082" s="50">
        <v>0</v>
      </c>
      <c r="D1082" s="54">
        <f>C1082*1.028</f>
        <v>0</v>
      </c>
      <c r="E1082" s="54">
        <f>D1082*1.028</f>
        <v>0</v>
      </c>
      <c r="F1082" s="54"/>
      <c r="G1082" s="54"/>
      <c r="H1082" s="54"/>
      <c r="I1082" s="54"/>
      <c r="J1082" s="54"/>
      <c r="K1082" s="54"/>
      <c r="L1082" s="54"/>
      <c r="M1082" s="54"/>
      <c r="N1082" s="54">
        <v>0</v>
      </c>
      <c r="O1082" s="54">
        <v>0</v>
      </c>
      <c r="P1082" s="54">
        <v>0</v>
      </c>
      <c r="Q1082" s="54">
        <v>0</v>
      </c>
      <c r="R1082" s="54">
        <v>0</v>
      </c>
    </row>
    <row r="1083" spans="1:18" x14ac:dyDescent="0.25">
      <c r="A1083" s="52" t="s">
        <v>703</v>
      </c>
      <c r="B1083" s="53"/>
      <c r="C1083" s="50"/>
      <c r="D1083" s="50"/>
      <c r="E1083" s="50"/>
      <c r="F1083" s="50"/>
      <c r="G1083" s="50">
        <v>13</v>
      </c>
      <c r="H1083" s="50"/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</row>
    <row r="1084" spans="1:18" x14ac:dyDescent="0.25">
      <c r="A1084" s="43" t="s">
        <v>704</v>
      </c>
      <c r="C1084" s="59">
        <v>409363</v>
      </c>
      <c r="D1084" s="54">
        <v>404441</v>
      </c>
      <c r="E1084" s="54">
        <v>418841</v>
      </c>
      <c r="F1084" s="54">
        <v>423672</v>
      </c>
      <c r="G1084" s="54">
        <v>436367</v>
      </c>
      <c r="H1084" s="54">
        <v>418801</v>
      </c>
      <c r="I1084" s="54">
        <f>H1084*1.023</f>
        <v>428433.42299999995</v>
      </c>
      <c r="J1084" s="54">
        <f t="shared" ref="J1084:K1084" si="575">I1084*1.024</f>
        <v>438715.82515199995</v>
      </c>
      <c r="K1084" s="54">
        <f t="shared" si="575"/>
        <v>449245.00495564798</v>
      </c>
      <c r="L1084" s="54">
        <f t="shared" ref="L1084" si="576">K1084*1.023</f>
        <v>459577.64006962784</v>
      </c>
      <c r="M1084" s="54">
        <f t="shared" ref="M1084" si="577">L1084*1.022</f>
        <v>469688.34815115965</v>
      </c>
      <c r="N1084" s="54">
        <f t="shared" ref="N1084" si="578">M1084*1.023</f>
        <v>480491.1801586363</v>
      </c>
      <c r="O1084" s="54">
        <f t="shared" ref="O1084:P1084" si="579">N1084*1.025</f>
        <v>492503.45966260217</v>
      </c>
      <c r="P1084" s="54">
        <f t="shared" si="579"/>
        <v>504816.04615416715</v>
      </c>
      <c r="Q1084" s="54">
        <f t="shared" ref="Q1084:R1084" si="580">P1084*1.024</f>
        <v>516931.63126186718</v>
      </c>
      <c r="R1084" s="54">
        <f t="shared" si="580"/>
        <v>529337.99041215202</v>
      </c>
    </row>
    <row r="1085" spans="1:18" x14ac:dyDescent="0.25">
      <c r="C1085" s="50"/>
      <c r="D1085" s="50"/>
      <c r="E1085" s="50"/>
      <c r="F1085" s="50"/>
      <c r="G1085" s="50"/>
      <c r="H1085" s="50"/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</row>
    <row r="1086" spans="1:18" x14ac:dyDescent="0.25">
      <c r="A1086" s="41" t="s">
        <v>230</v>
      </c>
      <c r="B1086" s="44"/>
      <c r="C1086" s="51">
        <f t="shared" ref="C1086" si="581">SUM(C1080:C1085)</f>
        <v>428902</v>
      </c>
      <c r="D1086" s="51">
        <f t="shared" ref="D1086:R1086" si="582">SUM(D1080:D1085)</f>
        <v>415480</v>
      </c>
      <c r="E1086" s="51">
        <f t="shared" si="582"/>
        <v>427801</v>
      </c>
      <c r="F1086" s="51">
        <f t="shared" si="582"/>
        <v>428953</v>
      </c>
      <c r="G1086" s="51">
        <f t="shared" si="582"/>
        <v>441619</v>
      </c>
      <c r="H1086" s="51">
        <f t="shared" si="582"/>
        <v>426251</v>
      </c>
      <c r="I1086" s="51">
        <f t="shared" si="582"/>
        <v>466058.87299999996</v>
      </c>
      <c r="J1086" s="51">
        <f>SUM(J1080:J1085)</f>
        <v>477243.51720199996</v>
      </c>
      <c r="K1086" s="51">
        <f t="shared" si="582"/>
        <v>488696.57651609799</v>
      </c>
      <c r="L1086" s="51">
        <f t="shared" si="582"/>
        <v>499941.00127201068</v>
      </c>
      <c r="M1086" s="51">
        <f t="shared" si="582"/>
        <v>510948.01298850315</v>
      </c>
      <c r="N1086" s="51">
        <f t="shared" si="582"/>
        <v>522704.446788895</v>
      </c>
      <c r="O1086" s="51">
        <f t="shared" si="582"/>
        <v>535768.82032086328</v>
      </c>
      <c r="P1086" s="51">
        <f t="shared" si="582"/>
        <v>549161.38477717363</v>
      </c>
      <c r="Q1086" s="51">
        <f t="shared" si="582"/>
        <v>562347.13736456598</v>
      </c>
      <c r="R1086" s="51">
        <f t="shared" si="582"/>
        <v>575849.50517265603</v>
      </c>
    </row>
    <row r="1087" spans="1:18" x14ac:dyDescent="0.25">
      <c r="C1087" s="50"/>
      <c r="D1087" s="50"/>
      <c r="E1087" s="50"/>
      <c r="F1087" s="50"/>
      <c r="G1087" s="50"/>
      <c r="H1087" s="50"/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</row>
    <row r="1088" spans="1:18" x14ac:dyDescent="0.25">
      <c r="A1088" s="41" t="s">
        <v>705</v>
      </c>
      <c r="B1088" s="44"/>
      <c r="C1088" s="51">
        <f t="shared" ref="C1088:R1088" si="583">C1086-C1076</f>
        <v>401633</v>
      </c>
      <c r="D1088" s="51">
        <f t="shared" si="583"/>
        <v>408899</v>
      </c>
      <c r="E1088" s="51">
        <f t="shared" si="583"/>
        <v>393728</v>
      </c>
      <c r="F1088" s="51">
        <f t="shared" si="583"/>
        <v>426869</v>
      </c>
      <c r="G1088" s="51">
        <f t="shared" si="583"/>
        <v>440045</v>
      </c>
      <c r="H1088" s="51">
        <f t="shared" si="583"/>
        <v>423551</v>
      </c>
      <c r="I1088" s="51">
        <f t="shared" si="583"/>
        <v>463296.77299999999</v>
      </c>
      <c r="J1088" s="51">
        <f t="shared" si="583"/>
        <v>474415.12680199998</v>
      </c>
      <c r="K1088" s="51">
        <f t="shared" si="583"/>
        <v>485800.304746498</v>
      </c>
      <c r="L1088" s="51">
        <f t="shared" si="583"/>
        <v>496978.11525170988</v>
      </c>
      <c r="M1088" s="51">
        <f t="shared" si="583"/>
        <v>507919.94347575575</v>
      </c>
      <c r="N1088" s="51">
        <f t="shared" si="583"/>
        <v>519606.73167735437</v>
      </c>
      <c r="O1088" s="51">
        <f t="shared" si="583"/>
        <v>532593.6623315342</v>
      </c>
      <c r="P1088" s="51">
        <f t="shared" si="583"/>
        <v>545906.84783811134</v>
      </c>
      <c r="Q1088" s="51">
        <f t="shared" si="583"/>
        <v>559014.49153896607</v>
      </c>
      <c r="R1088" s="51">
        <f t="shared" si="583"/>
        <v>572436.87584724184</v>
      </c>
    </row>
    <row r="1089" spans="1:18" x14ac:dyDescent="0.25">
      <c r="C1089" s="50"/>
      <c r="D1089" s="50"/>
      <c r="E1089" s="50"/>
      <c r="F1089" s="50"/>
      <c r="G1089" s="50"/>
      <c r="H1089" s="50"/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</row>
    <row r="1090" spans="1:18" x14ac:dyDescent="0.25">
      <c r="A1090" s="41" t="s">
        <v>706</v>
      </c>
      <c r="B1090" s="44"/>
      <c r="C1090" s="51">
        <f>C434+C542+C580+C669+C690+C962+C1066+C1088</f>
        <v>2702222</v>
      </c>
      <c r="D1090" s="51">
        <f>D434+D542+D580+D669+D690+D962+D1066+D1088</f>
        <v>2468380</v>
      </c>
      <c r="E1090" s="51">
        <f>E434+E542+E580+E669+E690+E962+E1066+E1088</f>
        <v>2427592.08</v>
      </c>
      <c r="F1090" s="51">
        <f>F434+F542+F580+F669+F690+F962+F1066+F1088</f>
        <v>2824265.3200000003</v>
      </c>
      <c r="G1090" s="51">
        <f t="shared" ref="G1090:R1090" si="584">G434+G542+G580+G669+G690+G962+G1066+G1088</f>
        <v>2187051</v>
      </c>
      <c r="H1090" s="51">
        <f t="shared" si="584"/>
        <v>2877733.6957668001</v>
      </c>
      <c r="I1090" s="51">
        <f t="shared" si="584"/>
        <v>2887606.0660784161</v>
      </c>
      <c r="J1090" s="51">
        <f t="shared" si="584"/>
        <v>2921635.5414274195</v>
      </c>
      <c r="K1090" s="51">
        <f t="shared" si="584"/>
        <v>3001609.3359417072</v>
      </c>
      <c r="L1090" s="51">
        <f t="shared" si="584"/>
        <v>3060205.035001819</v>
      </c>
      <c r="M1090" s="51">
        <f t="shared" si="584"/>
        <v>3148491.6193832387</v>
      </c>
      <c r="N1090" s="51">
        <f t="shared" si="584"/>
        <v>3290816.4723680359</v>
      </c>
      <c r="O1090" s="51">
        <f t="shared" si="584"/>
        <v>3384949.2132516471</v>
      </c>
      <c r="P1090" s="51">
        <f t="shared" si="584"/>
        <v>3470739.8702959535</v>
      </c>
      <c r="Q1090" s="51">
        <f t="shared" si="584"/>
        <v>3562920.6783553329</v>
      </c>
      <c r="R1090" s="51">
        <f t="shared" si="584"/>
        <v>3645989.0023586033</v>
      </c>
    </row>
    <row r="1091" spans="1:18" x14ac:dyDescent="0.25">
      <c r="C1091" s="50"/>
      <c r="D1091" s="50"/>
      <c r="E1091" s="50"/>
      <c r="F1091" s="50"/>
      <c r="G1091" s="50"/>
      <c r="H1091" s="50"/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</row>
    <row r="1092" spans="1:18" x14ac:dyDescent="0.25">
      <c r="C1092" s="50"/>
      <c r="D1092" s="50"/>
      <c r="E1092" s="50"/>
      <c r="F1092" s="50"/>
      <c r="G1092" s="50"/>
      <c r="H1092" s="50"/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</row>
    <row r="1093" spans="1:18" x14ac:dyDescent="0.25">
      <c r="A1093" s="41" t="s">
        <v>161</v>
      </c>
      <c r="C1093" s="50"/>
      <c r="D1093" s="50"/>
      <c r="E1093" s="50"/>
      <c r="F1093" s="50"/>
      <c r="G1093" s="50"/>
      <c r="H1093" s="50"/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</row>
    <row r="1094" spans="1:18" x14ac:dyDescent="0.25">
      <c r="C1094" s="50"/>
      <c r="D1094" s="50"/>
      <c r="E1094" s="50"/>
      <c r="F1094" s="50"/>
      <c r="G1094" s="50"/>
      <c r="H1094" s="50"/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</row>
    <row r="1095" spans="1:18" x14ac:dyDescent="0.25">
      <c r="A1095" s="41" t="s">
        <v>707</v>
      </c>
      <c r="B1095" s="44"/>
      <c r="C1095" s="50"/>
      <c r="D1095" s="50"/>
      <c r="E1095" s="50"/>
      <c r="F1095" s="50"/>
      <c r="G1095" s="50"/>
      <c r="H1095" s="50"/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</row>
    <row r="1096" spans="1:18" x14ac:dyDescent="0.25">
      <c r="C1096" s="50"/>
      <c r="D1096" s="50"/>
      <c r="E1096" s="50"/>
      <c r="F1096" s="50"/>
      <c r="G1096" s="50"/>
      <c r="H1096" s="50"/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</row>
    <row r="1097" spans="1:18" x14ac:dyDescent="0.25">
      <c r="A1097" s="41" t="s">
        <v>202</v>
      </c>
      <c r="B1097" s="44"/>
      <c r="C1097" s="50"/>
      <c r="D1097" s="50"/>
      <c r="E1097" s="50"/>
      <c r="F1097" s="50"/>
      <c r="G1097" s="50"/>
      <c r="H1097" s="50"/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</row>
    <row r="1098" spans="1:18" x14ac:dyDescent="0.25">
      <c r="C1098" s="50"/>
      <c r="D1098" s="50"/>
      <c r="E1098" s="50"/>
      <c r="F1098" s="50"/>
      <c r="G1098" s="50"/>
      <c r="H1098" s="50"/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</row>
    <row r="1099" spans="1:18" x14ac:dyDescent="0.25">
      <c r="A1099" s="41" t="s">
        <v>708</v>
      </c>
      <c r="B1099" s="44"/>
      <c r="C1099" s="50"/>
      <c r="D1099" s="50"/>
      <c r="E1099" s="50"/>
      <c r="F1099" s="50"/>
      <c r="G1099" s="50"/>
      <c r="H1099" s="50"/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</row>
    <row r="1100" spans="1:18" x14ac:dyDescent="0.25">
      <c r="A1100" s="52" t="s">
        <v>709</v>
      </c>
      <c r="B1100" s="53"/>
      <c r="C1100" s="54">
        <v>16050</v>
      </c>
      <c r="D1100" s="50">
        <v>19962</v>
      </c>
      <c r="E1100" s="50">
        <v>20262</v>
      </c>
      <c r="F1100" s="54">
        <v>18043</v>
      </c>
      <c r="G1100" s="54">
        <v>19475</v>
      </c>
      <c r="H1100" s="50">
        <v>21000</v>
      </c>
      <c r="I1100" s="54">
        <f t="shared" ref="I1100:I1102" si="585">H1100*1.023</f>
        <v>21482.999999999996</v>
      </c>
      <c r="J1100" s="54">
        <f t="shared" ref="J1100:K1102" si="586">I1100*1.024</f>
        <v>21998.591999999997</v>
      </c>
      <c r="K1100" s="54">
        <f t="shared" si="586"/>
        <v>22526.558207999999</v>
      </c>
      <c r="L1100" s="54">
        <f t="shared" ref="L1100:L1102" si="587">K1100*1.023</f>
        <v>23044.669046783998</v>
      </c>
      <c r="M1100" s="54">
        <f t="shared" ref="M1100:M1102" si="588">L1100*1.022</f>
        <v>23551.651765813247</v>
      </c>
      <c r="N1100" s="54">
        <f t="shared" ref="N1100:N1102" si="589">M1100*1.023</f>
        <v>24093.339756426951</v>
      </c>
      <c r="O1100" s="54">
        <f t="shared" ref="O1100:P1102" si="590">N1100*1.025</f>
        <v>24695.673250337622</v>
      </c>
      <c r="P1100" s="54">
        <f t="shared" si="590"/>
        <v>25313.065081596062</v>
      </c>
      <c r="Q1100" s="54">
        <f t="shared" ref="Q1100:R1102" si="591">P1100*1.024</f>
        <v>25920.578643554367</v>
      </c>
      <c r="R1100" s="54">
        <f t="shared" si="591"/>
        <v>26542.672530999673</v>
      </c>
    </row>
    <row r="1101" spans="1:18" x14ac:dyDescent="0.25">
      <c r="A1101" s="52" t="s">
        <v>710</v>
      </c>
      <c r="B1101" s="53"/>
      <c r="C1101" s="54">
        <v>1760</v>
      </c>
      <c r="D1101" s="50">
        <v>5770</v>
      </c>
      <c r="E1101" s="50">
        <v>440</v>
      </c>
      <c r="F1101" s="50">
        <v>880</v>
      </c>
      <c r="G1101" s="50">
        <v>0</v>
      </c>
      <c r="H1101" s="50">
        <v>2000</v>
      </c>
      <c r="I1101" s="54">
        <f t="shared" si="585"/>
        <v>2045.9999999999998</v>
      </c>
      <c r="J1101" s="54">
        <f t="shared" si="586"/>
        <v>2095.1039999999998</v>
      </c>
      <c r="K1101" s="54">
        <f t="shared" si="586"/>
        <v>2145.3864960000001</v>
      </c>
      <c r="L1101" s="54">
        <f t="shared" si="587"/>
        <v>2194.7303854080001</v>
      </c>
      <c r="M1101" s="54">
        <f t="shared" si="588"/>
        <v>2243.0144538869763</v>
      </c>
      <c r="N1101" s="54">
        <f t="shared" si="589"/>
        <v>2294.6037863263764</v>
      </c>
      <c r="O1101" s="54">
        <f t="shared" si="590"/>
        <v>2351.9688809845356</v>
      </c>
      <c r="P1101" s="54">
        <f t="shared" si="590"/>
        <v>2410.7681030091489</v>
      </c>
      <c r="Q1101" s="54">
        <f t="shared" si="591"/>
        <v>2468.6265374813684</v>
      </c>
      <c r="R1101" s="54">
        <f t="shared" si="591"/>
        <v>2527.8735743809211</v>
      </c>
    </row>
    <row r="1102" spans="1:18" x14ac:dyDescent="0.25">
      <c r="A1102" s="52" t="s">
        <v>711</v>
      </c>
      <c r="B1102" s="53"/>
      <c r="C1102" s="54">
        <v>17150</v>
      </c>
      <c r="D1102" s="50">
        <v>18750</v>
      </c>
      <c r="E1102" s="50">
        <v>17650</v>
      </c>
      <c r="F1102" s="50">
        <v>16400</v>
      </c>
      <c r="G1102" s="50">
        <v>15050</v>
      </c>
      <c r="H1102" s="50">
        <v>18000</v>
      </c>
      <c r="I1102" s="54">
        <f t="shared" si="585"/>
        <v>18414</v>
      </c>
      <c r="J1102" s="54">
        <f t="shared" si="586"/>
        <v>18855.936000000002</v>
      </c>
      <c r="K1102" s="54">
        <f t="shared" si="586"/>
        <v>19308.478464000003</v>
      </c>
      <c r="L1102" s="54">
        <f t="shared" si="587"/>
        <v>19752.573468672002</v>
      </c>
      <c r="M1102" s="54">
        <f t="shared" si="588"/>
        <v>20187.130084982786</v>
      </c>
      <c r="N1102" s="54">
        <f t="shared" si="589"/>
        <v>20651.434076937388</v>
      </c>
      <c r="O1102" s="54">
        <f t="shared" si="590"/>
        <v>21167.719928860821</v>
      </c>
      <c r="P1102" s="54">
        <f t="shared" si="590"/>
        <v>21696.91292708234</v>
      </c>
      <c r="Q1102" s="54">
        <f t="shared" si="591"/>
        <v>22217.638837332317</v>
      </c>
      <c r="R1102" s="54">
        <f t="shared" si="591"/>
        <v>22750.862169428292</v>
      </c>
    </row>
    <row r="1103" spans="1:18" x14ac:dyDescent="0.25">
      <c r="A1103" s="52" t="s">
        <v>712</v>
      </c>
      <c r="B1103" s="53"/>
      <c r="C1103" s="59"/>
      <c r="D1103" s="54"/>
      <c r="F1103" s="54"/>
      <c r="G1103" s="54">
        <v>0</v>
      </c>
      <c r="H1103" s="54"/>
      <c r="I1103" s="54"/>
      <c r="J1103" s="54"/>
      <c r="K1103" s="54"/>
      <c r="L1103" s="54"/>
      <c r="M1103" s="54"/>
      <c r="N1103" s="54"/>
      <c r="O1103" s="54"/>
      <c r="P1103" s="54"/>
      <c r="Q1103" s="54"/>
      <c r="R1103" s="54"/>
    </row>
    <row r="1104" spans="1:18" x14ac:dyDescent="0.25">
      <c r="A1104" s="59" t="s">
        <v>713</v>
      </c>
      <c r="B1104" s="53"/>
      <c r="C1104" s="59"/>
      <c r="D1104" s="54">
        <v>7545</v>
      </c>
      <c r="E1104" s="43">
        <v>8445</v>
      </c>
      <c r="F1104" s="54">
        <v>8407</v>
      </c>
      <c r="G1104" s="54">
        <v>8407</v>
      </c>
      <c r="H1104" s="54">
        <v>9000</v>
      </c>
      <c r="I1104" s="54">
        <f t="shared" ref="I1104" si="592">H1104*1.023</f>
        <v>9207</v>
      </c>
      <c r="J1104" s="54">
        <f t="shared" ref="J1104:K1104" si="593">I1104*1.024</f>
        <v>9427.9680000000008</v>
      </c>
      <c r="K1104" s="54">
        <f t="shared" si="593"/>
        <v>9654.2392320000017</v>
      </c>
      <c r="L1104" s="54">
        <f t="shared" ref="L1104" si="594">K1104*1.023</f>
        <v>9876.2867343360012</v>
      </c>
      <c r="M1104" s="54">
        <f t="shared" ref="M1104" si="595">L1104*1.022</f>
        <v>10093.565042491393</v>
      </c>
      <c r="N1104" s="54">
        <f t="shared" ref="N1104" si="596">M1104*1.023</f>
        <v>10325.717038468694</v>
      </c>
      <c r="O1104" s="54">
        <f t="shared" ref="O1104:P1104" si="597">N1104*1.025</f>
        <v>10583.85996443041</v>
      </c>
      <c r="P1104" s="54">
        <f t="shared" si="597"/>
        <v>10848.45646354117</v>
      </c>
      <c r="Q1104" s="54">
        <f t="shared" ref="Q1104:R1104" si="598">P1104*1.024</f>
        <v>11108.819418666159</v>
      </c>
      <c r="R1104" s="54">
        <f t="shared" si="598"/>
        <v>11375.431084714146</v>
      </c>
    </row>
    <row r="1105" spans="1:18" x14ac:dyDescent="0.25">
      <c r="A1105" s="59" t="s">
        <v>714</v>
      </c>
      <c r="B1105" s="53"/>
      <c r="C1105" s="59"/>
      <c r="D1105" s="54"/>
      <c r="F1105" s="54"/>
      <c r="G1105" s="54"/>
      <c r="H1105" s="54"/>
      <c r="I1105" s="54"/>
      <c r="J1105" s="54"/>
      <c r="K1105" s="54"/>
      <c r="L1105" s="54"/>
      <c r="M1105" s="54"/>
      <c r="N1105" s="54"/>
      <c r="O1105" s="54"/>
      <c r="P1105" s="54"/>
      <c r="Q1105" s="54"/>
      <c r="R1105" s="54"/>
    </row>
    <row r="1106" spans="1:18" x14ac:dyDescent="0.25">
      <c r="A1106" s="52"/>
      <c r="B1106" s="53"/>
      <c r="C1106" s="50"/>
      <c r="D1106" s="50"/>
      <c r="E1106" s="50"/>
      <c r="F1106" s="50"/>
      <c r="G1106" s="50"/>
      <c r="H1106" s="50"/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</row>
    <row r="1107" spans="1:18" x14ac:dyDescent="0.25">
      <c r="A1107" s="41" t="s">
        <v>715</v>
      </c>
      <c r="B1107" s="44"/>
      <c r="C1107" s="51">
        <f t="shared" ref="C1107" si="599">SUM(C1100:C1106)</f>
        <v>34960</v>
      </c>
      <c r="D1107" s="51">
        <f t="shared" ref="D1107:R1107" si="600">SUM(D1100:D1106)</f>
        <v>52027</v>
      </c>
      <c r="E1107" s="51">
        <f t="shared" si="600"/>
        <v>46797</v>
      </c>
      <c r="F1107" s="51">
        <f t="shared" si="600"/>
        <v>43730</v>
      </c>
      <c r="G1107" s="51">
        <f t="shared" si="600"/>
        <v>42932</v>
      </c>
      <c r="H1107" s="51">
        <f t="shared" si="600"/>
        <v>50000</v>
      </c>
      <c r="I1107" s="51">
        <f t="shared" si="600"/>
        <v>51150</v>
      </c>
      <c r="J1107" s="51">
        <f t="shared" si="600"/>
        <v>52377.599999999999</v>
      </c>
      <c r="K1107" s="51">
        <f t="shared" si="600"/>
        <v>53634.662400000001</v>
      </c>
      <c r="L1107" s="51">
        <f t="shared" si="600"/>
        <v>54868.259635199996</v>
      </c>
      <c r="M1107" s="51">
        <f t="shared" si="600"/>
        <v>56075.361347174403</v>
      </c>
      <c r="N1107" s="51">
        <f t="shared" si="600"/>
        <v>57365.094658159403</v>
      </c>
      <c r="O1107" s="51">
        <f t="shared" si="600"/>
        <v>58799.222024613387</v>
      </c>
      <c r="P1107" s="51">
        <f t="shared" si="600"/>
        <v>60269.202575228715</v>
      </c>
      <c r="Q1107" s="51">
        <f t="shared" si="600"/>
        <v>61715.663437034207</v>
      </c>
      <c r="R1107" s="51">
        <f t="shared" si="600"/>
        <v>63196.83935952303</v>
      </c>
    </row>
    <row r="1108" spans="1:18" x14ac:dyDescent="0.25">
      <c r="C1108" s="50"/>
      <c r="D1108" s="50"/>
      <c r="E1108" s="50"/>
      <c r="F1108" s="50"/>
      <c r="G1108" s="50"/>
      <c r="H1108" s="50"/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</row>
    <row r="1109" spans="1:18" x14ac:dyDescent="0.25">
      <c r="A1109" s="41" t="s">
        <v>716</v>
      </c>
      <c r="B1109" s="44"/>
      <c r="C1109" s="50"/>
      <c r="D1109" s="50"/>
      <c r="E1109" s="50"/>
      <c r="F1109" s="50"/>
      <c r="G1109" s="50"/>
      <c r="H1109" s="50"/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</row>
    <row r="1110" spans="1:18" x14ac:dyDescent="0.25">
      <c r="A1110" s="52" t="s">
        <v>717</v>
      </c>
      <c r="B1110" s="53"/>
      <c r="C1110" s="54">
        <f>3606+68</f>
        <v>3674</v>
      </c>
      <c r="D1110" s="54">
        <v>3166</v>
      </c>
      <c r="E1110" s="43">
        <v>4443</v>
      </c>
      <c r="F1110" s="54">
        <v>3564</v>
      </c>
      <c r="G1110" s="54">
        <v>8486</v>
      </c>
      <c r="H1110" s="54">
        <v>6500</v>
      </c>
      <c r="I1110" s="54">
        <f t="shared" ref="I1110:I1113" si="601">H1110*1.023</f>
        <v>6649.4999999999991</v>
      </c>
      <c r="J1110" s="54">
        <f t="shared" ref="J1110:K1113" si="602">I1110*1.024</f>
        <v>6809.0879999999988</v>
      </c>
      <c r="K1110" s="54">
        <f t="shared" si="602"/>
        <v>6972.5061119999991</v>
      </c>
      <c r="L1110" s="54">
        <f t="shared" ref="L1110:L1113" si="603">K1110*1.023</f>
        <v>7132.8737525759989</v>
      </c>
      <c r="M1110" s="54">
        <f t="shared" ref="M1110:M1113" si="604">L1110*1.022</f>
        <v>7289.7969751326709</v>
      </c>
      <c r="N1110" s="54">
        <f t="shared" ref="N1110:N1113" si="605">M1110*1.023</f>
        <v>7457.4623055607217</v>
      </c>
      <c r="O1110" s="54">
        <f t="shared" ref="O1110:R1114" si="606">N1110*1.025</f>
        <v>7643.898863199739</v>
      </c>
      <c r="P1110" s="54">
        <f t="shared" si="606"/>
        <v>7834.996334779732</v>
      </c>
      <c r="Q1110" s="54">
        <f t="shared" ref="Q1110:R1113" si="607">P1110*1.024</f>
        <v>8023.0362468144458</v>
      </c>
      <c r="R1110" s="54">
        <f t="shared" si="607"/>
        <v>8215.5891167379923</v>
      </c>
    </row>
    <row r="1111" spans="1:18" x14ac:dyDescent="0.25">
      <c r="A1111" s="52" t="s">
        <v>718</v>
      </c>
      <c r="B1111" s="53"/>
      <c r="C1111" s="54">
        <v>220</v>
      </c>
      <c r="D1111" s="54">
        <v>0</v>
      </c>
      <c r="E1111" s="43">
        <v>0</v>
      </c>
      <c r="F1111" s="54">
        <v>880</v>
      </c>
      <c r="G1111" s="54">
        <v>400</v>
      </c>
      <c r="H1111" s="54">
        <v>1000</v>
      </c>
      <c r="I1111" s="54">
        <f t="shared" si="601"/>
        <v>1022.9999999999999</v>
      </c>
      <c r="J1111" s="54">
        <f t="shared" si="602"/>
        <v>1047.5519999999999</v>
      </c>
      <c r="K1111" s="54">
        <f t="shared" si="602"/>
        <v>1072.693248</v>
      </c>
      <c r="L1111" s="54">
        <f t="shared" si="603"/>
        <v>1097.365192704</v>
      </c>
      <c r="M1111" s="54">
        <f t="shared" si="604"/>
        <v>1121.5072269434881</v>
      </c>
      <c r="N1111" s="54">
        <f t="shared" si="605"/>
        <v>1147.3018931631882</v>
      </c>
      <c r="O1111" s="54">
        <f t="shared" si="606"/>
        <v>1175.9844404922678</v>
      </c>
      <c r="P1111" s="54">
        <f t="shared" si="606"/>
        <v>1205.3840515045745</v>
      </c>
      <c r="Q1111" s="54">
        <f t="shared" si="607"/>
        <v>1234.3132687406842</v>
      </c>
      <c r="R1111" s="54">
        <f t="shared" si="607"/>
        <v>1263.9367871904606</v>
      </c>
    </row>
    <row r="1112" spans="1:18" x14ac:dyDescent="0.25">
      <c r="A1112" s="52" t="s">
        <v>719</v>
      </c>
      <c r="B1112" s="53"/>
      <c r="C1112" s="54">
        <v>3567</v>
      </c>
      <c r="D1112" s="54">
        <v>492</v>
      </c>
      <c r="E1112" s="43">
        <v>0</v>
      </c>
      <c r="F1112" s="54">
        <v>4000</v>
      </c>
      <c r="G1112" s="54">
        <v>5400</v>
      </c>
      <c r="H1112" s="54">
        <v>5000</v>
      </c>
      <c r="I1112" s="54">
        <f t="shared" si="601"/>
        <v>5115</v>
      </c>
      <c r="J1112" s="54">
        <f t="shared" si="602"/>
        <v>5237.76</v>
      </c>
      <c r="K1112" s="54">
        <f t="shared" si="602"/>
        <v>5363.4662400000007</v>
      </c>
      <c r="L1112" s="54">
        <f t="shared" si="603"/>
        <v>5486.8259635200002</v>
      </c>
      <c r="M1112" s="54">
        <f t="shared" si="604"/>
        <v>5607.5361347174403</v>
      </c>
      <c r="N1112" s="54">
        <f t="shared" si="605"/>
        <v>5736.5094658159405</v>
      </c>
      <c r="O1112" s="54">
        <f t="shared" si="606"/>
        <v>5879.9222024613382</v>
      </c>
      <c r="P1112" s="54">
        <f t="shared" si="606"/>
        <v>6026.920257522871</v>
      </c>
      <c r="Q1112" s="54">
        <f t="shared" si="607"/>
        <v>6171.56634370342</v>
      </c>
      <c r="R1112" s="54">
        <f t="shared" si="607"/>
        <v>6319.6839359523019</v>
      </c>
    </row>
    <row r="1113" spans="1:18" x14ac:dyDescent="0.25">
      <c r="A1113" s="43" t="s">
        <v>720</v>
      </c>
      <c r="C1113" s="54">
        <v>23089</v>
      </c>
      <c r="D1113" s="54">
        <v>11891</v>
      </c>
      <c r="E1113" s="43">
        <v>17167</v>
      </c>
      <c r="F1113" s="54">
        <v>18485</v>
      </c>
      <c r="G1113" s="54">
        <v>16048</v>
      </c>
      <c r="H1113" s="54">
        <v>18000</v>
      </c>
      <c r="I1113" s="54">
        <f t="shared" si="601"/>
        <v>18414</v>
      </c>
      <c r="J1113" s="54">
        <f t="shared" si="602"/>
        <v>18855.936000000002</v>
      </c>
      <c r="K1113" s="54">
        <f t="shared" si="602"/>
        <v>19308.478464000003</v>
      </c>
      <c r="L1113" s="54">
        <f t="shared" si="603"/>
        <v>19752.573468672002</v>
      </c>
      <c r="M1113" s="54">
        <f t="shared" si="604"/>
        <v>20187.130084982786</v>
      </c>
      <c r="N1113" s="54">
        <f t="shared" si="605"/>
        <v>20651.434076937388</v>
      </c>
      <c r="O1113" s="54">
        <f t="shared" si="606"/>
        <v>21167.719928860821</v>
      </c>
      <c r="P1113" s="54">
        <f t="shared" si="606"/>
        <v>21696.91292708234</v>
      </c>
      <c r="Q1113" s="54">
        <f t="shared" si="607"/>
        <v>22217.638837332317</v>
      </c>
      <c r="R1113" s="54">
        <f t="shared" si="607"/>
        <v>22750.862169428292</v>
      </c>
    </row>
    <row r="1114" spans="1:18" x14ac:dyDescent="0.25">
      <c r="A1114" s="43" t="s">
        <v>721</v>
      </c>
      <c r="C1114" s="54">
        <v>352</v>
      </c>
      <c r="D1114" s="54">
        <v>0</v>
      </c>
      <c r="E1114" s="43">
        <v>0</v>
      </c>
      <c r="F1114" s="54">
        <v>42</v>
      </c>
      <c r="G1114" s="54">
        <v>610</v>
      </c>
      <c r="H1114" s="54">
        <v>0</v>
      </c>
      <c r="I1114" s="54">
        <f>H1114*1.02</f>
        <v>0</v>
      </c>
      <c r="J1114" s="54">
        <f t="shared" ref="J1114" si="608">I1114*1.021</f>
        <v>0</v>
      </c>
      <c r="K1114" s="54">
        <f t="shared" ref="K1114" si="609">J1114*1.023</f>
        <v>0</v>
      </c>
      <c r="L1114" s="54">
        <f t="shared" ref="L1114" si="610">K1114*1.024</f>
        <v>0</v>
      </c>
      <c r="M1114" s="54">
        <f t="shared" ref="M1114" si="611">L1114*1.023</f>
        <v>0</v>
      </c>
      <c r="N1114" s="54">
        <f t="shared" ref="N1114" si="612">M1114*1.021</f>
        <v>0</v>
      </c>
      <c r="O1114" s="54">
        <f t="shared" ref="O1114" si="613">N1114*1.022</f>
        <v>0</v>
      </c>
      <c r="P1114" s="54">
        <f t="shared" si="606"/>
        <v>0</v>
      </c>
      <c r="Q1114" s="54">
        <f t="shared" si="606"/>
        <v>0</v>
      </c>
      <c r="R1114" s="54">
        <f t="shared" si="606"/>
        <v>0</v>
      </c>
    </row>
    <row r="1115" spans="1:18" x14ac:dyDescent="0.25">
      <c r="C1115" s="50"/>
      <c r="D1115" s="54"/>
      <c r="E1115" s="54"/>
      <c r="F1115" s="54"/>
      <c r="G1115" s="54"/>
      <c r="H1115" s="54"/>
      <c r="I1115" s="54"/>
      <c r="J1115" s="54"/>
      <c r="K1115" s="54"/>
      <c r="L1115" s="54"/>
      <c r="M1115" s="54"/>
      <c r="N1115" s="54"/>
      <c r="O1115" s="54"/>
      <c r="P1115" s="54"/>
      <c r="Q1115" s="54"/>
      <c r="R1115" s="54"/>
    </row>
    <row r="1116" spans="1:18" x14ac:dyDescent="0.25">
      <c r="A1116" s="41" t="s">
        <v>722</v>
      </c>
      <c r="B1116" s="44"/>
      <c r="C1116" s="51">
        <f>SUM(C1110:C1115)</f>
        <v>30902</v>
      </c>
      <c r="D1116" s="51">
        <f t="shared" ref="D1116:R1116" si="614">SUM(D1110:D1115)</f>
        <v>15549</v>
      </c>
      <c r="E1116" s="51">
        <f t="shared" si="614"/>
        <v>21610</v>
      </c>
      <c r="F1116" s="51">
        <f t="shared" si="614"/>
        <v>26971</v>
      </c>
      <c r="G1116" s="51">
        <f t="shared" si="614"/>
        <v>30944</v>
      </c>
      <c r="H1116" s="51">
        <f t="shared" si="614"/>
        <v>30500</v>
      </c>
      <c r="I1116" s="51">
        <f t="shared" si="614"/>
        <v>31201.5</v>
      </c>
      <c r="J1116" s="51">
        <f t="shared" si="614"/>
        <v>31950.335999999999</v>
      </c>
      <c r="K1116" s="51">
        <f t="shared" si="614"/>
        <v>32717.144064000004</v>
      </c>
      <c r="L1116" s="51">
        <f t="shared" si="614"/>
        <v>33469.638377472002</v>
      </c>
      <c r="M1116" s="51">
        <f t="shared" si="614"/>
        <v>34205.970421776387</v>
      </c>
      <c r="N1116" s="51">
        <f t="shared" si="614"/>
        <v>34992.707741477236</v>
      </c>
      <c r="O1116" s="51">
        <f t="shared" si="614"/>
        <v>35867.525435014162</v>
      </c>
      <c r="P1116" s="51">
        <f t="shared" si="614"/>
        <v>36764.213570889522</v>
      </c>
      <c r="Q1116" s="51">
        <f t="shared" si="614"/>
        <v>37646.554696590865</v>
      </c>
      <c r="R1116" s="51">
        <f t="shared" si="614"/>
        <v>38550.072009309049</v>
      </c>
    </row>
    <row r="1117" spans="1:18" x14ac:dyDescent="0.25">
      <c r="A1117" s="41"/>
      <c r="B1117" s="44"/>
      <c r="C1117" s="50"/>
      <c r="D1117" s="50"/>
      <c r="E1117" s="50"/>
      <c r="F1117" s="50"/>
      <c r="G1117" s="50"/>
      <c r="H1117" s="50"/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</row>
    <row r="1118" spans="1:18" x14ac:dyDescent="0.25">
      <c r="A1118" s="41" t="s">
        <v>216</v>
      </c>
      <c r="B1118" s="44"/>
      <c r="C1118" s="51">
        <f t="shared" ref="C1118:R1118" si="615">C1107+C1116</f>
        <v>65862</v>
      </c>
      <c r="D1118" s="51">
        <f t="shared" si="615"/>
        <v>67576</v>
      </c>
      <c r="E1118" s="51">
        <f t="shared" si="615"/>
        <v>68407</v>
      </c>
      <c r="F1118" s="51">
        <f t="shared" si="615"/>
        <v>70701</v>
      </c>
      <c r="G1118" s="51">
        <f t="shared" si="615"/>
        <v>73876</v>
      </c>
      <c r="H1118" s="51">
        <f t="shared" si="615"/>
        <v>80500</v>
      </c>
      <c r="I1118" s="51">
        <f t="shared" si="615"/>
        <v>82351.5</v>
      </c>
      <c r="J1118" s="51">
        <f t="shared" si="615"/>
        <v>84327.936000000002</v>
      </c>
      <c r="K1118" s="51">
        <f t="shared" si="615"/>
        <v>86351.806464000008</v>
      </c>
      <c r="L1118" s="51">
        <f t="shared" si="615"/>
        <v>88337.898012671998</v>
      </c>
      <c r="M1118" s="51">
        <f t="shared" si="615"/>
        <v>90281.331768950797</v>
      </c>
      <c r="N1118" s="51">
        <f t="shared" si="615"/>
        <v>92357.802399636639</v>
      </c>
      <c r="O1118" s="51">
        <f t="shared" si="615"/>
        <v>94666.747459627542</v>
      </c>
      <c r="P1118" s="51">
        <f t="shared" si="615"/>
        <v>97033.416146118238</v>
      </c>
      <c r="Q1118" s="51">
        <f t="shared" si="615"/>
        <v>99362.21813362508</v>
      </c>
      <c r="R1118" s="51">
        <f t="shared" si="615"/>
        <v>101746.91136883208</v>
      </c>
    </row>
    <row r="1119" spans="1:18" x14ac:dyDescent="0.25">
      <c r="A1119" s="41"/>
      <c r="B1119" s="44"/>
      <c r="C1119" s="50"/>
      <c r="D1119" s="50"/>
      <c r="E1119" s="50"/>
      <c r="F1119" s="50"/>
      <c r="G1119" s="50"/>
      <c r="H1119" s="50"/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</row>
    <row r="1120" spans="1:18" x14ac:dyDescent="0.25">
      <c r="A1120" s="41" t="s">
        <v>165</v>
      </c>
      <c r="B1120" s="44"/>
      <c r="C1120" s="50"/>
      <c r="D1120" s="50"/>
      <c r="E1120" s="50"/>
      <c r="F1120" s="50"/>
      <c r="G1120" s="50"/>
      <c r="H1120" s="50"/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</row>
    <row r="1121" spans="1:18" x14ac:dyDescent="0.25">
      <c r="A1121" s="41"/>
      <c r="B1121" s="44"/>
      <c r="C1121" s="50"/>
      <c r="D1121" s="50"/>
      <c r="E1121" s="50"/>
      <c r="F1121" s="50"/>
      <c r="G1121" s="50"/>
      <c r="H1121" s="50"/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</row>
    <row r="1122" spans="1:18" x14ac:dyDescent="0.25">
      <c r="A1122" s="41" t="s">
        <v>723</v>
      </c>
      <c r="B1122" s="44"/>
      <c r="C1122" s="50"/>
      <c r="D1122" s="50"/>
      <c r="E1122" s="50"/>
      <c r="F1122" s="50"/>
      <c r="G1122" s="50"/>
      <c r="H1122" s="50"/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</row>
    <row r="1123" spans="1:18" x14ac:dyDescent="0.25">
      <c r="A1123" s="43" t="s">
        <v>217</v>
      </c>
      <c r="C1123" s="54">
        <v>40481</v>
      </c>
      <c r="D1123" s="54">
        <v>44416</v>
      </c>
      <c r="E1123" s="43">
        <v>41453</v>
      </c>
      <c r="F1123" s="43">
        <v>40381</v>
      </c>
      <c r="G1123" s="43">
        <v>45988</v>
      </c>
      <c r="H1123" s="43">
        <v>46200</v>
      </c>
      <c r="I1123" s="50">
        <f>H1123*1.025</f>
        <v>47354.999999999993</v>
      </c>
      <c r="J1123" s="50">
        <f>I1123*1.029</f>
        <v>48728.294999999991</v>
      </c>
      <c r="K1123" s="54">
        <f>J1123*1.031</f>
        <v>50238.872144999987</v>
      </c>
      <c r="L1123" s="54">
        <f>K1123*1.033</f>
        <v>51896.754925784982</v>
      </c>
      <c r="M1123" s="54">
        <f>L1123*1.032</f>
        <v>53557.451083410102</v>
      </c>
      <c r="N1123" s="54">
        <f>M1123*1.03</f>
        <v>55164.174615912409</v>
      </c>
      <c r="O1123" s="54">
        <f>N1123*1.032</f>
        <v>56929.42820362161</v>
      </c>
      <c r="P1123" s="54">
        <f>O1123*1.034</f>
        <v>58865.028762544745</v>
      </c>
      <c r="Q1123" s="54">
        <f>P1123*1.034</f>
        <v>60866.439740471265</v>
      </c>
      <c r="R1123" s="54">
        <f>Q1123*1.034</f>
        <v>62935.898691647293</v>
      </c>
    </row>
    <row r="1124" spans="1:18" x14ac:dyDescent="0.25">
      <c r="A1124" s="43" t="s">
        <v>219</v>
      </c>
      <c r="C1124" s="54">
        <v>2159</v>
      </c>
      <c r="D1124" s="54">
        <v>2863</v>
      </c>
      <c r="E1124" s="50">
        <v>2182</v>
      </c>
      <c r="F1124" s="54">
        <v>2095</v>
      </c>
      <c r="G1124" s="54">
        <v>2054</v>
      </c>
      <c r="H1124" s="50">
        <v>2000</v>
      </c>
      <c r="I1124" s="54">
        <v>2046</v>
      </c>
      <c r="J1124" s="54">
        <v>2095</v>
      </c>
      <c r="K1124" s="54">
        <v>2145</v>
      </c>
      <c r="L1124" s="54">
        <v>2194</v>
      </c>
      <c r="M1124" s="54">
        <v>2242</v>
      </c>
      <c r="N1124" s="54">
        <v>2294</v>
      </c>
      <c r="O1124" s="54">
        <v>2351</v>
      </c>
      <c r="P1124" s="54">
        <v>2410</v>
      </c>
      <c r="Q1124" s="54">
        <v>2468</v>
      </c>
      <c r="R1124" s="54">
        <v>2468</v>
      </c>
    </row>
    <row r="1125" spans="1:18" x14ac:dyDescent="0.25">
      <c r="A1125" s="43" t="s">
        <v>220</v>
      </c>
      <c r="C1125" s="50">
        <v>3926</v>
      </c>
      <c r="D1125" s="54">
        <v>5686</v>
      </c>
      <c r="E1125" s="54">
        <v>6587</v>
      </c>
      <c r="F1125" s="50">
        <v>4404</v>
      </c>
      <c r="G1125" s="50">
        <v>5055</v>
      </c>
      <c r="H1125" s="50">
        <v>5800</v>
      </c>
      <c r="I1125" s="50">
        <f>H1125*1.025</f>
        <v>5944.9999999999991</v>
      </c>
      <c r="J1125" s="50">
        <f>I1125*1.029</f>
        <v>6117.4049999999988</v>
      </c>
      <c r="K1125" s="54">
        <f>J1125*1.031</f>
        <v>6307.0445549999986</v>
      </c>
      <c r="L1125" s="54">
        <f>K1125*1.033</f>
        <v>6515.177025314998</v>
      </c>
      <c r="M1125" s="54">
        <f>L1125*1.032</f>
        <v>6723.6626901250784</v>
      </c>
      <c r="N1125" s="54">
        <f>M1125*1.03</f>
        <v>6925.3725708288312</v>
      </c>
      <c r="O1125" s="54">
        <f>N1125*1.032</f>
        <v>7146.9844930953541</v>
      </c>
      <c r="P1125" s="54">
        <f>O1125*1.034</f>
        <v>7389.9819658605966</v>
      </c>
      <c r="Q1125" s="54">
        <f>P1125*1.034</f>
        <v>7641.2413526998571</v>
      </c>
      <c r="R1125" s="54">
        <f>Q1125*1.034</f>
        <v>7901.0435586916528</v>
      </c>
    </row>
    <row r="1126" spans="1:18" x14ac:dyDescent="0.25">
      <c r="A1126" s="43" t="s">
        <v>221</v>
      </c>
      <c r="C1126" s="169">
        <v>1988</v>
      </c>
      <c r="D1126" s="180">
        <v>1988</v>
      </c>
      <c r="E1126" s="180">
        <v>2373</v>
      </c>
      <c r="F1126" s="98">
        <v>1849</v>
      </c>
      <c r="G1126" s="98">
        <v>1849</v>
      </c>
      <c r="H1126" s="98">
        <v>1860</v>
      </c>
      <c r="I1126" s="180">
        <v>1950</v>
      </c>
      <c r="J1126" s="180">
        <v>1950</v>
      </c>
      <c r="K1126" s="180">
        <v>2010</v>
      </c>
      <c r="L1126" s="180">
        <v>2100</v>
      </c>
      <c r="M1126" s="180">
        <v>2170</v>
      </c>
      <c r="N1126" s="180">
        <v>2150</v>
      </c>
      <c r="O1126" s="180">
        <v>2240</v>
      </c>
      <c r="P1126" s="180">
        <v>2330</v>
      </c>
      <c r="Q1126" s="180">
        <v>2430</v>
      </c>
      <c r="R1126" s="180">
        <v>2430</v>
      </c>
    </row>
    <row r="1127" spans="1:18" x14ac:dyDescent="0.25">
      <c r="A1127" s="52" t="s">
        <v>724</v>
      </c>
      <c r="B1127" s="53"/>
      <c r="C1127" s="54">
        <v>14390</v>
      </c>
      <c r="D1127" s="54">
        <v>16665</v>
      </c>
      <c r="E1127" s="50">
        <v>14301</v>
      </c>
      <c r="F1127" s="54">
        <v>20684</v>
      </c>
      <c r="G1127" s="54">
        <v>15750</v>
      </c>
      <c r="H1127" s="54">
        <v>16000</v>
      </c>
      <c r="I1127" s="54">
        <f t="shared" ref="I1127:I1135" si="616">H1127*1.023</f>
        <v>16367.999999999998</v>
      </c>
      <c r="J1127" s="54">
        <f t="shared" ref="J1127:K1135" si="617">I1127*1.024</f>
        <v>16760.831999999999</v>
      </c>
      <c r="K1127" s="54">
        <f t="shared" si="617"/>
        <v>17163.091968000001</v>
      </c>
      <c r="L1127" s="54">
        <f t="shared" ref="L1127:L1135" si="618">K1127*1.023</f>
        <v>17557.843083264001</v>
      </c>
      <c r="M1127" s="54">
        <f t="shared" ref="M1127:M1135" si="619">L1127*1.022</f>
        <v>17944.11563109581</v>
      </c>
      <c r="N1127" s="54">
        <f t="shared" ref="N1127:N1135" si="620">M1127*1.023</f>
        <v>18356.830290611011</v>
      </c>
      <c r="O1127" s="54">
        <f t="shared" ref="O1127:P1135" si="621">N1127*1.025</f>
        <v>18815.751047876285</v>
      </c>
      <c r="P1127" s="54">
        <f t="shared" si="621"/>
        <v>19286.144824073192</v>
      </c>
      <c r="Q1127" s="54">
        <f t="shared" ref="Q1127:R1135" si="622">P1127*1.024</f>
        <v>19749.012299850947</v>
      </c>
      <c r="R1127" s="54">
        <f t="shared" si="622"/>
        <v>20222.988595047369</v>
      </c>
    </row>
    <row r="1128" spans="1:18" x14ac:dyDescent="0.25">
      <c r="A1128" s="52" t="s">
        <v>226</v>
      </c>
      <c r="B1128" s="53"/>
      <c r="C1128" s="54">
        <v>117</v>
      </c>
      <c r="D1128" s="54">
        <v>230</v>
      </c>
      <c r="E1128" s="50">
        <v>758</v>
      </c>
      <c r="F1128" s="54">
        <v>345</v>
      </c>
      <c r="G1128" s="50">
        <v>301</v>
      </c>
      <c r="H1128" s="50">
        <v>800</v>
      </c>
      <c r="I1128" s="54">
        <f t="shared" si="616"/>
        <v>818.4</v>
      </c>
      <c r="J1128" s="54">
        <f t="shared" si="617"/>
        <v>838.04160000000002</v>
      </c>
      <c r="K1128" s="54">
        <f t="shared" si="617"/>
        <v>858.15459840000005</v>
      </c>
      <c r="L1128" s="54">
        <f t="shared" si="618"/>
        <v>877.89215416319996</v>
      </c>
      <c r="M1128" s="54">
        <f t="shared" si="619"/>
        <v>897.20578155479041</v>
      </c>
      <c r="N1128" s="54">
        <f t="shared" si="620"/>
        <v>917.84151453055051</v>
      </c>
      <c r="O1128" s="54">
        <f t="shared" si="621"/>
        <v>940.78755239381417</v>
      </c>
      <c r="P1128" s="54">
        <f t="shared" si="621"/>
        <v>964.30724120365949</v>
      </c>
      <c r="Q1128" s="54">
        <f t="shared" si="622"/>
        <v>987.45061499254734</v>
      </c>
      <c r="R1128" s="54">
        <f t="shared" si="622"/>
        <v>1011.1494297523685</v>
      </c>
    </row>
    <row r="1129" spans="1:18" x14ac:dyDescent="0.25">
      <c r="A1129" s="52" t="s">
        <v>725</v>
      </c>
      <c r="B1129" s="53"/>
      <c r="C1129" s="54">
        <v>0</v>
      </c>
      <c r="D1129" s="54">
        <v>0</v>
      </c>
      <c r="E1129" s="43">
        <v>0</v>
      </c>
      <c r="F1129" s="54">
        <v>0</v>
      </c>
      <c r="G1129" s="54">
        <v>0</v>
      </c>
      <c r="H1129" s="54">
        <v>5000</v>
      </c>
      <c r="I1129" s="54">
        <f t="shared" si="616"/>
        <v>5115</v>
      </c>
      <c r="J1129" s="54">
        <f t="shared" si="617"/>
        <v>5237.76</v>
      </c>
      <c r="K1129" s="54">
        <f t="shared" si="617"/>
        <v>5363.4662400000007</v>
      </c>
      <c r="L1129" s="54">
        <f t="shared" si="618"/>
        <v>5486.8259635200002</v>
      </c>
      <c r="M1129" s="54">
        <f t="shared" si="619"/>
        <v>5607.5361347174403</v>
      </c>
      <c r="N1129" s="54">
        <f t="shared" si="620"/>
        <v>5736.5094658159405</v>
      </c>
      <c r="O1129" s="54">
        <f t="shared" si="621"/>
        <v>5879.9222024613382</v>
      </c>
      <c r="P1129" s="54">
        <f t="shared" si="621"/>
        <v>6026.920257522871</v>
      </c>
      <c r="Q1129" s="54">
        <f t="shared" si="622"/>
        <v>6171.56634370342</v>
      </c>
      <c r="R1129" s="54">
        <f t="shared" si="622"/>
        <v>6319.6839359523019</v>
      </c>
    </row>
    <row r="1130" spans="1:18" x14ac:dyDescent="0.25">
      <c r="A1130" s="52" t="s">
        <v>726</v>
      </c>
      <c r="B1130" s="53"/>
      <c r="C1130" s="54">
        <v>5368</v>
      </c>
      <c r="D1130" s="54">
        <v>2500</v>
      </c>
      <c r="E1130" s="43">
        <v>4676</v>
      </c>
      <c r="F1130" s="54">
        <v>4389</v>
      </c>
      <c r="G1130" s="54">
        <v>4434</v>
      </c>
      <c r="H1130" s="54">
        <v>4700</v>
      </c>
      <c r="I1130" s="54">
        <f t="shared" si="616"/>
        <v>4808.0999999999995</v>
      </c>
      <c r="J1130" s="54">
        <f t="shared" si="617"/>
        <v>4923.4943999999996</v>
      </c>
      <c r="K1130" s="54">
        <f t="shared" si="617"/>
        <v>5041.6582656</v>
      </c>
      <c r="L1130" s="54">
        <f t="shared" si="618"/>
        <v>5157.6164057087999</v>
      </c>
      <c r="M1130" s="54">
        <f t="shared" si="619"/>
        <v>5271.0839666343936</v>
      </c>
      <c r="N1130" s="54">
        <f t="shared" si="620"/>
        <v>5392.3188978669841</v>
      </c>
      <c r="O1130" s="54">
        <f t="shared" si="621"/>
        <v>5527.1268703136584</v>
      </c>
      <c r="P1130" s="54">
        <f t="shared" si="621"/>
        <v>5665.305042071499</v>
      </c>
      <c r="Q1130" s="54">
        <f t="shared" si="622"/>
        <v>5801.2723630812152</v>
      </c>
      <c r="R1130" s="54">
        <f t="shared" si="622"/>
        <v>5940.5028997951649</v>
      </c>
    </row>
    <row r="1131" spans="1:18" x14ac:dyDescent="0.25">
      <c r="A1131" s="52" t="s">
        <v>727</v>
      </c>
      <c r="B1131" s="53"/>
      <c r="C1131" s="54">
        <v>5500</v>
      </c>
      <c r="D1131" s="54">
        <v>7417</v>
      </c>
      <c r="E1131" s="43">
        <f>6682</f>
        <v>6682</v>
      </c>
      <c r="F1131" s="54">
        <v>7558</v>
      </c>
      <c r="G1131" s="50">
        <v>13154</v>
      </c>
      <c r="H1131" s="50">
        <f>7800+8100</f>
        <v>15900</v>
      </c>
      <c r="I1131" s="54">
        <f t="shared" si="616"/>
        <v>16265.699999999999</v>
      </c>
      <c r="J1131" s="54">
        <f t="shared" si="617"/>
        <v>16656.076799999999</v>
      </c>
      <c r="K1131" s="54">
        <f t="shared" si="617"/>
        <v>17055.822643200001</v>
      </c>
      <c r="L1131" s="54">
        <f t="shared" si="618"/>
        <v>17448.106563993599</v>
      </c>
      <c r="M1131" s="54">
        <f t="shared" si="619"/>
        <v>17831.96490840146</v>
      </c>
      <c r="N1131" s="54">
        <f t="shared" si="620"/>
        <v>18242.100101294691</v>
      </c>
      <c r="O1131" s="54">
        <f t="shared" si="621"/>
        <v>18698.152603827057</v>
      </c>
      <c r="P1131" s="54">
        <f t="shared" si="621"/>
        <v>19165.606418922733</v>
      </c>
      <c r="Q1131" s="54">
        <f t="shared" si="622"/>
        <v>19625.580972976877</v>
      </c>
      <c r="R1131" s="54">
        <f t="shared" si="622"/>
        <v>20096.594916328322</v>
      </c>
    </row>
    <row r="1132" spans="1:18" x14ac:dyDescent="0.25">
      <c r="A1132" s="52" t="s">
        <v>728</v>
      </c>
      <c r="B1132" s="53"/>
      <c r="C1132" s="59">
        <v>0</v>
      </c>
      <c r="D1132" s="54">
        <v>0</v>
      </c>
      <c r="E1132" s="43">
        <v>0</v>
      </c>
      <c r="F1132" s="54">
        <v>0</v>
      </c>
      <c r="G1132" s="50">
        <v>0</v>
      </c>
      <c r="H1132" s="50">
        <v>0</v>
      </c>
      <c r="I1132" s="54">
        <f t="shared" si="616"/>
        <v>0</v>
      </c>
      <c r="J1132" s="54">
        <f t="shared" si="617"/>
        <v>0</v>
      </c>
      <c r="K1132" s="54">
        <f t="shared" si="617"/>
        <v>0</v>
      </c>
      <c r="L1132" s="54">
        <f t="shared" si="618"/>
        <v>0</v>
      </c>
      <c r="M1132" s="54">
        <f t="shared" si="619"/>
        <v>0</v>
      </c>
      <c r="N1132" s="54">
        <f t="shared" si="620"/>
        <v>0</v>
      </c>
      <c r="O1132" s="54">
        <f t="shared" si="621"/>
        <v>0</v>
      </c>
      <c r="P1132" s="54">
        <f t="shared" si="621"/>
        <v>0</v>
      </c>
      <c r="Q1132" s="54">
        <f t="shared" si="622"/>
        <v>0</v>
      </c>
      <c r="R1132" s="54">
        <f t="shared" si="622"/>
        <v>0</v>
      </c>
    </row>
    <row r="1133" spans="1:18" x14ac:dyDescent="0.25">
      <c r="A1133" s="52" t="s">
        <v>729</v>
      </c>
      <c r="B1133" s="53"/>
      <c r="C1133" s="59">
        <v>0</v>
      </c>
      <c r="D1133" s="54">
        <v>0</v>
      </c>
      <c r="E1133" s="43">
        <v>0</v>
      </c>
      <c r="F1133" s="54">
        <v>0</v>
      </c>
      <c r="G1133" s="50">
        <v>0</v>
      </c>
      <c r="H1133" s="50">
        <v>1000</v>
      </c>
      <c r="I1133" s="54">
        <f t="shared" si="616"/>
        <v>1022.9999999999999</v>
      </c>
      <c r="J1133" s="54">
        <f t="shared" si="617"/>
        <v>1047.5519999999999</v>
      </c>
      <c r="K1133" s="54">
        <f t="shared" si="617"/>
        <v>1072.693248</v>
      </c>
      <c r="L1133" s="54">
        <f t="shared" si="618"/>
        <v>1097.365192704</v>
      </c>
      <c r="M1133" s="54">
        <f t="shared" si="619"/>
        <v>1121.5072269434881</v>
      </c>
      <c r="N1133" s="54">
        <f t="shared" si="620"/>
        <v>1147.3018931631882</v>
      </c>
      <c r="O1133" s="54">
        <f t="shared" si="621"/>
        <v>1175.9844404922678</v>
      </c>
      <c r="P1133" s="54">
        <f t="shared" si="621"/>
        <v>1205.3840515045745</v>
      </c>
      <c r="Q1133" s="54">
        <f t="shared" si="622"/>
        <v>1234.3132687406842</v>
      </c>
      <c r="R1133" s="54">
        <f t="shared" si="622"/>
        <v>1263.9367871904606</v>
      </c>
    </row>
    <row r="1134" spans="1:18" x14ac:dyDescent="0.25">
      <c r="A1134" s="52" t="s">
        <v>730</v>
      </c>
      <c r="B1134" s="53"/>
      <c r="C1134" s="54">
        <v>1402</v>
      </c>
      <c r="D1134" s="54">
        <v>0</v>
      </c>
      <c r="E1134" s="43">
        <v>2000</v>
      </c>
      <c r="F1134" s="54">
        <v>0</v>
      </c>
      <c r="G1134" s="50">
        <v>0</v>
      </c>
      <c r="H1134" s="50">
        <v>2000</v>
      </c>
      <c r="I1134" s="54">
        <f t="shared" si="616"/>
        <v>2045.9999999999998</v>
      </c>
      <c r="J1134" s="54">
        <f t="shared" si="617"/>
        <v>2095.1039999999998</v>
      </c>
      <c r="K1134" s="54">
        <f t="shared" si="617"/>
        <v>2145.3864960000001</v>
      </c>
      <c r="L1134" s="54">
        <f t="shared" si="618"/>
        <v>2194.7303854080001</v>
      </c>
      <c r="M1134" s="54">
        <f t="shared" si="619"/>
        <v>2243.0144538869763</v>
      </c>
      <c r="N1134" s="54">
        <f t="shared" si="620"/>
        <v>2294.6037863263764</v>
      </c>
      <c r="O1134" s="54">
        <f t="shared" si="621"/>
        <v>2351.9688809845356</v>
      </c>
      <c r="P1134" s="54">
        <f t="shared" si="621"/>
        <v>2410.7681030091489</v>
      </c>
      <c r="Q1134" s="54">
        <f t="shared" si="622"/>
        <v>2468.6265374813684</v>
      </c>
      <c r="R1134" s="54">
        <f t="shared" si="622"/>
        <v>2527.8735743809211</v>
      </c>
    </row>
    <row r="1135" spans="1:18" x14ac:dyDescent="0.25">
      <c r="A1135" s="59" t="s">
        <v>731</v>
      </c>
      <c r="B1135" s="66"/>
      <c r="C1135" s="59">
        <v>0</v>
      </c>
      <c r="D1135" s="54">
        <v>0</v>
      </c>
      <c r="E1135" s="43">
        <v>0</v>
      </c>
      <c r="F1135" s="54">
        <v>0</v>
      </c>
      <c r="G1135" s="50">
        <v>0</v>
      </c>
      <c r="H1135" s="50">
        <v>2000</v>
      </c>
      <c r="I1135" s="54">
        <f t="shared" si="616"/>
        <v>2045.9999999999998</v>
      </c>
      <c r="J1135" s="54">
        <f t="shared" si="617"/>
        <v>2095.1039999999998</v>
      </c>
      <c r="K1135" s="54">
        <f t="shared" si="617"/>
        <v>2145.3864960000001</v>
      </c>
      <c r="L1135" s="54">
        <f t="shared" si="618"/>
        <v>2194.7303854080001</v>
      </c>
      <c r="M1135" s="54">
        <f t="shared" si="619"/>
        <v>2243.0144538869763</v>
      </c>
      <c r="N1135" s="54">
        <f t="shared" si="620"/>
        <v>2294.6037863263764</v>
      </c>
      <c r="O1135" s="54">
        <f t="shared" si="621"/>
        <v>2351.9688809845356</v>
      </c>
      <c r="P1135" s="54">
        <f t="shared" si="621"/>
        <v>2410.7681030091489</v>
      </c>
      <c r="Q1135" s="54">
        <f t="shared" si="622"/>
        <v>2468.6265374813684</v>
      </c>
      <c r="R1135" s="54">
        <f t="shared" si="622"/>
        <v>2527.8735743809211</v>
      </c>
    </row>
    <row r="1136" spans="1:18" x14ac:dyDescent="0.25">
      <c r="A1136" s="52" t="s">
        <v>732</v>
      </c>
      <c r="B1136" s="53"/>
      <c r="C1136" s="59">
        <v>0</v>
      </c>
      <c r="D1136" s="54">
        <f>C1136*1.025</f>
        <v>0</v>
      </c>
      <c r="E1136" s="54">
        <f>D1136*1.025</f>
        <v>0</v>
      </c>
      <c r="F1136" s="54">
        <v>0</v>
      </c>
      <c r="G1136" s="54">
        <v>0</v>
      </c>
      <c r="H1136" s="54">
        <v>0</v>
      </c>
      <c r="I1136" s="54">
        <v>0</v>
      </c>
      <c r="J1136" s="54">
        <v>0</v>
      </c>
      <c r="K1136" s="54">
        <v>0</v>
      </c>
      <c r="L1136" s="54">
        <v>0</v>
      </c>
      <c r="M1136" s="54">
        <v>0</v>
      </c>
      <c r="N1136" s="54">
        <v>0</v>
      </c>
      <c r="O1136" s="54">
        <v>0</v>
      </c>
      <c r="P1136" s="54">
        <v>0</v>
      </c>
      <c r="Q1136" s="54">
        <f t="shared" ref="Q1136:R1137" si="623">P1136*1.02</f>
        <v>0</v>
      </c>
      <c r="R1136" s="54">
        <f t="shared" si="623"/>
        <v>0</v>
      </c>
    </row>
    <row r="1137" spans="1:18" x14ac:dyDescent="0.25">
      <c r="A1137" s="52" t="s">
        <v>733</v>
      </c>
      <c r="B1137" s="53"/>
      <c r="C1137" s="59">
        <v>0</v>
      </c>
      <c r="D1137" s="54">
        <f>C1137*1.025</f>
        <v>0</v>
      </c>
      <c r="E1137" s="54">
        <f>D1137*1.025</f>
        <v>0</v>
      </c>
      <c r="F1137" s="54">
        <v>0</v>
      </c>
      <c r="G1137" s="54">
        <v>0</v>
      </c>
      <c r="H1137" s="54">
        <v>0</v>
      </c>
      <c r="I1137" s="54">
        <v>0</v>
      </c>
      <c r="J1137" s="54">
        <v>0</v>
      </c>
      <c r="K1137" s="54">
        <v>0</v>
      </c>
      <c r="L1137" s="54">
        <v>0</v>
      </c>
      <c r="M1137" s="54">
        <v>0</v>
      </c>
      <c r="N1137" s="54">
        <v>0</v>
      </c>
      <c r="O1137" s="54">
        <v>0</v>
      </c>
      <c r="P1137" s="54">
        <v>0</v>
      </c>
      <c r="Q1137" s="54">
        <f t="shared" si="623"/>
        <v>0</v>
      </c>
      <c r="R1137" s="54">
        <f t="shared" si="623"/>
        <v>0</v>
      </c>
    </row>
    <row r="1138" spans="1:18" x14ac:dyDescent="0.25">
      <c r="A1138" s="52" t="s">
        <v>712</v>
      </c>
      <c r="B1138" s="53"/>
      <c r="C1138" s="59">
        <v>0</v>
      </c>
      <c r="D1138" s="54"/>
      <c r="E1138" s="54"/>
      <c r="F1138" s="54"/>
      <c r="G1138" s="54"/>
      <c r="H1138" s="54"/>
      <c r="I1138" s="54"/>
      <c r="J1138" s="54"/>
      <c r="K1138" s="54"/>
      <c r="L1138" s="54"/>
      <c r="M1138" s="54"/>
      <c r="N1138" s="54"/>
      <c r="O1138" s="54"/>
      <c r="P1138" s="54"/>
      <c r="Q1138" s="54"/>
      <c r="R1138" s="54"/>
    </row>
    <row r="1139" spans="1:18" x14ac:dyDescent="0.25">
      <c r="A1139" s="59" t="s">
        <v>714</v>
      </c>
      <c r="B1139" s="53"/>
      <c r="C1139" s="59"/>
      <c r="D1139" s="54"/>
      <c r="E1139" s="54"/>
      <c r="F1139" s="54"/>
      <c r="G1139" s="50"/>
      <c r="H1139" s="54"/>
      <c r="I1139" s="54"/>
      <c r="J1139" s="54"/>
      <c r="K1139" s="54"/>
      <c r="L1139" s="54"/>
      <c r="M1139" s="54"/>
      <c r="N1139" s="54"/>
      <c r="O1139" s="54"/>
      <c r="P1139" s="54"/>
      <c r="Q1139" s="54"/>
      <c r="R1139" s="54"/>
    </row>
    <row r="1140" spans="1:18" x14ac:dyDescent="0.25">
      <c r="A1140" s="52"/>
      <c r="B1140" s="53"/>
      <c r="C1140" s="50"/>
      <c r="D1140" s="50"/>
      <c r="E1140" s="50"/>
      <c r="F1140" s="50"/>
      <c r="G1140" s="50"/>
      <c r="H1140" s="50"/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</row>
    <row r="1141" spans="1:18" x14ac:dyDescent="0.25">
      <c r="A1141" s="41" t="s">
        <v>734</v>
      </c>
      <c r="B1141" s="44"/>
      <c r="C1141" s="51">
        <f t="shared" ref="C1141" si="624">SUM(C1123:C1140)</f>
        <v>75331</v>
      </c>
      <c r="D1141" s="51">
        <f t="shared" ref="D1141:F1141" si="625">SUM(D1123:D1140)</f>
        <v>81765</v>
      </c>
      <c r="E1141" s="51">
        <f t="shared" si="625"/>
        <v>81012</v>
      </c>
      <c r="F1141" s="51">
        <f t="shared" si="625"/>
        <v>81705</v>
      </c>
      <c r="G1141" s="51">
        <f t="shared" ref="G1141" si="626">SUM(G1123:G1139)</f>
        <v>88585</v>
      </c>
      <c r="H1141" s="51">
        <f t="shared" ref="H1141:R1141" si="627">SUM(H1123:H1140)</f>
        <v>103260</v>
      </c>
      <c r="I1141" s="51">
        <f t="shared" si="627"/>
        <v>105786.19999999998</v>
      </c>
      <c r="J1141" s="51">
        <f t="shared" si="627"/>
        <v>108544.66479999998</v>
      </c>
      <c r="K1141" s="51">
        <f t="shared" si="627"/>
        <v>111546.57665519998</v>
      </c>
      <c r="L1141" s="51">
        <f t="shared" si="627"/>
        <v>114721.04208526957</v>
      </c>
      <c r="M1141" s="51">
        <f t="shared" si="627"/>
        <v>117852.55633065653</v>
      </c>
      <c r="N1141" s="51">
        <f t="shared" si="627"/>
        <v>120915.65692267634</v>
      </c>
      <c r="O1141" s="51">
        <f t="shared" si="627"/>
        <v>124409.07517605045</v>
      </c>
      <c r="P1141" s="51">
        <f t="shared" si="627"/>
        <v>128130.21476972217</v>
      </c>
      <c r="Q1141" s="51">
        <f t="shared" si="627"/>
        <v>131912.13003147955</v>
      </c>
      <c r="R1141" s="51">
        <f t="shared" si="627"/>
        <v>135645.54596316675</v>
      </c>
    </row>
    <row r="1142" spans="1:18" x14ac:dyDescent="0.25">
      <c r="C1142" s="50"/>
      <c r="D1142" s="50"/>
      <c r="E1142" s="50"/>
      <c r="F1142" s="50"/>
      <c r="G1142" s="50"/>
      <c r="H1142" s="50"/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</row>
    <row r="1143" spans="1:18" x14ac:dyDescent="0.25">
      <c r="A1143" s="41" t="s">
        <v>735</v>
      </c>
      <c r="B1143" s="44"/>
      <c r="C1143" s="50"/>
      <c r="D1143" s="50"/>
      <c r="E1143" s="50"/>
      <c r="F1143" s="50"/>
      <c r="G1143" s="50"/>
      <c r="H1143" s="50"/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</row>
    <row r="1144" spans="1:18" x14ac:dyDescent="0.25">
      <c r="A1144" s="43" t="s">
        <v>736</v>
      </c>
      <c r="C1144" s="54">
        <v>159320</v>
      </c>
      <c r="D1144">
        <v>165207</v>
      </c>
      <c r="E1144" s="43">
        <v>147272</v>
      </c>
      <c r="F1144" s="50">
        <v>139388</v>
      </c>
      <c r="G1144" s="50">
        <v>139485</v>
      </c>
      <c r="H1144" s="50">
        <v>175100</v>
      </c>
      <c r="I1144" s="50">
        <f>H1144*1.025</f>
        <v>179477.49999999997</v>
      </c>
      <c r="J1144" s="50">
        <f>I1144*1.029</f>
        <v>184682.34749999995</v>
      </c>
      <c r="K1144" s="54">
        <f>J1144*1.031</f>
        <v>190407.50027249992</v>
      </c>
      <c r="L1144" s="54">
        <f>K1144*1.033</f>
        <v>196690.9477814924</v>
      </c>
      <c r="M1144" s="54">
        <f>L1144*1.032</f>
        <v>202985.05811050016</v>
      </c>
      <c r="N1144" s="54">
        <f>M1144*1.03</f>
        <v>209074.60985381517</v>
      </c>
      <c r="O1144" s="54">
        <f>N1144*1.032</f>
        <v>215764.99736913727</v>
      </c>
      <c r="P1144" s="54">
        <f>O1144*1.034</f>
        <v>223101.00727968794</v>
      </c>
      <c r="Q1144" s="54">
        <f>P1144*1.034</f>
        <v>230686.44152719734</v>
      </c>
      <c r="R1144" s="54">
        <f>Q1144*1.034</f>
        <v>238529.78053912206</v>
      </c>
    </row>
    <row r="1145" spans="1:18" x14ac:dyDescent="0.25">
      <c r="A1145" s="43" t="s">
        <v>737</v>
      </c>
      <c r="C1145" s="54">
        <v>21183</v>
      </c>
      <c r="D1145" s="50">
        <v>13937</v>
      </c>
      <c r="E1145" s="50">
        <v>11353</v>
      </c>
      <c r="F1145" s="50">
        <v>10294</v>
      </c>
      <c r="G1145" s="50">
        <v>10016</v>
      </c>
      <c r="H1145" s="50">
        <v>12000</v>
      </c>
      <c r="I1145" s="54">
        <v>12276</v>
      </c>
      <c r="J1145" s="54">
        <v>12571</v>
      </c>
      <c r="K1145" s="54">
        <v>12873</v>
      </c>
      <c r="L1145" s="54">
        <v>13169</v>
      </c>
      <c r="M1145" s="54">
        <v>13459</v>
      </c>
      <c r="N1145" s="54">
        <v>13769</v>
      </c>
      <c r="O1145" s="54">
        <v>14113</v>
      </c>
      <c r="P1145" s="54">
        <v>14466</v>
      </c>
      <c r="Q1145" s="54">
        <v>14813</v>
      </c>
      <c r="R1145" s="54">
        <v>14813</v>
      </c>
    </row>
    <row r="1146" spans="1:18" x14ac:dyDescent="0.25">
      <c r="A1146" s="43" t="s">
        <v>220</v>
      </c>
      <c r="C1146" s="50">
        <v>20520</v>
      </c>
      <c r="D1146">
        <v>24016</v>
      </c>
      <c r="E1146" s="54">
        <v>19282</v>
      </c>
      <c r="F1146" s="50">
        <v>35418</v>
      </c>
      <c r="G1146" s="50">
        <v>14477</v>
      </c>
      <c r="H1146" s="50">
        <v>22800</v>
      </c>
      <c r="I1146" s="50">
        <f>H1146*1.025</f>
        <v>23369.999999999996</v>
      </c>
      <c r="J1146" s="50">
        <f>I1146*1.029</f>
        <v>24047.729999999996</v>
      </c>
      <c r="K1146" s="54">
        <f>J1146*1.031</f>
        <v>24793.209629999994</v>
      </c>
      <c r="L1146" s="54">
        <f>K1146*1.033</f>
        <v>25611.385547789992</v>
      </c>
      <c r="M1146" s="54">
        <f>L1146*1.032</f>
        <v>26430.949885319274</v>
      </c>
      <c r="N1146" s="54">
        <f>M1146*1.03</f>
        <v>27223.878381878854</v>
      </c>
      <c r="O1146" s="54">
        <f>N1146*1.032</f>
        <v>28095.042490098978</v>
      </c>
      <c r="P1146" s="54">
        <f>O1146*1.034</f>
        <v>29050.273934762343</v>
      </c>
      <c r="Q1146" s="54">
        <f>P1146*1.034</f>
        <v>30037.983248544264</v>
      </c>
      <c r="R1146" s="54">
        <f>Q1146*1.034</f>
        <v>31059.274678994771</v>
      </c>
    </row>
    <row r="1147" spans="1:18" x14ac:dyDescent="0.25">
      <c r="A1147" s="43" t="s">
        <v>221</v>
      </c>
      <c r="C1147" s="169">
        <v>5691</v>
      </c>
      <c r="D1147" s="98">
        <v>5217</v>
      </c>
      <c r="E1147" s="98">
        <v>5109</v>
      </c>
      <c r="F1147" s="98">
        <v>5109</v>
      </c>
      <c r="G1147" s="98">
        <v>4857</v>
      </c>
      <c r="H1147" s="98">
        <v>10200</v>
      </c>
      <c r="I1147" s="98">
        <v>10200</v>
      </c>
      <c r="J1147" s="98">
        <v>10200</v>
      </c>
      <c r="K1147" s="180">
        <v>10600</v>
      </c>
      <c r="L1147" s="180">
        <v>10600</v>
      </c>
      <c r="M1147" s="180">
        <v>10600</v>
      </c>
      <c r="N1147" s="180">
        <v>11200</v>
      </c>
      <c r="O1147" s="180">
        <v>11200</v>
      </c>
      <c r="P1147" s="180">
        <v>11200</v>
      </c>
      <c r="Q1147" s="180">
        <v>12100</v>
      </c>
      <c r="R1147" s="180">
        <v>12100</v>
      </c>
    </row>
    <row r="1148" spans="1:18" x14ac:dyDescent="0.25">
      <c r="A1148" s="43" t="s">
        <v>738</v>
      </c>
      <c r="C1148" s="54">
        <f>1167+34451-20</f>
        <v>35598</v>
      </c>
      <c r="D1148" s="50">
        <v>30105</v>
      </c>
      <c r="E1148" s="43">
        <f>1102+1200+35437+36672</f>
        <v>74411</v>
      </c>
      <c r="F1148" s="54">
        <v>112471</v>
      </c>
      <c r="G1148" s="50">
        <v>59935</v>
      </c>
      <c r="H1148" s="50">
        <v>43100</v>
      </c>
      <c r="I1148" s="54">
        <f t="shared" ref="I1148:I1149" si="628">H1148*1.023</f>
        <v>44091.299999999996</v>
      </c>
      <c r="J1148" s="54">
        <f t="shared" ref="J1148:K1149" si="629">I1148*1.024</f>
        <v>45149.491199999997</v>
      </c>
      <c r="K1148" s="54">
        <f t="shared" si="629"/>
        <v>46233.0789888</v>
      </c>
      <c r="L1148" s="54">
        <f t="shared" ref="L1148:L1149" si="630">K1148*1.023</f>
        <v>47296.439805542395</v>
      </c>
      <c r="M1148" s="54">
        <f t="shared" ref="M1148:M1149" si="631">L1148*1.022</f>
        <v>48336.961481264327</v>
      </c>
      <c r="N1148" s="54">
        <f t="shared" ref="N1148:N1149" si="632">M1148*1.023</f>
        <v>49448.7115953334</v>
      </c>
      <c r="O1148" s="54">
        <f t="shared" ref="O1148:P1149" si="633">N1148*1.025</f>
        <v>50684.929385216732</v>
      </c>
      <c r="P1148" s="54">
        <f t="shared" si="633"/>
        <v>51952.052619847149</v>
      </c>
      <c r="Q1148" s="54">
        <f t="shared" ref="Q1148:R1149" si="634">P1148*1.024</f>
        <v>53198.901882723483</v>
      </c>
      <c r="R1148" s="54">
        <f t="shared" si="634"/>
        <v>54475.675527908847</v>
      </c>
    </row>
    <row r="1149" spans="1:18" x14ac:dyDescent="0.25">
      <c r="A1149" s="52" t="s">
        <v>739</v>
      </c>
      <c r="B1149" s="53"/>
      <c r="C1149" s="54">
        <v>356</v>
      </c>
      <c r="D1149" s="54">
        <v>399</v>
      </c>
      <c r="E1149" s="43">
        <v>0</v>
      </c>
      <c r="F1149" s="54">
        <v>0</v>
      </c>
      <c r="G1149" s="54">
        <v>0</v>
      </c>
      <c r="H1149" s="50">
        <v>500</v>
      </c>
      <c r="I1149" s="54">
        <f t="shared" si="628"/>
        <v>511.49999999999994</v>
      </c>
      <c r="J1149" s="54">
        <f t="shared" si="629"/>
        <v>523.77599999999995</v>
      </c>
      <c r="K1149" s="54">
        <f t="shared" si="629"/>
        <v>536.34662400000002</v>
      </c>
      <c r="L1149" s="54">
        <f t="shared" si="630"/>
        <v>548.68259635200002</v>
      </c>
      <c r="M1149" s="54">
        <f t="shared" si="631"/>
        <v>560.75361347174407</v>
      </c>
      <c r="N1149" s="54">
        <f t="shared" si="632"/>
        <v>573.6509465815941</v>
      </c>
      <c r="O1149" s="54">
        <f t="shared" si="633"/>
        <v>587.99222024613391</v>
      </c>
      <c r="P1149" s="54">
        <f t="shared" si="633"/>
        <v>602.69202575228724</v>
      </c>
      <c r="Q1149" s="54">
        <f t="shared" si="634"/>
        <v>617.15663437034209</v>
      </c>
      <c r="R1149" s="54">
        <f t="shared" si="634"/>
        <v>631.96839359523028</v>
      </c>
    </row>
    <row r="1150" spans="1:18" x14ac:dyDescent="0.25">
      <c r="A1150" s="52"/>
      <c r="B1150" s="53"/>
      <c r="C1150" s="50"/>
      <c r="D1150" s="50"/>
      <c r="E1150" s="50"/>
      <c r="F1150" s="50"/>
      <c r="G1150" s="50"/>
      <c r="H1150" s="50"/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</row>
    <row r="1151" spans="1:18" x14ac:dyDescent="0.25">
      <c r="A1151" s="41" t="s">
        <v>722</v>
      </c>
      <c r="B1151" s="44"/>
      <c r="C1151" s="51">
        <f t="shared" ref="C1151" si="635">SUM(C1144:C1150)</f>
        <v>242668</v>
      </c>
      <c r="D1151" s="51">
        <f t="shared" ref="D1151:R1151" si="636">SUM(D1144:D1150)</f>
        <v>238881</v>
      </c>
      <c r="E1151" s="51">
        <f t="shared" si="636"/>
        <v>257427</v>
      </c>
      <c r="F1151" s="51">
        <f t="shared" si="636"/>
        <v>302680</v>
      </c>
      <c r="G1151" s="51">
        <f t="shared" si="636"/>
        <v>228770</v>
      </c>
      <c r="H1151" s="51">
        <f t="shared" si="636"/>
        <v>263700</v>
      </c>
      <c r="I1151" s="51">
        <f t="shared" si="636"/>
        <v>269926.3</v>
      </c>
      <c r="J1151" s="51">
        <f t="shared" si="636"/>
        <v>277174.34469999996</v>
      </c>
      <c r="K1151" s="51">
        <f t="shared" si="636"/>
        <v>285443.13551529992</v>
      </c>
      <c r="L1151" s="51">
        <f t="shared" si="636"/>
        <v>293916.45573117683</v>
      </c>
      <c r="M1151" s="51">
        <f t="shared" si="636"/>
        <v>302372.72309055552</v>
      </c>
      <c r="N1151" s="51">
        <f t="shared" si="636"/>
        <v>311289.85077760904</v>
      </c>
      <c r="O1151" s="51">
        <f t="shared" si="636"/>
        <v>320445.96146469907</v>
      </c>
      <c r="P1151" s="51">
        <f t="shared" si="636"/>
        <v>330372.02586004965</v>
      </c>
      <c r="Q1151" s="51">
        <f t="shared" si="636"/>
        <v>341453.48329283542</v>
      </c>
      <c r="R1151" s="51">
        <f t="shared" si="636"/>
        <v>351609.69913962093</v>
      </c>
    </row>
    <row r="1152" spans="1:18" x14ac:dyDescent="0.25">
      <c r="A1152" s="41"/>
      <c r="B1152" s="44"/>
      <c r="C1152" s="50"/>
      <c r="D1152" s="50"/>
      <c r="E1152" s="50"/>
      <c r="F1152" s="50"/>
      <c r="G1152" s="50"/>
      <c r="H1152" s="50"/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</row>
    <row r="1153" spans="1:18" x14ac:dyDescent="0.25">
      <c r="A1153" s="41" t="s">
        <v>230</v>
      </c>
      <c r="B1153" s="44"/>
      <c r="C1153" s="51">
        <f t="shared" ref="C1153:R1153" si="637">C1141+C1151</f>
        <v>317999</v>
      </c>
      <c r="D1153" s="51">
        <f t="shared" si="637"/>
        <v>320646</v>
      </c>
      <c r="E1153" s="51">
        <f t="shared" si="637"/>
        <v>338439</v>
      </c>
      <c r="F1153" s="51">
        <f t="shared" si="637"/>
        <v>384385</v>
      </c>
      <c r="G1153" s="51">
        <f t="shared" si="637"/>
        <v>317355</v>
      </c>
      <c r="H1153" s="51">
        <f t="shared" si="637"/>
        <v>366960</v>
      </c>
      <c r="I1153" s="51">
        <f t="shared" si="637"/>
        <v>375712.5</v>
      </c>
      <c r="J1153" s="51">
        <f t="shared" si="637"/>
        <v>385719.00949999993</v>
      </c>
      <c r="K1153" s="51">
        <f t="shared" si="637"/>
        <v>396989.7121704999</v>
      </c>
      <c r="L1153" s="51">
        <f t="shared" si="637"/>
        <v>408637.49781644641</v>
      </c>
      <c r="M1153" s="51">
        <f t="shared" si="637"/>
        <v>420225.27942121204</v>
      </c>
      <c r="N1153" s="51">
        <f t="shared" si="637"/>
        <v>432205.50770028541</v>
      </c>
      <c r="O1153" s="51">
        <f t="shared" si="637"/>
        <v>444855.03664074955</v>
      </c>
      <c r="P1153" s="51">
        <f t="shared" si="637"/>
        <v>458502.24062977184</v>
      </c>
      <c r="Q1153" s="51">
        <f t="shared" si="637"/>
        <v>473365.61332431494</v>
      </c>
      <c r="R1153" s="51">
        <f t="shared" si="637"/>
        <v>487255.24510278768</v>
      </c>
    </row>
    <row r="1154" spans="1:18" x14ac:dyDescent="0.25">
      <c r="C1154" s="50"/>
      <c r="D1154" s="50"/>
      <c r="E1154" s="50"/>
      <c r="F1154" s="50"/>
      <c r="G1154" s="50"/>
      <c r="H1154" s="50"/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</row>
    <row r="1155" spans="1:18" x14ac:dyDescent="0.25">
      <c r="A1155" s="41" t="s">
        <v>740</v>
      </c>
      <c r="B1155" s="44"/>
      <c r="C1155" s="51">
        <f t="shared" ref="C1155" si="638">C1153-C1118</f>
        <v>252137</v>
      </c>
      <c r="D1155" s="51">
        <f>D1153-D1118</f>
        <v>253070</v>
      </c>
      <c r="E1155" s="51">
        <f t="shared" ref="E1155:R1155" si="639">E1153-E1118</f>
        <v>270032</v>
      </c>
      <c r="F1155" s="51">
        <f t="shared" si="639"/>
        <v>313684</v>
      </c>
      <c r="G1155" s="51">
        <f t="shared" si="639"/>
        <v>243479</v>
      </c>
      <c r="H1155" s="51">
        <f t="shared" si="639"/>
        <v>286460</v>
      </c>
      <c r="I1155" s="51">
        <f t="shared" si="639"/>
        <v>293361</v>
      </c>
      <c r="J1155" s="51">
        <f t="shared" si="639"/>
        <v>301391.07349999994</v>
      </c>
      <c r="K1155" s="51">
        <f t="shared" si="639"/>
        <v>310637.90570649988</v>
      </c>
      <c r="L1155" s="51">
        <f t="shared" si="639"/>
        <v>320299.59980377438</v>
      </c>
      <c r="M1155" s="51">
        <f t="shared" si="639"/>
        <v>329943.94765226124</v>
      </c>
      <c r="N1155" s="51">
        <f t="shared" si="639"/>
        <v>339847.70530064875</v>
      </c>
      <c r="O1155" s="51">
        <f t="shared" si="639"/>
        <v>350188.28918112197</v>
      </c>
      <c r="P1155" s="51">
        <f t="shared" si="639"/>
        <v>361468.82448365359</v>
      </c>
      <c r="Q1155" s="51">
        <f t="shared" si="639"/>
        <v>374003.39519068983</v>
      </c>
      <c r="R1155" s="51">
        <f t="shared" si="639"/>
        <v>385508.33373395563</v>
      </c>
    </row>
    <row r="1156" spans="1:18" x14ac:dyDescent="0.25">
      <c r="C1156" s="50"/>
      <c r="D1156" s="50"/>
      <c r="E1156" s="50"/>
      <c r="F1156" s="50"/>
      <c r="G1156" s="50"/>
      <c r="H1156" s="50"/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</row>
    <row r="1157" spans="1:18" x14ac:dyDescent="0.25">
      <c r="A1157" s="41" t="s">
        <v>741</v>
      </c>
      <c r="B1157" s="44"/>
      <c r="C1157" s="50"/>
      <c r="D1157" s="50"/>
      <c r="E1157" s="50"/>
      <c r="F1157" s="50"/>
      <c r="G1157" s="50"/>
      <c r="H1157" s="50"/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</row>
    <row r="1158" spans="1:18" x14ac:dyDescent="0.25">
      <c r="A1158" s="41"/>
      <c r="B1158" s="44"/>
      <c r="C1158" s="50"/>
      <c r="D1158" s="50"/>
      <c r="E1158" s="50"/>
      <c r="F1158" s="50"/>
      <c r="G1158" s="50"/>
      <c r="H1158" s="50"/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</row>
    <row r="1159" spans="1:18" x14ac:dyDescent="0.25">
      <c r="A1159" s="41" t="s">
        <v>202</v>
      </c>
      <c r="B1159" s="44"/>
      <c r="C1159" s="50"/>
      <c r="D1159" s="50"/>
      <c r="E1159" s="50"/>
      <c r="F1159" s="50"/>
      <c r="G1159" s="50"/>
      <c r="H1159" s="50"/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</row>
    <row r="1160" spans="1:18" x14ac:dyDescent="0.25">
      <c r="C1160" s="50"/>
      <c r="D1160" s="50"/>
      <c r="E1160" s="50"/>
      <c r="F1160" s="50"/>
      <c r="G1160" s="50"/>
      <c r="H1160" s="50"/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</row>
    <row r="1161" spans="1:18" x14ac:dyDescent="0.25">
      <c r="A1161" s="52" t="s">
        <v>742</v>
      </c>
      <c r="B1161" s="53"/>
      <c r="C1161" s="50"/>
      <c r="D1161" s="50"/>
      <c r="E1161" s="50"/>
      <c r="F1161" s="50"/>
      <c r="G1161" s="50"/>
      <c r="H1161" s="50"/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</row>
    <row r="1162" spans="1:18" x14ac:dyDescent="0.25">
      <c r="A1162" s="43" t="s">
        <v>743</v>
      </c>
      <c r="C1162" s="54">
        <f>2123778+11980-4193</f>
        <v>2131565</v>
      </c>
      <c r="D1162">
        <f>2299173+6619</f>
        <v>2305792</v>
      </c>
      <c r="E1162" s="43">
        <f>2418556+6938</f>
        <v>2425494</v>
      </c>
      <c r="F1162">
        <f>2486654+3695</f>
        <v>2490349</v>
      </c>
      <c r="G1162">
        <v>2564640</v>
      </c>
      <c r="H1162">
        <v>2733400</v>
      </c>
      <c r="I1162" s="54">
        <f t="shared" ref="I1162:I1168" si="640">H1162*1.023</f>
        <v>2796268.1999999997</v>
      </c>
      <c r="J1162" s="54">
        <f t="shared" ref="J1162:K1168" si="641">I1162*1.024</f>
        <v>2863378.6368</v>
      </c>
      <c r="K1162" s="54">
        <f t="shared" si="641"/>
        <v>2932099.7240832001</v>
      </c>
      <c r="L1162" s="54">
        <f t="shared" ref="L1162:L1168" si="642">K1162*1.023</f>
        <v>2999538.0177371134</v>
      </c>
      <c r="M1162" s="54">
        <f t="shared" ref="M1162:M1168" si="643">L1162*1.022</f>
        <v>3065527.8541273298</v>
      </c>
      <c r="N1162" s="54">
        <f t="shared" ref="N1162:N1168" si="644">M1162*1.023</f>
        <v>3136034.9947722582</v>
      </c>
      <c r="O1162" s="54">
        <f t="shared" ref="O1162:P1168" si="645">N1162*1.025</f>
        <v>3214435.8696415643</v>
      </c>
      <c r="P1162" s="54">
        <f t="shared" si="645"/>
        <v>3294796.766382603</v>
      </c>
      <c r="Q1162" s="50">
        <f t="shared" ref="Q1162:R1168" si="646">P1162*1.024</f>
        <v>3373871.8887757855</v>
      </c>
      <c r="R1162" s="50">
        <f t="shared" si="646"/>
        <v>3454844.8141064043</v>
      </c>
    </row>
    <row r="1163" spans="1:18" x14ac:dyDescent="0.25">
      <c r="A1163" s="43" t="s">
        <v>744</v>
      </c>
      <c r="C1163" s="54">
        <f>140488+5</f>
        <v>140493</v>
      </c>
      <c r="D1163">
        <f>148628+1503</f>
        <v>150131</v>
      </c>
      <c r="E1163" s="43">
        <f>161125-4805</f>
        <v>156320</v>
      </c>
      <c r="F1163">
        <f>156330+2449</f>
        <v>158779</v>
      </c>
      <c r="G1163">
        <v>165478</v>
      </c>
      <c r="H1163">
        <v>175600</v>
      </c>
      <c r="I1163" s="54">
        <f t="shared" si="640"/>
        <v>179638.8</v>
      </c>
      <c r="J1163" s="54">
        <f t="shared" si="641"/>
        <v>183950.1312</v>
      </c>
      <c r="K1163" s="54">
        <f t="shared" si="641"/>
        <v>188364.93434880002</v>
      </c>
      <c r="L1163" s="54">
        <f t="shared" si="642"/>
        <v>192697.32783882241</v>
      </c>
      <c r="M1163" s="54">
        <f t="shared" si="643"/>
        <v>196936.66905127652</v>
      </c>
      <c r="N1163" s="54">
        <f t="shared" si="644"/>
        <v>201466.21243945585</v>
      </c>
      <c r="O1163" s="54">
        <f t="shared" si="645"/>
        <v>206502.86775044224</v>
      </c>
      <c r="P1163" s="54">
        <f t="shared" si="645"/>
        <v>211665.43944420328</v>
      </c>
      <c r="Q1163" s="50">
        <f t="shared" si="646"/>
        <v>216745.40999086417</v>
      </c>
      <c r="R1163" s="50">
        <f t="shared" si="646"/>
        <v>221947.29983064492</v>
      </c>
    </row>
    <row r="1164" spans="1:18" x14ac:dyDescent="0.25">
      <c r="A1164" s="43" t="s">
        <v>745</v>
      </c>
      <c r="C1164" s="54">
        <f>853-34</f>
        <v>819</v>
      </c>
      <c r="D1164">
        <f>2221-12</f>
        <v>2209</v>
      </c>
      <c r="E1164" s="43">
        <f>2608-82</f>
        <v>2526</v>
      </c>
      <c r="F1164">
        <f>3770+96</f>
        <v>3866</v>
      </c>
      <c r="G1164">
        <v>3953</v>
      </c>
      <c r="H1164">
        <v>4300</v>
      </c>
      <c r="I1164" s="54">
        <f t="shared" si="640"/>
        <v>4398.8999999999996</v>
      </c>
      <c r="J1164" s="54">
        <f t="shared" si="641"/>
        <v>4504.4735999999994</v>
      </c>
      <c r="K1164" s="54">
        <f t="shared" si="641"/>
        <v>4612.5809663999999</v>
      </c>
      <c r="L1164" s="54">
        <f t="shared" si="642"/>
        <v>4718.6703286271995</v>
      </c>
      <c r="M1164" s="54">
        <f t="shared" si="643"/>
        <v>4822.4810758569984</v>
      </c>
      <c r="N1164" s="54">
        <f t="shared" si="644"/>
        <v>4933.3981406017092</v>
      </c>
      <c r="O1164" s="54">
        <f t="shared" si="645"/>
        <v>5056.7330941167511</v>
      </c>
      <c r="P1164" s="54">
        <f t="shared" si="645"/>
        <v>5183.151421469669</v>
      </c>
      <c r="Q1164" s="50">
        <f t="shared" si="646"/>
        <v>5307.5470555849415</v>
      </c>
      <c r="R1164" s="50">
        <f t="shared" si="646"/>
        <v>5434.9281849189802</v>
      </c>
    </row>
    <row r="1165" spans="1:18" x14ac:dyDescent="0.25">
      <c r="A1165" s="52" t="s">
        <v>746</v>
      </c>
      <c r="B1165" s="53"/>
      <c r="C1165" s="54">
        <v>5487</v>
      </c>
      <c r="D1165" s="54">
        <v>5272</v>
      </c>
      <c r="E1165" s="43">
        <v>6339</v>
      </c>
      <c r="F1165" s="43">
        <v>6159</v>
      </c>
      <c r="G1165" s="43">
        <v>5596</v>
      </c>
      <c r="H1165" s="43">
        <v>6100</v>
      </c>
      <c r="I1165" s="54">
        <f t="shared" si="640"/>
        <v>6240.2999999999993</v>
      </c>
      <c r="J1165" s="54">
        <f t="shared" si="641"/>
        <v>6390.0671999999995</v>
      </c>
      <c r="K1165" s="54">
        <f t="shared" si="641"/>
        <v>6543.4288127999998</v>
      </c>
      <c r="L1165" s="54">
        <f t="shared" si="642"/>
        <v>6693.9276754943994</v>
      </c>
      <c r="M1165" s="54">
        <f t="shared" si="643"/>
        <v>6841.1940843552766</v>
      </c>
      <c r="N1165" s="54">
        <f t="shared" si="644"/>
        <v>6998.5415482954477</v>
      </c>
      <c r="O1165" s="54">
        <f t="shared" si="645"/>
        <v>7173.5050870028335</v>
      </c>
      <c r="P1165" s="54">
        <f t="shared" si="645"/>
        <v>7352.8427141779039</v>
      </c>
      <c r="Q1165" s="50">
        <f t="shared" si="646"/>
        <v>7529.310939318174</v>
      </c>
      <c r="R1165" s="50">
        <f t="shared" si="646"/>
        <v>7710.0144018618103</v>
      </c>
    </row>
    <row r="1166" spans="1:18" x14ac:dyDescent="0.25">
      <c r="A1166" s="52" t="s">
        <v>747</v>
      </c>
      <c r="B1166" s="53"/>
      <c r="C1166" s="54">
        <v>-29332</v>
      </c>
      <c r="D1166" s="54">
        <v>-29869</v>
      </c>
      <c r="E1166" s="43">
        <v>-29408</v>
      </c>
      <c r="F1166" s="54">
        <v>-30214</v>
      </c>
      <c r="G1166" s="54">
        <v>-25633</v>
      </c>
      <c r="H1166" s="54">
        <v>-26100</v>
      </c>
      <c r="I1166" s="54">
        <f t="shared" si="640"/>
        <v>-26700.3</v>
      </c>
      <c r="J1166" s="54">
        <f t="shared" si="641"/>
        <v>-27341.107199999999</v>
      </c>
      <c r="K1166" s="54">
        <f t="shared" si="641"/>
        <v>-27997.2937728</v>
      </c>
      <c r="L1166" s="54">
        <f t="shared" si="642"/>
        <v>-28641.231529574397</v>
      </c>
      <c r="M1166" s="54">
        <f t="shared" si="643"/>
        <v>-29271.338623225034</v>
      </c>
      <c r="N1166" s="54">
        <f t="shared" si="644"/>
        <v>-29944.579411559207</v>
      </c>
      <c r="O1166" s="54">
        <f t="shared" si="645"/>
        <v>-30693.193896848185</v>
      </c>
      <c r="P1166" s="54">
        <f t="shared" si="645"/>
        <v>-31460.523744269387</v>
      </c>
      <c r="Q1166" s="50">
        <f t="shared" si="646"/>
        <v>-32215.576314131853</v>
      </c>
      <c r="R1166" s="50">
        <f t="shared" si="646"/>
        <v>-32988.750145671016</v>
      </c>
    </row>
    <row r="1167" spans="1:18" x14ac:dyDescent="0.25">
      <c r="A1167" s="52" t="s">
        <v>748</v>
      </c>
      <c r="B1167" s="53"/>
      <c r="C1167" s="54"/>
      <c r="D1167" s="54"/>
      <c r="F1167" s="50"/>
      <c r="G1167" s="54">
        <v>13699</v>
      </c>
      <c r="H1167" s="54">
        <v>14400</v>
      </c>
      <c r="I1167" s="54">
        <f t="shared" si="640"/>
        <v>14731.199999999999</v>
      </c>
      <c r="J1167" s="54">
        <f t="shared" si="641"/>
        <v>15084.748799999999</v>
      </c>
      <c r="K1167" s="54">
        <f t="shared" si="641"/>
        <v>15446.7827712</v>
      </c>
      <c r="L1167" s="54">
        <f t="shared" si="642"/>
        <v>15802.058774937599</v>
      </c>
      <c r="M1167" s="54">
        <f t="shared" si="643"/>
        <v>16149.704067986226</v>
      </c>
      <c r="N1167" s="54">
        <f t="shared" si="644"/>
        <v>16521.147261549908</v>
      </c>
      <c r="O1167" s="54">
        <f t="shared" si="645"/>
        <v>16934.175943088652</v>
      </c>
      <c r="P1167" s="54">
        <f t="shared" si="645"/>
        <v>17357.530341665868</v>
      </c>
      <c r="Q1167" s="50">
        <f t="shared" si="646"/>
        <v>17774.111069865849</v>
      </c>
      <c r="R1167" s="50">
        <f t="shared" si="646"/>
        <v>18200.68973554263</v>
      </c>
    </row>
    <row r="1168" spans="1:18" x14ac:dyDescent="0.25">
      <c r="A1168" s="43" t="s">
        <v>749</v>
      </c>
      <c r="C1168" s="54">
        <v>89903</v>
      </c>
      <c r="D1168" s="54">
        <v>75008</v>
      </c>
      <c r="E1168" s="43">
        <v>75008</v>
      </c>
      <c r="F1168" s="54">
        <v>74956</v>
      </c>
      <c r="G1168" s="54">
        <v>0</v>
      </c>
      <c r="H1168" s="54">
        <v>0</v>
      </c>
      <c r="I1168" s="54">
        <f t="shared" si="640"/>
        <v>0</v>
      </c>
      <c r="J1168" s="54">
        <f t="shared" si="641"/>
        <v>0</v>
      </c>
      <c r="K1168" s="54">
        <f t="shared" si="641"/>
        <v>0</v>
      </c>
      <c r="L1168" s="54">
        <f t="shared" si="642"/>
        <v>0</v>
      </c>
      <c r="M1168" s="54">
        <f t="shared" si="643"/>
        <v>0</v>
      </c>
      <c r="N1168" s="54">
        <f t="shared" si="644"/>
        <v>0</v>
      </c>
      <c r="O1168" s="54">
        <f t="shared" si="645"/>
        <v>0</v>
      </c>
      <c r="P1168" s="54">
        <f t="shared" si="645"/>
        <v>0</v>
      </c>
      <c r="Q1168" s="50">
        <f t="shared" si="646"/>
        <v>0</v>
      </c>
      <c r="R1168" s="50">
        <f t="shared" si="646"/>
        <v>0</v>
      </c>
    </row>
    <row r="1169" spans="1:18" x14ac:dyDescent="0.25">
      <c r="A1169" s="43" t="s">
        <v>750</v>
      </c>
      <c r="C1169" s="54"/>
      <c r="D1169" s="54"/>
      <c r="F1169" s="54"/>
      <c r="G1169" s="54">
        <v>59821</v>
      </c>
      <c r="H1169" s="67">
        <v>59800</v>
      </c>
      <c r="I1169" s="67">
        <v>59800</v>
      </c>
      <c r="J1169" s="50">
        <v>59800</v>
      </c>
      <c r="K1169" s="54"/>
      <c r="L1169" s="54"/>
      <c r="M1169" s="54"/>
      <c r="N1169" s="54"/>
      <c r="O1169" s="54"/>
      <c r="P1169" s="54"/>
      <c r="Q1169" s="50"/>
      <c r="R1169" s="50"/>
    </row>
    <row r="1170" spans="1:18" x14ac:dyDescent="0.25">
      <c r="A1170" s="43" t="s">
        <v>751</v>
      </c>
      <c r="C1170" s="54">
        <v>862</v>
      </c>
      <c r="D1170" s="50"/>
      <c r="E1170" s="43">
        <v>0</v>
      </c>
      <c r="F1170" s="50"/>
      <c r="G1170" s="50">
        <v>0</v>
      </c>
      <c r="H1170" s="50"/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</row>
    <row r="1171" spans="1:18" x14ac:dyDescent="0.25">
      <c r="A1171" s="52" t="s">
        <v>752</v>
      </c>
      <c r="C1171" s="54">
        <v>22500</v>
      </c>
      <c r="D1171" s="50">
        <v>2500</v>
      </c>
      <c r="E1171" s="43">
        <v>0</v>
      </c>
      <c r="F1171" s="50"/>
      <c r="G1171" s="50">
        <v>0</v>
      </c>
      <c r="H1171" s="50"/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</row>
    <row r="1172" spans="1:18" x14ac:dyDescent="0.25">
      <c r="A1172" s="43" t="s">
        <v>753</v>
      </c>
      <c r="C1172" s="54">
        <v>4079</v>
      </c>
      <c r="D1172" s="54">
        <v>5625</v>
      </c>
      <c r="E1172" s="43">
        <v>5838</v>
      </c>
      <c r="F1172" s="54">
        <v>5121</v>
      </c>
      <c r="G1172" s="54">
        <v>7847</v>
      </c>
      <c r="H1172" s="54">
        <v>7000</v>
      </c>
      <c r="I1172" s="54">
        <f t="shared" ref="I1172" si="647">H1172*1.023</f>
        <v>7160.9999999999991</v>
      </c>
      <c r="J1172" s="54">
        <f t="shared" ref="J1172:K1172" si="648">I1172*1.024</f>
        <v>7332.8639999999996</v>
      </c>
      <c r="K1172" s="54">
        <f t="shared" si="648"/>
        <v>7508.8527359999998</v>
      </c>
      <c r="L1172" s="54">
        <f t="shared" ref="L1172" si="649">K1172*1.023</f>
        <v>7681.5563489279994</v>
      </c>
      <c r="M1172" s="54">
        <f t="shared" ref="M1172" si="650">L1172*1.022</f>
        <v>7850.5505886044157</v>
      </c>
      <c r="N1172" s="54">
        <f t="shared" ref="N1172" si="651">M1172*1.023</f>
        <v>8031.1132521423169</v>
      </c>
      <c r="O1172" s="54">
        <f t="shared" ref="O1172:R1173" si="652">N1172*1.025</f>
        <v>8231.8910834458748</v>
      </c>
      <c r="P1172" s="54">
        <f t="shared" si="652"/>
        <v>8437.6883605320218</v>
      </c>
      <c r="Q1172" s="50">
        <f t="shared" ref="Q1172:R1172" si="653">P1172*1.024</f>
        <v>8640.1928811847902</v>
      </c>
      <c r="R1172" s="50">
        <f t="shared" si="653"/>
        <v>8847.5575103332249</v>
      </c>
    </row>
    <row r="1173" spans="1:18" x14ac:dyDescent="0.25">
      <c r="A1173" s="43" t="s">
        <v>754</v>
      </c>
      <c r="C1173" s="54">
        <v>356</v>
      </c>
      <c r="D1173" s="54">
        <v>0</v>
      </c>
      <c r="E1173" s="43">
        <v>0</v>
      </c>
      <c r="F1173" s="54">
        <v>0</v>
      </c>
      <c r="G1173" s="54">
        <v>0</v>
      </c>
      <c r="H1173" s="54">
        <v>0</v>
      </c>
      <c r="I1173" s="54">
        <f>H1173*1.02</f>
        <v>0</v>
      </c>
      <c r="J1173" s="54">
        <f t="shared" ref="J1173" si="654">I1173*1.021</f>
        <v>0</v>
      </c>
      <c r="K1173" s="54">
        <f t="shared" ref="K1173" si="655">J1173*1.023</f>
        <v>0</v>
      </c>
      <c r="L1173" s="54">
        <f t="shared" ref="L1173" si="656">K1173*1.024</f>
        <v>0</v>
      </c>
      <c r="M1173" s="54">
        <f t="shared" ref="M1173" si="657">L1173*1.023</f>
        <v>0</v>
      </c>
      <c r="N1173" s="54">
        <f t="shared" ref="N1173" si="658">M1173*1.021</f>
        <v>0</v>
      </c>
      <c r="O1173" s="54">
        <f t="shared" ref="O1173" si="659">N1173*1.022</f>
        <v>0</v>
      </c>
      <c r="P1173" s="54">
        <f t="shared" si="652"/>
        <v>0</v>
      </c>
      <c r="Q1173" s="50">
        <f t="shared" si="652"/>
        <v>0</v>
      </c>
      <c r="R1173" s="50">
        <f t="shared" si="652"/>
        <v>0</v>
      </c>
    </row>
    <row r="1174" spans="1:18" x14ac:dyDescent="0.25">
      <c r="A1174" s="52" t="s">
        <v>755</v>
      </c>
      <c r="B1174" s="53"/>
      <c r="C1174" s="59"/>
      <c r="D1174" s="50"/>
      <c r="E1174" s="43">
        <v>0</v>
      </c>
      <c r="F1174" s="50"/>
      <c r="G1174" s="50">
        <v>0</v>
      </c>
      <c r="H1174" s="50"/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</row>
    <row r="1175" spans="1:18" x14ac:dyDescent="0.25">
      <c r="A1175" s="43" t="s">
        <v>756</v>
      </c>
      <c r="C1175" s="54">
        <v>758</v>
      </c>
      <c r="D1175" s="54">
        <v>520</v>
      </c>
      <c r="E1175" s="43">
        <v>645</v>
      </c>
      <c r="F1175" s="54">
        <v>546</v>
      </c>
      <c r="G1175" s="54">
        <v>585</v>
      </c>
      <c r="H1175" s="54">
        <v>600</v>
      </c>
      <c r="I1175" s="54">
        <f t="shared" ref="I1175" si="660">H1175*1.023</f>
        <v>613.79999999999995</v>
      </c>
      <c r="J1175" s="54">
        <f t="shared" ref="J1175:K1175" si="661">I1175*1.024</f>
        <v>628.53120000000001</v>
      </c>
      <c r="K1175" s="54">
        <f t="shared" si="661"/>
        <v>643.61594880000007</v>
      </c>
      <c r="L1175" s="54">
        <f t="shared" ref="L1175" si="662">K1175*1.023</f>
        <v>658.4191156224</v>
      </c>
      <c r="M1175" s="54">
        <f t="shared" ref="M1175" si="663">L1175*1.022</f>
        <v>672.90433616609278</v>
      </c>
      <c r="N1175" s="54">
        <f t="shared" ref="N1175" si="664">M1175*1.023</f>
        <v>688.38113589791283</v>
      </c>
      <c r="O1175" s="54">
        <f t="shared" ref="O1175:P1175" si="665">N1175*1.025</f>
        <v>705.59066429536063</v>
      </c>
      <c r="P1175" s="54">
        <f t="shared" si="665"/>
        <v>723.23043090274462</v>
      </c>
      <c r="Q1175" s="50">
        <f t="shared" ref="Q1175:R1175" si="666">P1175*1.024</f>
        <v>740.58796124441051</v>
      </c>
      <c r="R1175" s="50">
        <f t="shared" si="666"/>
        <v>758.36207231427636</v>
      </c>
    </row>
    <row r="1176" spans="1:18" x14ac:dyDescent="0.25">
      <c r="C1176" s="50"/>
      <c r="D1176" s="50"/>
      <c r="E1176" s="50"/>
      <c r="F1176" s="50"/>
      <c r="G1176" s="50"/>
      <c r="H1176" s="50"/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</row>
    <row r="1177" spans="1:18" x14ac:dyDescent="0.25">
      <c r="A1177" s="41" t="s">
        <v>216</v>
      </c>
      <c r="B1177" s="44"/>
      <c r="C1177" s="51">
        <f t="shared" ref="C1177" si="667">SUM(C1162:C1176)</f>
        <v>2367490</v>
      </c>
      <c r="D1177" s="51">
        <f t="shared" ref="D1177:F1177" si="668">SUM(D1162:D1176)</f>
        <v>2517188</v>
      </c>
      <c r="E1177" s="51">
        <f t="shared" si="668"/>
        <v>2642762</v>
      </c>
      <c r="F1177" s="51">
        <f t="shared" si="668"/>
        <v>2709562</v>
      </c>
      <c r="G1177" s="51">
        <f>SUM(G1162:G1176)</f>
        <v>2795986</v>
      </c>
      <c r="H1177" s="51">
        <f>SUM(H1162:H1176)</f>
        <v>2975100</v>
      </c>
      <c r="I1177" s="51">
        <f t="shared" ref="I1177:R1177" si="669">SUM(I1162:I1176)</f>
        <v>3042151.8999999994</v>
      </c>
      <c r="J1177" s="51">
        <f t="shared" si="669"/>
        <v>3113728.3456000006</v>
      </c>
      <c r="K1177" s="51">
        <f t="shared" si="669"/>
        <v>3127222.6258944003</v>
      </c>
      <c r="L1177" s="51">
        <f t="shared" si="669"/>
        <v>3199148.7462899708</v>
      </c>
      <c r="M1177" s="51">
        <f t="shared" si="669"/>
        <v>3269530.0187083501</v>
      </c>
      <c r="N1177" s="51">
        <f t="shared" si="669"/>
        <v>3344729.2091386421</v>
      </c>
      <c r="O1177" s="51">
        <f t="shared" si="669"/>
        <v>3428347.4393671076</v>
      </c>
      <c r="P1177" s="51">
        <f t="shared" si="669"/>
        <v>3514056.1253512851</v>
      </c>
      <c r="Q1177" s="51">
        <f t="shared" si="669"/>
        <v>3598393.472359716</v>
      </c>
      <c r="R1177" s="51">
        <f t="shared" si="669"/>
        <v>3684754.915696349</v>
      </c>
    </row>
    <row r="1178" spans="1:18" x14ac:dyDescent="0.25">
      <c r="C1178" s="50"/>
      <c r="D1178" s="50"/>
      <c r="E1178" s="50"/>
      <c r="F1178" s="50"/>
      <c r="G1178" s="50"/>
      <c r="H1178" s="50"/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</row>
    <row r="1179" spans="1:18" x14ac:dyDescent="0.25">
      <c r="A1179" s="41" t="s">
        <v>165</v>
      </c>
      <c r="B1179" s="44"/>
      <c r="C1179" s="50"/>
      <c r="D1179" s="50"/>
      <c r="E1179" s="50"/>
      <c r="F1179" s="50"/>
      <c r="G1179" s="50"/>
      <c r="H1179" s="50"/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</row>
    <row r="1180" spans="1:18" x14ac:dyDescent="0.25">
      <c r="C1180" s="50"/>
      <c r="D1180" s="50"/>
      <c r="E1180" s="50"/>
      <c r="F1180" s="50"/>
      <c r="G1180" s="50"/>
      <c r="H1180" s="50"/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</row>
    <row r="1181" spans="1:18" x14ac:dyDescent="0.25">
      <c r="A1181" s="52" t="s">
        <v>757</v>
      </c>
      <c r="B1181" s="53"/>
      <c r="C1181" s="50"/>
      <c r="D1181" s="50"/>
      <c r="E1181" s="50"/>
      <c r="F1181" s="50"/>
      <c r="G1181" s="50"/>
      <c r="H1181" s="50"/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</row>
    <row r="1182" spans="1:18" x14ac:dyDescent="0.25">
      <c r="A1182" s="52" t="s">
        <v>758</v>
      </c>
      <c r="B1182" s="53"/>
      <c r="C1182" s="54">
        <v>813384</v>
      </c>
      <c r="D1182" s="50">
        <v>873807</v>
      </c>
      <c r="E1182" s="50">
        <v>986389</v>
      </c>
      <c r="F1182" s="50">
        <v>959132</v>
      </c>
      <c r="G1182" s="50">
        <v>993239</v>
      </c>
      <c r="H1182" s="50">
        <f>1020000+60000+24000</f>
        <v>1104000</v>
      </c>
      <c r="I1182" s="50">
        <f t="shared" ref="I1182:I1183" si="670">H1182*1.023</f>
        <v>1129392</v>
      </c>
      <c r="J1182" s="54">
        <f t="shared" ref="J1182:K1183" si="671">I1182*1.024</f>
        <v>1156497.4080000001</v>
      </c>
      <c r="K1182" s="54">
        <f t="shared" si="671"/>
        <v>1184253.3457920002</v>
      </c>
      <c r="L1182" s="54">
        <f t="shared" ref="L1182:L1183" si="672">K1182*1.023</f>
        <v>1211491.1727452162</v>
      </c>
      <c r="M1182" s="54">
        <f t="shared" ref="M1182:M1183" si="673">L1182*1.022</f>
        <v>1238143.978545611</v>
      </c>
      <c r="N1182" s="54">
        <f t="shared" ref="N1182:N1183" si="674">M1182*1.023</f>
        <v>1266621.2900521599</v>
      </c>
      <c r="O1182" s="54">
        <f t="shared" ref="O1182:P1183" si="675">N1182*1.025</f>
        <v>1298286.8223034637</v>
      </c>
      <c r="P1182" s="54">
        <f t="shared" si="675"/>
        <v>1330743.9928610502</v>
      </c>
      <c r="Q1182" s="50">
        <f t="shared" ref="Q1182:R1183" si="676">P1182*1.024</f>
        <v>1362681.8486897154</v>
      </c>
      <c r="R1182" s="50">
        <f t="shared" si="676"/>
        <v>1395386.2130582687</v>
      </c>
    </row>
    <row r="1183" spans="1:18" x14ac:dyDescent="0.25">
      <c r="A1183" s="52" t="s">
        <v>759</v>
      </c>
      <c r="B1183" s="53"/>
      <c r="C1183" s="54"/>
      <c r="D1183" s="50">
        <v>0</v>
      </c>
      <c r="E1183" s="50">
        <v>18161</v>
      </c>
      <c r="F1183" s="50">
        <v>5630</v>
      </c>
      <c r="G1183" s="50">
        <v>7739</v>
      </c>
      <c r="H1183" s="50">
        <v>10500</v>
      </c>
      <c r="I1183" s="50">
        <f t="shared" si="670"/>
        <v>10741.499999999998</v>
      </c>
      <c r="J1183" s="54">
        <f t="shared" si="671"/>
        <v>10999.295999999998</v>
      </c>
      <c r="K1183" s="54">
        <f t="shared" si="671"/>
        <v>11263.279103999999</v>
      </c>
      <c r="L1183" s="54">
        <f t="shared" si="672"/>
        <v>11522.334523391999</v>
      </c>
      <c r="M1183" s="54">
        <f t="shared" si="673"/>
        <v>11775.825882906624</v>
      </c>
      <c r="N1183" s="54">
        <f t="shared" si="674"/>
        <v>12046.669878213475</v>
      </c>
      <c r="O1183" s="54">
        <f t="shared" si="675"/>
        <v>12347.836625168811</v>
      </c>
      <c r="P1183" s="54">
        <f t="shared" si="675"/>
        <v>12656.532540798031</v>
      </c>
      <c r="Q1183" s="50">
        <f t="shared" si="676"/>
        <v>12960.289321777183</v>
      </c>
      <c r="R1183" s="50">
        <f t="shared" si="676"/>
        <v>13271.336265499836</v>
      </c>
    </row>
    <row r="1184" spans="1:18" x14ac:dyDescent="0.25">
      <c r="A1184" s="52" t="s">
        <v>760</v>
      </c>
      <c r="B1184" s="53"/>
      <c r="C1184" s="54"/>
      <c r="D1184" s="50"/>
      <c r="E1184" s="50"/>
      <c r="F1184" s="50"/>
      <c r="G1184" s="50"/>
      <c r="H1184" s="50"/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</row>
    <row r="1185" spans="1:18" x14ac:dyDescent="0.25">
      <c r="A1185" s="52" t="s">
        <v>761</v>
      </c>
      <c r="B1185" s="53"/>
      <c r="C1185" s="54">
        <v>839909</v>
      </c>
      <c r="D1185" s="50">
        <v>926606</v>
      </c>
      <c r="E1185" s="50">
        <v>937826</v>
      </c>
      <c r="F1185" s="50">
        <v>963314</v>
      </c>
      <c r="G1185" s="50">
        <v>1048055</v>
      </c>
      <c r="H1185" s="50">
        <v>1101000</v>
      </c>
      <c r="I1185" s="50">
        <f t="shared" ref="I1185" si="677">H1185*1.023</f>
        <v>1126323</v>
      </c>
      <c r="J1185" s="54">
        <f t="shared" ref="J1185:K1185" si="678">I1185*1.024</f>
        <v>1153354.7520000001</v>
      </c>
      <c r="K1185" s="54">
        <f t="shared" si="678"/>
        <v>1181035.2660480002</v>
      </c>
      <c r="L1185" s="54">
        <f t="shared" ref="L1185" si="679">K1185*1.023</f>
        <v>1208199.077167104</v>
      </c>
      <c r="M1185" s="54">
        <f t="shared" ref="M1185" si="680">L1185*1.022</f>
        <v>1234779.4568647803</v>
      </c>
      <c r="N1185" s="54">
        <f t="shared" ref="N1185" si="681">M1185*1.023</f>
        <v>1263179.3843726702</v>
      </c>
      <c r="O1185" s="54">
        <f t="shared" ref="O1185:P1185" si="682">N1185*1.025</f>
        <v>1294758.8689819868</v>
      </c>
      <c r="P1185" s="54">
        <f t="shared" si="682"/>
        <v>1327127.8407065363</v>
      </c>
      <c r="Q1185" s="50">
        <f t="shared" ref="Q1185:R1185" si="683">P1185*1.024</f>
        <v>1358978.9088834932</v>
      </c>
      <c r="R1185" s="50">
        <f t="shared" si="683"/>
        <v>1391594.402696697</v>
      </c>
    </row>
    <row r="1186" spans="1:18" x14ac:dyDescent="0.25">
      <c r="A1186" s="52" t="s">
        <v>762</v>
      </c>
      <c r="B1186" s="53"/>
      <c r="C1186" s="54">
        <v>6843</v>
      </c>
      <c r="D1186" s="50">
        <v>0</v>
      </c>
      <c r="E1186" s="50"/>
      <c r="F1186" s="50">
        <v>0</v>
      </c>
      <c r="G1186" s="50">
        <v>0</v>
      </c>
      <c r="H1186" s="50">
        <v>0</v>
      </c>
      <c r="I1186" s="50">
        <v>0</v>
      </c>
      <c r="J1186" s="50">
        <v>0</v>
      </c>
      <c r="K1186" s="50">
        <v>0</v>
      </c>
      <c r="L1186" s="50">
        <v>0</v>
      </c>
      <c r="M1186" s="50">
        <v>0</v>
      </c>
      <c r="N1186" s="50">
        <v>0</v>
      </c>
      <c r="O1186" s="50">
        <v>0</v>
      </c>
      <c r="P1186" s="50">
        <v>0</v>
      </c>
      <c r="Q1186" s="50">
        <v>0</v>
      </c>
      <c r="R1186" s="50">
        <v>0</v>
      </c>
    </row>
    <row r="1187" spans="1:18" x14ac:dyDescent="0.25">
      <c r="A1187" s="52" t="s">
        <v>763</v>
      </c>
      <c r="B1187" s="53"/>
      <c r="C1187" s="50">
        <v>0</v>
      </c>
      <c r="D1187" s="50">
        <v>0</v>
      </c>
      <c r="E1187" s="50">
        <v>0</v>
      </c>
      <c r="F1187" s="50">
        <v>0</v>
      </c>
      <c r="G1187" s="50">
        <v>0</v>
      </c>
      <c r="H1187" s="50">
        <v>0</v>
      </c>
      <c r="I1187" s="50">
        <v>0</v>
      </c>
      <c r="J1187" s="54">
        <v>0</v>
      </c>
      <c r="K1187" s="54">
        <v>0</v>
      </c>
      <c r="L1187" s="54">
        <v>0</v>
      </c>
      <c r="M1187" s="54">
        <v>0</v>
      </c>
      <c r="N1187" s="54">
        <v>0</v>
      </c>
      <c r="O1187" s="54">
        <v>0</v>
      </c>
      <c r="P1187" s="50">
        <v>0</v>
      </c>
      <c r="Q1187" s="50">
        <f t="shared" ref="Q1187:R1190" si="684">P1187*1.024</f>
        <v>0</v>
      </c>
      <c r="R1187" s="50">
        <f t="shared" si="684"/>
        <v>0</v>
      </c>
    </row>
    <row r="1188" spans="1:18" x14ac:dyDescent="0.25">
      <c r="A1188" s="52" t="s">
        <v>764</v>
      </c>
      <c r="B1188" s="53"/>
      <c r="C1188" s="50">
        <v>63942</v>
      </c>
      <c r="D1188" s="50">
        <v>57210</v>
      </c>
      <c r="E1188" s="50">
        <v>65143</v>
      </c>
      <c r="F1188" s="50">
        <v>66751</v>
      </c>
      <c r="G1188" s="50">
        <v>69851</v>
      </c>
      <c r="H1188" s="50">
        <v>72500</v>
      </c>
      <c r="I1188" s="50">
        <f t="shared" ref="I1188:I1190" si="685">H1188*1.023</f>
        <v>74167.5</v>
      </c>
      <c r="J1188" s="54">
        <f t="shared" ref="J1188:K1190" si="686">I1188*1.024</f>
        <v>75947.520000000004</v>
      </c>
      <c r="K1188" s="54">
        <f t="shared" si="686"/>
        <v>77770.260480000012</v>
      </c>
      <c r="L1188" s="54">
        <f t="shared" ref="L1188:L1190" si="687">K1188*1.023</f>
        <v>79558.976471040005</v>
      </c>
      <c r="M1188" s="54">
        <f t="shared" ref="M1188:M1190" si="688">L1188*1.022</f>
        <v>81309.273953402881</v>
      </c>
      <c r="N1188" s="54">
        <f t="shared" ref="N1188:N1190" si="689">M1188*1.023</f>
        <v>83179.387254331145</v>
      </c>
      <c r="O1188" s="54">
        <f t="shared" ref="O1188:P1190" si="690">N1188*1.025</f>
        <v>85258.871935689414</v>
      </c>
      <c r="P1188" s="54">
        <f t="shared" si="690"/>
        <v>87390.343734081645</v>
      </c>
      <c r="Q1188" s="50">
        <f t="shared" si="684"/>
        <v>89487.711983699613</v>
      </c>
      <c r="R1188" s="50">
        <f t="shared" si="684"/>
        <v>91635.417071308402</v>
      </c>
    </row>
    <row r="1189" spans="1:18" x14ac:dyDescent="0.25">
      <c r="A1189" s="52" t="s">
        <v>765</v>
      </c>
      <c r="B1189" s="53"/>
      <c r="C1189" s="54">
        <v>43131</v>
      </c>
      <c r="D1189" s="50">
        <f>13260+1537</f>
        <v>14797</v>
      </c>
      <c r="E1189" s="50">
        <v>41145</v>
      </c>
      <c r="F1189" s="50">
        <v>-10428</v>
      </c>
      <c r="G1189" s="50">
        <v>157</v>
      </c>
      <c r="H1189" s="50">
        <v>0</v>
      </c>
      <c r="I1189" s="50">
        <f t="shared" si="685"/>
        <v>0</v>
      </c>
      <c r="J1189" s="54">
        <f t="shared" si="686"/>
        <v>0</v>
      </c>
      <c r="K1189" s="54">
        <f t="shared" si="686"/>
        <v>0</v>
      </c>
      <c r="L1189" s="54">
        <f t="shared" si="687"/>
        <v>0</v>
      </c>
      <c r="M1189" s="54">
        <f t="shared" si="688"/>
        <v>0</v>
      </c>
      <c r="N1189" s="54">
        <f t="shared" si="689"/>
        <v>0</v>
      </c>
      <c r="O1189" s="54">
        <f t="shared" si="690"/>
        <v>0</v>
      </c>
      <c r="P1189" s="54">
        <f t="shared" si="690"/>
        <v>0</v>
      </c>
      <c r="Q1189" s="50">
        <f t="shared" si="684"/>
        <v>0</v>
      </c>
      <c r="R1189" s="50">
        <f t="shared" si="684"/>
        <v>0</v>
      </c>
    </row>
    <row r="1190" spans="1:18" x14ac:dyDescent="0.25">
      <c r="A1190" s="52" t="s">
        <v>766</v>
      </c>
      <c r="B1190" s="53"/>
      <c r="C1190" s="54"/>
      <c r="D1190" s="50"/>
      <c r="E1190" s="50"/>
      <c r="F1190" s="50"/>
      <c r="G1190" s="50">
        <v>22555</v>
      </c>
      <c r="H1190" s="50">
        <v>25000</v>
      </c>
      <c r="I1190" s="50">
        <f t="shared" si="685"/>
        <v>25574.999999999996</v>
      </c>
      <c r="J1190" s="54">
        <f t="shared" si="686"/>
        <v>26188.799999999996</v>
      </c>
      <c r="K1190" s="54">
        <f t="shared" si="686"/>
        <v>26817.331199999997</v>
      </c>
      <c r="L1190" s="54">
        <f t="shared" si="687"/>
        <v>27434.129817599995</v>
      </c>
      <c r="M1190" s="54">
        <f t="shared" si="688"/>
        <v>28037.680673587194</v>
      </c>
      <c r="N1190" s="54">
        <f t="shared" si="689"/>
        <v>28682.547329079698</v>
      </c>
      <c r="O1190" s="54">
        <f t="shared" si="690"/>
        <v>29399.611012306686</v>
      </c>
      <c r="P1190" s="54">
        <f t="shared" si="690"/>
        <v>30134.60128761435</v>
      </c>
      <c r="Q1190" s="50">
        <f t="shared" si="684"/>
        <v>30857.831718517096</v>
      </c>
      <c r="R1190" s="50">
        <f t="shared" si="684"/>
        <v>31598.419679761508</v>
      </c>
    </row>
    <row r="1191" spans="1:18" x14ac:dyDescent="0.25">
      <c r="A1191" s="52" t="s">
        <v>755</v>
      </c>
      <c r="B1191" s="53"/>
      <c r="C1191" s="50">
        <f>14103+36292</f>
        <v>50395</v>
      </c>
      <c r="D1191" s="50">
        <v>58900</v>
      </c>
      <c r="E1191" s="50">
        <v>72982</v>
      </c>
      <c r="F1191" s="50">
        <v>70413</v>
      </c>
      <c r="G1191" s="50">
        <v>137836</v>
      </c>
      <c r="H1191" s="50">
        <v>115300</v>
      </c>
      <c r="I1191" s="50">
        <v>118153.09999999998</v>
      </c>
      <c r="J1191" s="54">
        <v>121504.34939999998</v>
      </c>
      <c r="K1191" s="54">
        <v>125163.19113059997</v>
      </c>
      <c r="L1191" s="54">
        <v>129135.89053045375</v>
      </c>
      <c r="M1191" s="54">
        <v>133106.92634410079</v>
      </c>
      <c r="N1191" s="54">
        <v>136984.73104077129</v>
      </c>
      <c r="O1191" s="54">
        <v>141250.1850692695</v>
      </c>
      <c r="P1191" s="50">
        <v>145897.10862014754</v>
      </c>
      <c r="Q1191" s="50">
        <v>150680.41885766137</v>
      </c>
      <c r="R1191" s="50">
        <v>155622.10904831698</v>
      </c>
    </row>
    <row r="1192" spans="1:18" x14ac:dyDescent="0.25">
      <c r="A1192" s="43" t="s">
        <v>767</v>
      </c>
      <c r="C1192" s="50">
        <v>0</v>
      </c>
      <c r="D1192" s="50">
        <v>0</v>
      </c>
      <c r="E1192" s="50">
        <v>0</v>
      </c>
      <c r="F1192" s="50">
        <v>0</v>
      </c>
      <c r="G1192" s="50">
        <v>0</v>
      </c>
      <c r="H1192" s="50">
        <v>4500</v>
      </c>
      <c r="I1192" s="50">
        <f>H1192*1.025</f>
        <v>4612.5</v>
      </c>
      <c r="J1192" s="50">
        <f>I1192*1.029</f>
        <v>4746.2624999999998</v>
      </c>
      <c r="K1192" s="54">
        <f>J1192*1.031</f>
        <v>4893.3966374999991</v>
      </c>
      <c r="L1192" s="54">
        <f>K1192*1.033</f>
        <v>5054.8787265374986</v>
      </c>
      <c r="M1192" s="54">
        <f>L1192*1.032</f>
        <v>5216.6348457866989</v>
      </c>
      <c r="N1192" s="54">
        <f>M1192*1.03</f>
        <v>5373.1338911602998</v>
      </c>
      <c r="O1192" s="54">
        <f>N1192*1.032</f>
        <v>5545.0741756774296</v>
      </c>
      <c r="P1192" s="54">
        <f>O1192*1.034</f>
        <v>5733.6066976504626</v>
      </c>
      <c r="Q1192" s="50">
        <f>P1192*1.034</f>
        <v>5928.5493253705781</v>
      </c>
      <c r="R1192" s="50">
        <f>Q1192*1.034</f>
        <v>6130.1200024331783</v>
      </c>
    </row>
    <row r="1193" spans="1:18" x14ac:dyDescent="0.25">
      <c r="A1193" s="43" t="s">
        <v>768</v>
      </c>
      <c r="C1193" s="54">
        <v>34900</v>
      </c>
      <c r="D1193" s="50">
        <v>52631</v>
      </c>
      <c r="E1193" s="50">
        <v>67120</v>
      </c>
      <c r="F1193" s="50">
        <v>50443</v>
      </c>
      <c r="G1193" s="50">
        <v>29245</v>
      </c>
      <c r="H1193" s="50">
        <v>30000</v>
      </c>
      <c r="I1193" s="50">
        <f t="shared" ref="I1193:I1197" si="691">H1193*1.023</f>
        <v>30689.999999999996</v>
      </c>
      <c r="J1193" s="54">
        <f t="shared" ref="J1193:K1197" si="692">I1193*1.024</f>
        <v>31426.559999999998</v>
      </c>
      <c r="K1193" s="54">
        <f t="shared" si="692"/>
        <v>32180.797439999998</v>
      </c>
      <c r="L1193" s="54">
        <f t="shared" ref="L1193:L1197" si="693">K1193*1.023</f>
        <v>32920.955781119992</v>
      </c>
      <c r="M1193" s="54">
        <f t="shared" ref="M1193:M1197" si="694">L1193*1.022</f>
        <v>33645.216808304634</v>
      </c>
      <c r="N1193" s="54">
        <f t="shared" ref="N1193:N1197" si="695">M1193*1.023</f>
        <v>34419.056794895638</v>
      </c>
      <c r="O1193" s="54">
        <f t="shared" ref="O1193:P1197" si="696">N1193*1.025</f>
        <v>35279.533214768024</v>
      </c>
      <c r="P1193" s="54">
        <f t="shared" si="696"/>
        <v>36161.521545137221</v>
      </c>
      <c r="Q1193" s="50">
        <f t="shared" ref="Q1193:R1197" si="697">P1193*1.024</f>
        <v>37029.398062220513</v>
      </c>
      <c r="R1193" s="50">
        <f t="shared" si="697"/>
        <v>37918.103615713808</v>
      </c>
    </row>
    <row r="1194" spans="1:18" x14ac:dyDescent="0.25">
      <c r="A1194" s="52" t="s">
        <v>769</v>
      </c>
      <c r="B1194" s="53"/>
      <c r="C1194" s="54">
        <v>142728</v>
      </c>
      <c r="D1194" s="50">
        <v>126985</v>
      </c>
      <c r="E1194" s="50">
        <v>68745</v>
      </c>
      <c r="F1194" s="50">
        <v>19265</v>
      </c>
      <c r="G1194" s="50">
        <v>10782</v>
      </c>
      <c r="H1194" s="50">
        <v>10000</v>
      </c>
      <c r="I1194" s="50">
        <f t="shared" si="691"/>
        <v>10230</v>
      </c>
      <c r="J1194" s="54">
        <f t="shared" si="692"/>
        <v>10475.52</v>
      </c>
      <c r="K1194" s="54">
        <f t="shared" si="692"/>
        <v>10726.932480000001</v>
      </c>
      <c r="L1194" s="54">
        <f t="shared" si="693"/>
        <v>10973.65192704</v>
      </c>
      <c r="M1194" s="54">
        <f t="shared" si="694"/>
        <v>11215.072269434881</v>
      </c>
      <c r="N1194" s="54">
        <f t="shared" si="695"/>
        <v>11473.018931631881</v>
      </c>
      <c r="O1194" s="54">
        <f t="shared" si="696"/>
        <v>11759.844404922676</v>
      </c>
      <c r="P1194" s="54">
        <f t="shared" si="696"/>
        <v>12053.840515045742</v>
      </c>
      <c r="Q1194" s="50">
        <f t="shared" si="697"/>
        <v>12343.13268740684</v>
      </c>
      <c r="R1194" s="50">
        <f t="shared" si="697"/>
        <v>12639.367871904604</v>
      </c>
    </row>
    <row r="1195" spans="1:18" x14ac:dyDescent="0.25">
      <c r="A1195" s="52" t="s">
        <v>36</v>
      </c>
      <c r="B1195" s="53"/>
      <c r="C1195" s="54">
        <v>6763</v>
      </c>
      <c r="D1195" s="50">
        <v>5543</v>
      </c>
      <c r="E1195" s="50">
        <v>8224</v>
      </c>
      <c r="F1195" s="50">
        <v>7284</v>
      </c>
      <c r="G1195" s="50">
        <v>9259</v>
      </c>
      <c r="H1195" s="50">
        <v>10000</v>
      </c>
      <c r="I1195" s="50">
        <f t="shared" si="691"/>
        <v>10230</v>
      </c>
      <c r="J1195" s="54">
        <f t="shared" si="692"/>
        <v>10475.52</v>
      </c>
      <c r="K1195" s="54">
        <f t="shared" si="692"/>
        <v>10726.932480000001</v>
      </c>
      <c r="L1195" s="54">
        <f t="shared" si="693"/>
        <v>10973.65192704</v>
      </c>
      <c r="M1195" s="54">
        <f t="shared" si="694"/>
        <v>11215.072269434881</v>
      </c>
      <c r="N1195" s="54">
        <f t="shared" si="695"/>
        <v>11473.018931631881</v>
      </c>
      <c r="O1195" s="54">
        <f t="shared" si="696"/>
        <v>11759.844404922676</v>
      </c>
      <c r="P1195" s="54">
        <f t="shared" si="696"/>
        <v>12053.840515045742</v>
      </c>
      <c r="Q1195" s="50">
        <f t="shared" si="697"/>
        <v>12343.13268740684</v>
      </c>
      <c r="R1195" s="50">
        <f t="shared" si="697"/>
        <v>12639.367871904604</v>
      </c>
    </row>
    <row r="1196" spans="1:18" x14ac:dyDescent="0.25">
      <c r="A1196" s="52" t="s">
        <v>770</v>
      </c>
      <c r="B1196" s="53"/>
      <c r="C1196" s="54">
        <v>154252</v>
      </c>
      <c r="D1196" s="50">
        <v>160267</v>
      </c>
      <c r="E1196" s="50">
        <v>163488</v>
      </c>
      <c r="F1196" s="50">
        <v>164544</v>
      </c>
      <c r="G1196" s="50">
        <v>165531</v>
      </c>
      <c r="H1196" s="50">
        <v>176000</v>
      </c>
      <c r="I1196" s="50">
        <f t="shared" si="691"/>
        <v>180047.99999999997</v>
      </c>
      <c r="J1196" s="54">
        <f t="shared" si="692"/>
        <v>184369.15199999997</v>
      </c>
      <c r="K1196" s="54">
        <f t="shared" si="692"/>
        <v>188794.01164799999</v>
      </c>
      <c r="L1196" s="54">
        <f t="shared" si="693"/>
        <v>193136.27391590396</v>
      </c>
      <c r="M1196" s="54">
        <f t="shared" si="694"/>
        <v>197385.27194205386</v>
      </c>
      <c r="N1196" s="54">
        <f t="shared" si="695"/>
        <v>201925.13319672109</v>
      </c>
      <c r="O1196" s="54">
        <f t="shared" si="696"/>
        <v>206973.26152663911</v>
      </c>
      <c r="P1196" s="54">
        <f t="shared" si="696"/>
        <v>212147.59306480506</v>
      </c>
      <c r="Q1196" s="50">
        <f t="shared" si="697"/>
        <v>217239.13529836037</v>
      </c>
      <c r="R1196" s="50">
        <f t="shared" si="697"/>
        <v>222452.87454552102</v>
      </c>
    </row>
    <row r="1197" spans="1:18" x14ac:dyDescent="0.25">
      <c r="A1197" s="52" t="s">
        <v>771</v>
      </c>
      <c r="B1197" s="53"/>
      <c r="C1197" s="54"/>
      <c r="D1197" s="50">
        <v>4596</v>
      </c>
      <c r="E1197" s="50">
        <v>21035</v>
      </c>
      <c r="F1197" s="50">
        <v>20566</v>
      </c>
      <c r="G1197" s="50">
        <v>21640</v>
      </c>
      <c r="H1197" s="50">
        <v>23000</v>
      </c>
      <c r="I1197" s="50">
        <f t="shared" si="691"/>
        <v>23528.999999999996</v>
      </c>
      <c r="J1197" s="54">
        <f t="shared" si="692"/>
        <v>24093.695999999996</v>
      </c>
      <c r="K1197" s="54">
        <f t="shared" si="692"/>
        <v>24671.944703999998</v>
      </c>
      <c r="L1197" s="54">
        <f t="shared" si="693"/>
        <v>25239.399432191996</v>
      </c>
      <c r="M1197" s="54">
        <f t="shared" si="694"/>
        <v>25794.666219700222</v>
      </c>
      <c r="N1197" s="54">
        <f t="shared" si="695"/>
        <v>26387.943542753324</v>
      </c>
      <c r="O1197" s="54">
        <f t="shared" si="696"/>
        <v>27047.642131322154</v>
      </c>
      <c r="P1197" s="54">
        <f t="shared" si="696"/>
        <v>27723.833184605206</v>
      </c>
      <c r="Q1197" s="50">
        <f t="shared" si="697"/>
        <v>28389.20518103573</v>
      </c>
      <c r="R1197" s="50">
        <f t="shared" si="697"/>
        <v>29070.546105380588</v>
      </c>
    </row>
    <row r="1198" spans="1:18" x14ac:dyDescent="0.25">
      <c r="A1198" s="52" t="s">
        <v>756</v>
      </c>
      <c r="B1198" s="53"/>
      <c r="C1198" s="54">
        <v>55</v>
      </c>
      <c r="D1198" s="50">
        <v>0</v>
      </c>
      <c r="E1198" s="50">
        <v>0</v>
      </c>
      <c r="F1198" s="50">
        <v>0</v>
      </c>
      <c r="G1198" s="50">
        <v>0</v>
      </c>
      <c r="H1198" s="50"/>
      <c r="I1198" s="54"/>
      <c r="J1198" s="54"/>
      <c r="K1198" s="54"/>
      <c r="L1198" s="54"/>
      <c r="M1198" s="54"/>
      <c r="N1198" s="54"/>
      <c r="O1198" s="54"/>
      <c r="P1198" s="54"/>
      <c r="Q1198" s="50"/>
      <c r="R1198" s="50"/>
    </row>
    <row r="1199" spans="1:18" x14ac:dyDescent="0.25">
      <c r="A1199" s="52" t="s">
        <v>772</v>
      </c>
      <c r="B1199" s="53"/>
      <c r="C1199" s="50"/>
      <c r="D1199" s="50"/>
      <c r="E1199" s="50"/>
      <c r="F1199" s="50"/>
      <c r="G1199" s="50">
        <v>0</v>
      </c>
      <c r="H1199" s="50"/>
      <c r="I1199" s="50"/>
      <c r="J1199" s="50"/>
      <c r="K1199" s="50"/>
      <c r="L1199" s="50"/>
      <c r="M1199" s="50"/>
      <c r="N1199" s="50"/>
      <c r="O1199" s="50"/>
      <c r="P1199" s="50"/>
      <c r="Q1199" s="50"/>
      <c r="R1199" s="50"/>
    </row>
    <row r="1200" spans="1:18" x14ac:dyDescent="0.25">
      <c r="A1200" s="52" t="s">
        <v>773</v>
      </c>
      <c r="B1200" s="53"/>
      <c r="C1200" s="52">
        <v>0</v>
      </c>
      <c r="D1200" s="50">
        <v>0</v>
      </c>
      <c r="E1200" s="50">
        <v>0</v>
      </c>
      <c r="F1200" s="50">
        <v>0</v>
      </c>
      <c r="G1200" s="50">
        <v>0</v>
      </c>
      <c r="H1200" s="50"/>
      <c r="I1200" s="50">
        <f t="shared" ref="I1200:I1202" si="698">H1200*1.025</f>
        <v>0</v>
      </c>
      <c r="J1200" s="50">
        <f t="shared" ref="J1200:J1202" si="699">I1200*1.029</f>
        <v>0</v>
      </c>
      <c r="K1200" s="54">
        <f t="shared" ref="K1200:K1202" si="700">J1200*1.031</f>
        <v>0</v>
      </c>
      <c r="L1200" s="54">
        <f t="shared" ref="L1200:L1202" si="701">K1200*1.033</f>
        <v>0</v>
      </c>
      <c r="M1200" s="54">
        <f t="shared" ref="M1200:M1202" si="702">L1200*1.032</f>
        <v>0</v>
      </c>
      <c r="N1200" s="54">
        <f t="shared" ref="N1200:N1202" si="703">M1200*1.03</f>
        <v>0</v>
      </c>
      <c r="O1200" s="54">
        <f t="shared" ref="O1200:O1202" si="704">N1200*1.032</f>
        <v>0</v>
      </c>
      <c r="P1200" s="54">
        <f t="shared" ref="P1200:R1206" si="705">O1200*1.034</f>
        <v>0</v>
      </c>
      <c r="Q1200" s="54">
        <f t="shared" si="705"/>
        <v>0</v>
      </c>
      <c r="R1200" s="54">
        <f t="shared" si="705"/>
        <v>0</v>
      </c>
    </row>
    <row r="1201" spans="1:18" x14ac:dyDescent="0.25">
      <c r="A1201" s="52" t="s">
        <v>774</v>
      </c>
      <c r="B1201" s="53"/>
      <c r="C1201" s="54">
        <v>35082</v>
      </c>
      <c r="D1201" s="50">
        <v>73599</v>
      </c>
      <c r="E1201" s="50">
        <v>21014</v>
      </c>
      <c r="F1201" s="50"/>
      <c r="G1201" s="50">
        <v>76876</v>
      </c>
      <c r="H1201" s="50">
        <v>73200</v>
      </c>
      <c r="I1201" s="50">
        <f t="shared" si="698"/>
        <v>75030</v>
      </c>
      <c r="J1201" s="50">
        <f t="shared" si="699"/>
        <v>77205.87</v>
      </c>
      <c r="K1201" s="54">
        <f t="shared" si="700"/>
        <v>79599.251969999983</v>
      </c>
      <c r="L1201" s="54">
        <f t="shared" si="701"/>
        <v>82226.027285009972</v>
      </c>
      <c r="M1201" s="54">
        <f t="shared" si="702"/>
        <v>84857.260158130288</v>
      </c>
      <c r="N1201" s="54">
        <f t="shared" si="703"/>
        <v>87402.977962874196</v>
      </c>
      <c r="O1201" s="54">
        <f t="shared" si="704"/>
        <v>90199.873257686166</v>
      </c>
      <c r="P1201" s="54">
        <f t="shared" si="705"/>
        <v>93266.668948447492</v>
      </c>
      <c r="Q1201" s="50">
        <f t="shared" si="705"/>
        <v>96437.73569269471</v>
      </c>
      <c r="R1201" s="50">
        <f t="shared" si="705"/>
        <v>99716.618706246329</v>
      </c>
    </row>
    <row r="1202" spans="1:18" x14ac:dyDescent="0.25">
      <c r="A1202" s="52" t="s">
        <v>775</v>
      </c>
      <c r="B1202" s="53"/>
      <c r="C1202" s="50">
        <v>-1775</v>
      </c>
      <c r="D1202" s="50">
        <v>8265</v>
      </c>
      <c r="E1202" s="50">
        <v>60</v>
      </c>
      <c r="F1202" s="50"/>
      <c r="G1202" s="50">
        <v>15167</v>
      </c>
      <c r="H1202" s="50">
        <v>7500</v>
      </c>
      <c r="I1202" s="50">
        <f t="shared" si="698"/>
        <v>7687.4999999999991</v>
      </c>
      <c r="J1202" s="50">
        <f t="shared" si="699"/>
        <v>7910.4374999999982</v>
      </c>
      <c r="K1202" s="54">
        <f t="shared" si="700"/>
        <v>8155.6610624999976</v>
      </c>
      <c r="L1202" s="54">
        <f t="shared" si="701"/>
        <v>8424.7978775624961</v>
      </c>
      <c r="M1202" s="54">
        <f t="shared" si="702"/>
        <v>8694.3914096444969</v>
      </c>
      <c r="N1202" s="54">
        <f t="shared" si="703"/>
        <v>8955.2231519338329</v>
      </c>
      <c r="O1202" s="54">
        <f t="shared" si="704"/>
        <v>9241.7902927957166</v>
      </c>
      <c r="P1202" s="54">
        <f t="shared" si="705"/>
        <v>9556.0111627507704</v>
      </c>
      <c r="Q1202" s="50">
        <f t="shared" si="705"/>
        <v>9880.9155422842978</v>
      </c>
      <c r="R1202" s="50">
        <f t="shared" si="705"/>
        <v>10216.866670721964</v>
      </c>
    </row>
    <row r="1203" spans="1:18" x14ac:dyDescent="0.25">
      <c r="A1203" s="43" t="s">
        <v>221</v>
      </c>
      <c r="B1203" s="53"/>
      <c r="C1203" s="50"/>
      <c r="D1203" s="50"/>
      <c r="E1203" s="50"/>
      <c r="F1203" s="50"/>
      <c r="G1203" s="50">
        <v>0</v>
      </c>
      <c r="H1203" s="58">
        <v>310</v>
      </c>
      <c r="I1203" s="58">
        <v>4210</v>
      </c>
      <c r="J1203" s="58">
        <v>4210</v>
      </c>
      <c r="K1203" s="169">
        <v>4210</v>
      </c>
      <c r="L1203" s="169">
        <v>4250</v>
      </c>
      <c r="M1203" s="169">
        <v>5950</v>
      </c>
      <c r="N1203" s="169">
        <v>5950</v>
      </c>
      <c r="O1203" s="169">
        <v>5950</v>
      </c>
      <c r="P1203" s="169">
        <v>5950</v>
      </c>
      <c r="Q1203" s="58">
        <v>5090</v>
      </c>
      <c r="R1203" s="58">
        <v>5090</v>
      </c>
    </row>
    <row r="1204" spans="1:18" x14ac:dyDescent="0.25">
      <c r="A1204" s="43" t="s">
        <v>219</v>
      </c>
      <c r="B1204" s="53"/>
      <c r="C1204" s="50"/>
      <c r="D1204" s="50"/>
      <c r="E1204" s="50"/>
      <c r="F1204" s="50"/>
      <c r="G1204" s="50">
        <v>0</v>
      </c>
      <c r="H1204" s="67">
        <v>5000</v>
      </c>
      <c r="I1204" s="50">
        <f t="shared" ref="I1204" si="706">H1204*1.023</f>
        <v>5115</v>
      </c>
      <c r="J1204" s="54">
        <f t="shared" ref="J1204:K1204" si="707">I1204*1.024</f>
        <v>5237.76</v>
      </c>
      <c r="K1204" s="54">
        <f t="shared" si="707"/>
        <v>5363.4662400000007</v>
      </c>
      <c r="L1204" s="54">
        <f t="shared" ref="L1204" si="708">K1204*1.023</f>
        <v>5486.8259635200002</v>
      </c>
      <c r="M1204" s="54">
        <f t="shared" ref="M1204" si="709">L1204*1.022</f>
        <v>5607.5361347174403</v>
      </c>
      <c r="N1204" s="54">
        <f t="shared" ref="N1204" si="710">M1204*1.023</f>
        <v>5736.5094658159405</v>
      </c>
      <c r="O1204" s="54">
        <f t="shared" ref="O1204:P1204" si="711">N1204*1.025</f>
        <v>5879.9222024613382</v>
      </c>
      <c r="P1204" s="54">
        <f t="shared" si="711"/>
        <v>6026.920257522871</v>
      </c>
      <c r="Q1204" s="50">
        <f t="shared" ref="Q1204:R1204" si="712">P1204*1.024</f>
        <v>6171.56634370342</v>
      </c>
      <c r="R1204" s="50">
        <f t="shared" si="712"/>
        <v>6319.6839359523019</v>
      </c>
    </row>
    <row r="1205" spans="1:18" x14ac:dyDescent="0.25">
      <c r="A1205" s="109" t="s">
        <v>776</v>
      </c>
      <c r="B1205" s="53"/>
      <c r="C1205" s="50"/>
      <c r="D1205" s="50"/>
      <c r="E1205" s="50"/>
      <c r="F1205" s="50"/>
      <c r="G1205" s="50"/>
      <c r="H1205" s="50">
        <v>30300</v>
      </c>
      <c r="I1205" s="50">
        <f t="shared" ref="I1205:I1206" si="713">H1205*1.025</f>
        <v>31057.499999999996</v>
      </c>
      <c r="J1205" s="50">
        <f t="shared" ref="J1205:J1206" si="714">I1205*1.029</f>
        <v>31958.167499999992</v>
      </c>
      <c r="K1205" s="54">
        <f t="shared" ref="K1205:K1206" si="715">J1205*1.031</f>
        <v>32948.870692499986</v>
      </c>
      <c r="L1205" s="54">
        <f t="shared" ref="L1205:L1206" si="716">K1205*1.033</f>
        <v>34036.183425352479</v>
      </c>
      <c r="M1205" s="54">
        <f t="shared" ref="M1205:M1206" si="717">L1205*1.032</f>
        <v>35125.341294963757</v>
      </c>
      <c r="N1205" s="54">
        <f t="shared" ref="N1205:N1206" si="718">M1205*1.03</f>
        <v>36179.101533812667</v>
      </c>
      <c r="O1205" s="54">
        <f t="shared" ref="O1205:O1206" si="719">N1205*1.032</f>
        <v>37336.832782894671</v>
      </c>
      <c r="P1205" s="54">
        <f t="shared" si="705"/>
        <v>38606.285097513093</v>
      </c>
      <c r="Q1205" s="50">
        <f t="shared" si="705"/>
        <v>39918.898790828542</v>
      </c>
      <c r="R1205" s="50">
        <f t="shared" si="705"/>
        <v>41276.141349716716</v>
      </c>
    </row>
    <row r="1206" spans="1:18" x14ac:dyDescent="0.25">
      <c r="A1206" s="52" t="s">
        <v>775</v>
      </c>
      <c r="B1206" s="53"/>
      <c r="C1206" s="50"/>
      <c r="D1206" s="50"/>
      <c r="E1206" s="50"/>
      <c r="F1206" s="50"/>
      <c r="G1206" s="50"/>
      <c r="H1206" s="50">
        <v>2900</v>
      </c>
      <c r="I1206" s="50">
        <f t="shared" si="713"/>
        <v>2972.4999999999995</v>
      </c>
      <c r="J1206" s="50">
        <f t="shared" si="714"/>
        <v>3058.7024999999994</v>
      </c>
      <c r="K1206" s="54">
        <f t="shared" si="715"/>
        <v>3153.5222774999993</v>
      </c>
      <c r="L1206" s="54">
        <f t="shared" si="716"/>
        <v>3257.588512657499</v>
      </c>
      <c r="M1206" s="54">
        <f t="shared" si="717"/>
        <v>3361.8313450625392</v>
      </c>
      <c r="N1206" s="54">
        <f t="shared" si="718"/>
        <v>3462.6862854144156</v>
      </c>
      <c r="O1206" s="54">
        <f t="shared" si="719"/>
        <v>3573.492246547677</v>
      </c>
      <c r="P1206" s="54">
        <f t="shared" si="705"/>
        <v>3694.9909829302983</v>
      </c>
      <c r="Q1206" s="50">
        <f t="shared" si="705"/>
        <v>3820.6206763499285</v>
      </c>
      <c r="R1206" s="50">
        <f t="shared" si="705"/>
        <v>3950.5217793458264</v>
      </c>
    </row>
    <row r="1207" spans="1:18" x14ac:dyDescent="0.25">
      <c r="A1207" s="52" t="s">
        <v>749</v>
      </c>
      <c r="B1207" s="53"/>
      <c r="C1207" s="54">
        <v>55138</v>
      </c>
      <c r="D1207" s="52">
        <f>67569+3726</f>
        <v>71295</v>
      </c>
      <c r="E1207" s="50">
        <v>74453</v>
      </c>
      <c r="F1207" s="50">
        <f>74911+177</f>
        <v>75088</v>
      </c>
      <c r="G1207" s="50"/>
      <c r="H1207" s="50"/>
      <c r="I1207" s="50"/>
      <c r="J1207" s="50"/>
      <c r="K1207" s="50"/>
      <c r="L1207" s="50"/>
      <c r="M1207" s="50"/>
      <c r="N1207" s="50"/>
      <c r="O1207" s="50"/>
      <c r="P1207" s="50"/>
      <c r="Q1207" s="50"/>
      <c r="R1207" s="50"/>
    </row>
    <row r="1208" spans="1:18" x14ac:dyDescent="0.25">
      <c r="A1208" s="52" t="s">
        <v>775</v>
      </c>
      <c r="B1208" s="53"/>
      <c r="C1208" s="54"/>
      <c r="D1208" s="50"/>
      <c r="E1208" s="50">
        <v>7228</v>
      </c>
      <c r="F1208" s="50">
        <v>6870</v>
      </c>
      <c r="G1208" s="50">
        <v>-19441</v>
      </c>
      <c r="H1208" s="50"/>
      <c r="I1208" s="54"/>
      <c r="J1208" s="54"/>
      <c r="K1208" s="54"/>
      <c r="L1208" s="54"/>
      <c r="M1208" s="54"/>
      <c r="N1208" s="54"/>
      <c r="O1208" s="54"/>
      <c r="P1208" s="54"/>
      <c r="Q1208" s="50"/>
      <c r="R1208" s="50"/>
    </row>
    <row r="1209" spans="1:18" x14ac:dyDescent="0.25">
      <c r="A1209" s="52" t="s">
        <v>777</v>
      </c>
      <c r="B1209" s="53"/>
      <c r="C1209" s="54"/>
      <c r="D1209" s="50"/>
      <c r="E1209" s="50"/>
      <c r="F1209" s="50"/>
      <c r="G1209" s="50">
        <v>12510</v>
      </c>
      <c r="H1209" s="50">
        <v>59800</v>
      </c>
      <c r="I1209" s="50">
        <v>59800</v>
      </c>
      <c r="J1209" s="50">
        <v>59800</v>
      </c>
      <c r="K1209" s="50"/>
      <c r="L1209" s="50"/>
      <c r="M1209" s="50"/>
      <c r="N1209" s="50"/>
      <c r="O1209" s="50"/>
      <c r="P1209" s="50"/>
      <c r="Q1209" s="50"/>
      <c r="R1209" s="50"/>
    </row>
    <row r="1210" spans="1:18" x14ac:dyDescent="0.25">
      <c r="A1210" s="52" t="s">
        <v>778</v>
      </c>
      <c r="B1210" s="53"/>
      <c r="C1210" s="54">
        <f>11614+2752+4643+6296</f>
        <v>25305</v>
      </c>
      <c r="D1210" s="50">
        <v>7559</v>
      </c>
      <c r="E1210" s="50">
        <v>7830</v>
      </c>
      <c r="F1210" s="50">
        <v>9915</v>
      </c>
      <c r="G1210" s="50">
        <v>6122</v>
      </c>
      <c r="H1210" s="50">
        <v>30000</v>
      </c>
      <c r="I1210" s="50">
        <f t="shared" ref="I1210" si="720">H1210*1.023</f>
        <v>30689.999999999996</v>
      </c>
      <c r="J1210" s="50">
        <f t="shared" ref="J1210:K1210" si="721">I1210*1.024</f>
        <v>31426.559999999998</v>
      </c>
      <c r="K1210" s="50">
        <f t="shared" si="721"/>
        <v>32180.797439999998</v>
      </c>
      <c r="L1210" s="50">
        <f t="shared" ref="L1210" si="722">K1210*1.023</f>
        <v>32920.955781119992</v>
      </c>
      <c r="M1210" s="50">
        <f t="shared" ref="M1210" si="723">L1210*1.022</f>
        <v>33645.216808304634</v>
      </c>
      <c r="N1210" s="50">
        <f t="shared" ref="N1210" si="724">M1210*1.023</f>
        <v>34419.056794895638</v>
      </c>
      <c r="O1210" s="50">
        <f t="shared" ref="O1210:P1210" si="725">N1210*1.025</f>
        <v>35279.533214768024</v>
      </c>
      <c r="P1210" s="50">
        <f t="shared" si="725"/>
        <v>36161.521545137221</v>
      </c>
      <c r="Q1210" s="50">
        <f t="shared" ref="Q1210:R1210" si="726">P1210*1.024</f>
        <v>37029.398062220513</v>
      </c>
      <c r="R1210" s="50">
        <f t="shared" si="726"/>
        <v>37918.103615713808</v>
      </c>
    </row>
    <row r="1211" spans="1:18" s="43" customFormat="1" x14ac:dyDescent="0.25">
      <c r="A1211" s="52" t="s">
        <v>779</v>
      </c>
      <c r="B1211" s="53"/>
      <c r="C1211" s="50">
        <v>0</v>
      </c>
      <c r="D1211" s="50">
        <v>0</v>
      </c>
      <c r="E1211" s="50">
        <f>D1211*1.025</f>
        <v>0</v>
      </c>
      <c r="F1211" s="50">
        <v>30000</v>
      </c>
      <c r="G1211" s="50">
        <v>0</v>
      </c>
      <c r="H1211" s="50">
        <v>0</v>
      </c>
      <c r="I1211" s="50">
        <v>0</v>
      </c>
      <c r="J1211" s="50">
        <v>0</v>
      </c>
      <c r="K1211" s="50">
        <v>0</v>
      </c>
      <c r="L1211" s="50">
        <v>0</v>
      </c>
      <c r="M1211" s="50">
        <v>0</v>
      </c>
      <c r="N1211" s="50">
        <v>0</v>
      </c>
      <c r="O1211" s="50">
        <v>0</v>
      </c>
      <c r="P1211" s="50">
        <v>0</v>
      </c>
      <c r="Q1211" s="50">
        <f t="shared" ref="Q1211:R1211" si="727">P1211*1.025</f>
        <v>0</v>
      </c>
      <c r="R1211" s="50">
        <f t="shared" si="727"/>
        <v>0</v>
      </c>
    </row>
    <row r="1212" spans="1:18" s="43" customFormat="1" x14ac:dyDescent="0.25">
      <c r="A1212" s="52" t="s">
        <v>780</v>
      </c>
      <c r="B1212" s="53"/>
      <c r="C1212" s="50"/>
      <c r="D1212" s="50"/>
      <c r="E1212" s="50"/>
      <c r="F1212" s="50">
        <v>26633</v>
      </c>
      <c r="G1212" s="50"/>
      <c r="H1212" s="50"/>
      <c r="I1212" s="50"/>
      <c r="J1212" s="50"/>
      <c r="K1212" s="50"/>
      <c r="L1212" s="50"/>
      <c r="M1212" s="50"/>
      <c r="N1212" s="50"/>
      <c r="O1212" s="50"/>
      <c r="P1212" s="50"/>
      <c r="Q1212" s="50"/>
      <c r="R1212" s="50"/>
    </row>
    <row r="1213" spans="1:18" s="43" customFormat="1" x14ac:dyDescent="0.25">
      <c r="A1213" s="43" t="s">
        <v>751</v>
      </c>
      <c r="B1213" s="53"/>
      <c r="C1213" s="54">
        <v>7944</v>
      </c>
      <c r="D1213" s="50"/>
      <c r="E1213" s="50"/>
      <c r="F1213" s="50"/>
      <c r="G1213" s="50"/>
      <c r="H1213" s="50"/>
      <c r="I1213" s="50"/>
      <c r="J1213" s="50"/>
      <c r="K1213" s="50"/>
      <c r="L1213" s="50"/>
      <c r="M1213" s="50"/>
      <c r="N1213" s="50"/>
      <c r="O1213" s="50"/>
      <c r="P1213" s="50"/>
      <c r="Q1213" s="50"/>
      <c r="R1213" s="50"/>
    </row>
    <row r="1214" spans="1:18" s="43" customFormat="1" x14ac:dyDescent="0.25">
      <c r="A1214" s="52" t="s">
        <v>752</v>
      </c>
      <c r="B1214" s="53"/>
      <c r="C1214" s="54">
        <f>3.43+95</f>
        <v>98.43</v>
      </c>
      <c r="D1214" s="50">
        <v>20477</v>
      </c>
      <c r="E1214" s="50">
        <v>343</v>
      </c>
      <c r="F1214" s="50">
        <v>3407</v>
      </c>
      <c r="G1214" s="50"/>
      <c r="H1214" s="50"/>
      <c r="I1214" s="50"/>
      <c r="J1214" s="50"/>
      <c r="K1214" s="50"/>
      <c r="L1214" s="50"/>
      <c r="M1214" s="50"/>
      <c r="N1214" s="50"/>
      <c r="O1214" s="50"/>
      <c r="P1214" s="50"/>
      <c r="Q1214" s="50"/>
      <c r="R1214" s="50"/>
    </row>
    <row r="1215" spans="1:18" s="43" customFormat="1" x14ac:dyDescent="0.25">
      <c r="A1215" s="43" t="s">
        <v>781</v>
      </c>
      <c r="B1215" s="53"/>
      <c r="C1215" s="54">
        <v>6494</v>
      </c>
      <c r="D1215" s="43">
        <v>7389</v>
      </c>
      <c r="E1215" s="43">
        <v>10579</v>
      </c>
      <c r="F1215" s="43">
        <v>9026</v>
      </c>
      <c r="G1215" s="43">
        <v>0</v>
      </c>
      <c r="H1215" s="43">
        <v>0</v>
      </c>
      <c r="I1215" s="54">
        <f t="shared" ref="I1215" si="728">H1215*1.023</f>
        <v>0</v>
      </c>
      <c r="J1215" s="54">
        <f t="shared" ref="J1215:K1215" si="729">I1215*1.024</f>
        <v>0</v>
      </c>
      <c r="K1215" s="54">
        <f t="shared" si="729"/>
        <v>0</v>
      </c>
      <c r="L1215" s="54">
        <f t="shared" ref="L1215" si="730">K1215*1.023</f>
        <v>0</v>
      </c>
      <c r="M1215" s="54">
        <f t="shared" ref="M1215" si="731">L1215*1.022</f>
        <v>0</v>
      </c>
      <c r="N1215" s="54">
        <f t="shared" ref="N1215" si="732">M1215*1.023</f>
        <v>0</v>
      </c>
      <c r="O1215" s="54">
        <f t="shared" ref="O1215:P1215" si="733">N1215*1.025</f>
        <v>0</v>
      </c>
      <c r="P1215" s="54">
        <f t="shared" si="733"/>
        <v>0</v>
      </c>
      <c r="Q1215" s="54">
        <f t="shared" ref="Q1215:R1215" si="734">P1215*1.024</f>
        <v>0</v>
      </c>
      <c r="R1215" s="54">
        <f t="shared" si="734"/>
        <v>0</v>
      </c>
    </row>
    <row r="1216" spans="1:18" s="43" customFormat="1" x14ac:dyDescent="0.25">
      <c r="A1216" s="43" t="s">
        <v>782</v>
      </c>
      <c r="B1216" s="53"/>
      <c r="C1216" s="54">
        <v>1080</v>
      </c>
      <c r="D1216" s="54">
        <v>0</v>
      </c>
      <c r="E1216" s="54">
        <v>0</v>
      </c>
      <c r="F1216" s="50">
        <v>195</v>
      </c>
      <c r="G1216" s="50">
        <v>0</v>
      </c>
      <c r="H1216" s="50">
        <v>5000</v>
      </c>
      <c r="I1216" s="54">
        <v>5119</v>
      </c>
      <c r="J1216" s="54">
        <v>5252.1059999999998</v>
      </c>
      <c r="K1216" s="54">
        <v>5392.922693999999</v>
      </c>
      <c r="L1216" s="54">
        <v>5538.7083454619988</v>
      </c>
      <c r="M1216" s="54">
        <v>5683.0260567356627</v>
      </c>
      <c r="N1216" s="54">
        <v>5829.9651866719187</v>
      </c>
      <c r="O1216" s="54">
        <v>5992.4307328889936</v>
      </c>
      <c r="P1216" s="54">
        <v>6164.4217979139275</v>
      </c>
      <c r="Q1216" s="54">
        <v>6337.8506174978647</v>
      </c>
      <c r="R1216" s="54">
        <v>6516.3081404305713</v>
      </c>
    </row>
    <row r="1217" spans="1:18" s="43" customFormat="1" x14ac:dyDescent="0.25">
      <c r="A1217" s="43" t="s">
        <v>783</v>
      </c>
      <c r="B1217" s="53"/>
      <c r="C1217" s="52">
        <v>0</v>
      </c>
      <c r="D1217" s="54">
        <v>0</v>
      </c>
      <c r="E1217" s="54">
        <v>0</v>
      </c>
      <c r="F1217" s="50">
        <v>0</v>
      </c>
      <c r="G1217" s="50">
        <v>0</v>
      </c>
      <c r="H1217" s="50">
        <v>0</v>
      </c>
      <c r="I1217" s="54">
        <f t="shared" ref="I1217" si="735">H1217*1.023</f>
        <v>0</v>
      </c>
      <c r="J1217" s="54">
        <f t="shared" ref="J1217:K1217" si="736">I1217*1.024</f>
        <v>0</v>
      </c>
      <c r="K1217" s="54">
        <f t="shared" si="736"/>
        <v>0</v>
      </c>
      <c r="L1217" s="54">
        <f t="shared" ref="L1217" si="737">K1217*1.023</f>
        <v>0</v>
      </c>
      <c r="M1217" s="54">
        <f t="shared" ref="M1217" si="738">L1217*1.022</f>
        <v>0</v>
      </c>
      <c r="N1217" s="54">
        <f t="shared" ref="N1217" si="739">M1217*1.023</f>
        <v>0</v>
      </c>
      <c r="O1217" s="54">
        <f t="shared" ref="O1217:P1217" si="740">N1217*1.025</f>
        <v>0</v>
      </c>
      <c r="P1217" s="54">
        <f t="shared" si="740"/>
        <v>0</v>
      </c>
      <c r="Q1217" s="54">
        <f t="shared" ref="Q1217:R1217" si="741">P1217*1.024</f>
        <v>0</v>
      </c>
      <c r="R1217" s="54">
        <f t="shared" si="741"/>
        <v>0</v>
      </c>
    </row>
    <row r="1218" spans="1:18" s="43" customFormat="1" x14ac:dyDescent="0.25">
      <c r="A1218" s="59" t="s">
        <v>784</v>
      </c>
      <c r="B1218" s="53"/>
      <c r="C1218" s="50"/>
      <c r="D1218" s="50"/>
      <c r="E1218" s="50">
        <v>8395</v>
      </c>
      <c r="F1218" s="50">
        <v>8395</v>
      </c>
      <c r="G1218" s="50">
        <v>8395</v>
      </c>
      <c r="H1218" s="58">
        <v>8395</v>
      </c>
      <c r="I1218" s="58">
        <v>8395</v>
      </c>
      <c r="J1218" s="58">
        <v>8395</v>
      </c>
      <c r="K1218" s="58">
        <v>8395</v>
      </c>
      <c r="L1218" s="58">
        <v>8395</v>
      </c>
      <c r="M1218" s="58">
        <v>8395</v>
      </c>
      <c r="N1218" s="58">
        <v>8395</v>
      </c>
      <c r="O1218" s="58">
        <v>8395</v>
      </c>
      <c r="P1218" s="58">
        <v>8395</v>
      </c>
      <c r="Q1218" s="58">
        <v>8395</v>
      </c>
      <c r="R1218" s="58">
        <v>8395</v>
      </c>
    </row>
    <row r="1219" spans="1:18" s="43" customFormat="1" x14ac:dyDescent="0.25">
      <c r="A1219" s="52" t="s">
        <v>785</v>
      </c>
      <c r="B1219" s="53"/>
      <c r="C1219" s="50"/>
      <c r="D1219" s="50"/>
      <c r="E1219" s="50"/>
      <c r="F1219" s="50">
        <v>4970</v>
      </c>
      <c r="G1219" s="50">
        <v>9497</v>
      </c>
      <c r="H1219" s="58">
        <v>4970</v>
      </c>
      <c r="I1219" s="58">
        <v>4970</v>
      </c>
      <c r="J1219" s="58">
        <v>4970</v>
      </c>
      <c r="K1219" s="58">
        <v>4970</v>
      </c>
      <c r="L1219" s="58">
        <v>4970</v>
      </c>
      <c r="M1219" s="58">
        <v>4970</v>
      </c>
      <c r="N1219" s="58">
        <v>4970</v>
      </c>
      <c r="O1219" s="58">
        <v>4970</v>
      </c>
      <c r="P1219" s="58">
        <v>4970</v>
      </c>
      <c r="Q1219" s="58">
        <v>4970</v>
      </c>
      <c r="R1219" s="58">
        <v>4970</v>
      </c>
    </row>
    <row r="1220" spans="1:18" x14ac:dyDescent="0.25">
      <c r="C1220" s="51"/>
      <c r="D1220" s="51"/>
      <c r="E1220" s="51"/>
      <c r="F1220" s="51"/>
      <c r="G1220" s="51"/>
      <c r="H1220" s="51"/>
      <c r="I1220" s="51"/>
      <c r="J1220" s="51"/>
      <c r="K1220" s="51"/>
      <c r="L1220" s="51"/>
      <c r="M1220" s="51"/>
      <c r="N1220" s="51"/>
      <c r="O1220" s="51"/>
      <c r="P1220" s="51"/>
      <c r="Q1220" s="51"/>
      <c r="R1220" s="51"/>
    </row>
    <row r="1221" spans="1:18" x14ac:dyDescent="0.25">
      <c r="A1221" s="41" t="s">
        <v>230</v>
      </c>
      <c r="B1221" s="44"/>
      <c r="C1221" s="51">
        <f t="shared" ref="C1221:Q1221" si="742">SUM(C1181:C1220)</f>
        <v>2285668.4300000002</v>
      </c>
      <c r="D1221" s="51">
        <f t="shared" si="742"/>
        <v>2469926</v>
      </c>
      <c r="E1221" s="51">
        <f t="shared" si="742"/>
        <v>2580160</v>
      </c>
      <c r="F1221" s="51">
        <f t="shared" si="742"/>
        <v>2491413</v>
      </c>
      <c r="G1221" s="51">
        <f>SUM(G1181:G1220)</f>
        <v>2625015</v>
      </c>
      <c r="H1221" s="51">
        <f t="shared" si="742"/>
        <v>2909175</v>
      </c>
      <c r="I1221" s="51">
        <f t="shared" si="742"/>
        <v>2978738.1</v>
      </c>
      <c r="J1221" s="51">
        <f t="shared" si="742"/>
        <v>3049503.4394000005</v>
      </c>
      <c r="K1221" s="51">
        <f t="shared" si="742"/>
        <v>3062666.1815205999</v>
      </c>
      <c r="L1221" s="51">
        <f t="shared" si="742"/>
        <v>3135146.4801553236</v>
      </c>
      <c r="M1221" s="51">
        <f t="shared" si="742"/>
        <v>3207914.6798266633</v>
      </c>
      <c r="N1221" s="51">
        <f t="shared" si="742"/>
        <v>3283045.8355974383</v>
      </c>
      <c r="O1221" s="51">
        <f t="shared" si="742"/>
        <v>3366486.2705161795</v>
      </c>
      <c r="P1221" s="51">
        <f t="shared" si="742"/>
        <v>3452616.4750647335</v>
      </c>
      <c r="Q1221" s="51">
        <f t="shared" si="742"/>
        <v>3536971.548422243</v>
      </c>
      <c r="R1221" s="51">
        <f t="shared" ref="R1221" si="743">SUM(R1181:R1220)</f>
        <v>3624327.5220308383</v>
      </c>
    </row>
    <row r="1222" spans="1:18" x14ac:dyDescent="0.25">
      <c r="A1222" s="41"/>
      <c r="B1222" s="44"/>
      <c r="C1222" s="51"/>
      <c r="D1222" s="51"/>
      <c r="E1222" s="51"/>
      <c r="F1222" s="51"/>
      <c r="G1222" s="51"/>
      <c r="H1222" s="51"/>
      <c r="I1222" s="51"/>
      <c r="J1222" s="51"/>
      <c r="K1222" s="51"/>
      <c r="L1222" s="51"/>
      <c r="M1222" s="51"/>
      <c r="N1222" s="51"/>
      <c r="O1222" s="51"/>
      <c r="P1222" s="51"/>
      <c r="Q1222" s="51"/>
      <c r="R1222" s="51"/>
    </row>
    <row r="1223" spans="1:18" x14ac:dyDescent="0.25">
      <c r="A1223" s="41" t="s">
        <v>171</v>
      </c>
      <c r="B1223" s="44"/>
      <c r="C1223" s="51"/>
      <c r="D1223" s="51"/>
      <c r="E1223" s="51"/>
      <c r="F1223" s="51"/>
      <c r="G1223" s="51"/>
      <c r="H1223" s="51"/>
      <c r="I1223" s="51"/>
      <c r="J1223" s="51"/>
      <c r="K1223" s="51"/>
      <c r="L1223" s="51"/>
      <c r="M1223" s="51"/>
      <c r="N1223" s="51"/>
      <c r="O1223" s="51"/>
      <c r="P1223" s="51"/>
      <c r="Q1223" s="51"/>
      <c r="R1223" s="51"/>
    </row>
    <row r="1224" spans="1:18" x14ac:dyDescent="0.25">
      <c r="A1224" s="41"/>
      <c r="B1224" s="44"/>
      <c r="C1224" s="51"/>
      <c r="D1224" s="51"/>
      <c r="E1224" s="51"/>
      <c r="F1224" s="51"/>
      <c r="G1224" s="51"/>
      <c r="H1224" s="51"/>
      <c r="I1224" s="51"/>
      <c r="J1224" s="51"/>
      <c r="K1224" s="51"/>
      <c r="L1224" s="51"/>
      <c r="M1224" s="51"/>
      <c r="N1224" s="51"/>
      <c r="O1224" s="51"/>
      <c r="P1224" s="51"/>
      <c r="Q1224" s="51"/>
      <c r="R1224" s="51"/>
    </row>
    <row r="1225" spans="1:18" x14ac:dyDescent="0.25">
      <c r="A1225" s="52" t="s">
        <v>786</v>
      </c>
      <c r="B1225" s="44"/>
      <c r="C1225" s="51"/>
      <c r="D1225" s="51"/>
      <c r="E1225" s="51"/>
      <c r="F1225" s="51"/>
      <c r="G1225" s="51"/>
      <c r="H1225" s="51"/>
      <c r="I1225" s="51"/>
      <c r="J1225" s="51"/>
      <c r="K1225" s="51"/>
      <c r="L1225" s="51"/>
      <c r="M1225" s="51"/>
      <c r="N1225" s="51"/>
      <c r="O1225" s="51"/>
      <c r="P1225" s="51"/>
      <c r="Q1225" s="51"/>
      <c r="R1225" s="51"/>
    </row>
    <row r="1226" spans="1:18" x14ac:dyDescent="0.25">
      <c r="A1226" s="52" t="s">
        <v>787</v>
      </c>
      <c r="B1226" s="44"/>
      <c r="C1226" s="51"/>
      <c r="D1226" s="67">
        <v>50361</v>
      </c>
      <c r="E1226" s="51"/>
      <c r="F1226" s="51"/>
      <c r="G1226" s="51"/>
      <c r="H1226" s="51"/>
      <c r="I1226" s="51"/>
      <c r="J1226" s="51"/>
      <c r="K1226" s="51"/>
      <c r="L1226" s="51"/>
      <c r="M1226" s="51"/>
      <c r="N1226" s="51"/>
      <c r="O1226" s="51"/>
      <c r="P1226" s="51"/>
      <c r="Q1226" s="51"/>
      <c r="R1226" s="51"/>
    </row>
    <row r="1227" spans="1:18" x14ac:dyDescent="0.25">
      <c r="A1227" s="52" t="s">
        <v>788</v>
      </c>
      <c r="B1227" s="44"/>
      <c r="C1227" s="51"/>
      <c r="D1227" s="67"/>
      <c r="E1227" s="51"/>
      <c r="F1227" s="43">
        <v>56970</v>
      </c>
      <c r="G1227" s="51"/>
      <c r="H1227" s="51"/>
      <c r="I1227" s="51"/>
      <c r="J1227" s="51"/>
      <c r="K1227" s="51"/>
      <c r="L1227" s="51"/>
      <c r="M1227" s="51"/>
      <c r="N1227" s="51"/>
      <c r="O1227" s="51"/>
      <c r="P1227" s="51"/>
      <c r="Q1227" s="51"/>
      <c r="R1227" s="51"/>
    </row>
    <row r="1228" spans="1:18" x14ac:dyDescent="0.25">
      <c r="B1228" s="44"/>
      <c r="C1228" s="51"/>
      <c r="D1228" s="51"/>
      <c r="E1228" s="51"/>
      <c r="F1228" s="51"/>
      <c r="G1228" s="51"/>
      <c r="H1228" s="51"/>
      <c r="I1228" s="51"/>
      <c r="J1228" s="51"/>
      <c r="K1228" s="51"/>
      <c r="L1228" s="51"/>
      <c r="M1228" s="51"/>
      <c r="N1228" s="51"/>
      <c r="O1228" s="51"/>
      <c r="P1228" s="51"/>
      <c r="Q1228" s="51"/>
      <c r="R1228" s="51"/>
    </row>
    <row r="1229" spans="1:18" x14ac:dyDescent="0.25">
      <c r="A1229" s="41" t="s">
        <v>230</v>
      </c>
      <c r="C1229" s="51">
        <f t="shared" ref="C1229" si="744">SUM(C1225:C1228)</f>
        <v>0</v>
      </c>
      <c r="D1229" s="51">
        <f>SUM(D1225:D1228)</f>
        <v>50361</v>
      </c>
      <c r="E1229" s="51">
        <f t="shared" ref="E1229" si="745">SUM(E1225:E1228)</f>
        <v>0</v>
      </c>
      <c r="F1229" s="51">
        <f>SUM(F1227:F1228)</f>
        <v>56970</v>
      </c>
      <c r="G1229" s="51">
        <v>0</v>
      </c>
      <c r="H1229" s="51">
        <v>0</v>
      </c>
      <c r="I1229" s="51">
        <v>0</v>
      </c>
      <c r="J1229" s="51">
        <v>0</v>
      </c>
      <c r="K1229" s="51">
        <v>0</v>
      </c>
      <c r="L1229" s="51">
        <v>0</v>
      </c>
      <c r="M1229" s="51">
        <v>0</v>
      </c>
      <c r="N1229" s="51">
        <v>0</v>
      </c>
      <c r="O1229" s="51">
        <v>0</v>
      </c>
      <c r="P1229" s="51">
        <v>0</v>
      </c>
      <c r="Q1229" s="51">
        <f t="shared" ref="Q1229:R1229" si="746">SUM(Q1225:Q1228)</f>
        <v>0</v>
      </c>
      <c r="R1229" s="51">
        <f t="shared" si="746"/>
        <v>0</v>
      </c>
    </row>
    <row r="1230" spans="1:18" x14ac:dyDescent="0.25">
      <c r="A1230" s="41"/>
      <c r="C1230" s="50"/>
      <c r="D1230" s="50"/>
      <c r="E1230" s="50"/>
      <c r="F1230" s="50"/>
      <c r="G1230" s="50"/>
      <c r="H1230" s="50"/>
      <c r="I1230" s="50"/>
      <c r="J1230" s="50"/>
      <c r="K1230" s="50"/>
      <c r="L1230" s="50"/>
      <c r="M1230" s="50"/>
      <c r="N1230" s="50"/>
      <c r="O1230" s="50"/>
      <c r="P1230" s="50"/>
      <c r="Q1230" s="50"/>
      <c r="R1230" s="50"/>
    </row>
    <row r="1231" spans="1:18" x14ac:dyDescent="0.25">
      <c r="A1231" s="41" t="s">
        <v>789</v>
      </c>
      <c r="B1231" s="44"/>
      <c r="C1231" s="51">
        <f>C1221-C1177</f>
        <v>-81821.569999999832</v>
      </c>
      <c r="D1231" s="51">
        <f>D1221-D1177+D1229</f>
        <v>3099</v>
      </c>
      <c r="E1231" s="51">
        <f t="shared" ref="E1231:R1231" si="747">E1221-E1177</f>
        <v>-62602</v>
      </c>
      <c r="F1231" s="51">
        <f>F1221-F1177+F1229</f>
        <v>-161179</v>
      </c>
      <c r="G1231" s="51">
        <f t="shared" ref="G1231" si="748">G1221-G1177</f>
        <v>-170971</v>
      </c>
      <c r="H1231" s="51">
        <f t="shared" si="747"/>
        <v>-65925</v>
      </c>
      <c r="I1231" s="51">
        <f t="shared" si="747"/>
        <v>-63413.799999999348</v>
      </c>
      <c r="J1231" s="51">
        <f t="shared" si="747"/>
        <v>-64224.906200000085</v>
      </c>
      <c r="K1231" s="51">
        <f t="shared" si="747"/>
        <v>-64556.444373800419</v>
      </c>
      <c r="L1231" s="51">
        <f t="shared" si="747"/>
        <v>-64002.266134647187</v>
      </c>
      <c r="M1231" s="51">
        <f t="shared" si="747"/>
        <v>-61615.338881686796</v>
      </c>
      <c r="N1231" s="51">
        <f t="shared" si="747"/>
        <v>-61683.373541203793</v>
      </c>
      <c r="O1231" s="51">
        <f t="shared" si="747"/>
        <v>-61861.168850928079</v>
      </c>
      <c r="P1231" s="51">
        <f t="shared" si="747"/>
        <v>-61439.650286551565</v>
      </c>
      <c r="Q1231" s="51">
        <f t="shared" si="747"/>
        <v>-61421.92393747298</v>
      </c>
      <c r="R1231" s="51">
        <f t="shared" si="747"/>
        <v>-60427.393665510695</v>
      </c>
    </row>
    <row r="1232" spans="1:18" x14ac:dyDescent="0.25">
      <c r="C1232" s="50"/>
      <c r="D1232" s="50"/>
      <c r="E1232" s="50"/>
      <c r="F1232" s="50"/>
      <c r="G1232" s="50"/>
      <c r="H1232" s="50"/>
      <c r="I1232" s="50"/>
      <c r="J1232" s="50"/>
      <c r="K1232" s="50"/>
      <c r="L1232" s="50"/>
      <c r="M1232" s="50"/>
      <c r="N1232" s="50"/>
      <c r="O1232" s="50"/>
      <c r="P1232" s="50"/>
      <c r="Q1232" s="50"/>
      <c r="R1232" s="50"/>
    </row>
    <row r="1233" spans="1:18" x14ac:dyDescent="0.25">
      <c r="A1233" s="41" t="s">
        <v>790</v>
      </c>
      <c r="B1233" s="44"/>
      <c r="C1233" s="50"/>
      <c r="D1233" s="50"/>
      <c r="E1233" s="50"/>
      <c r="F1233" s="50"/>
      <c r="G1233" s="50"/>
      <c r="H1233" s="50"/>
      <c r="I1233" s="50"/>
      <c r="J1233" s="50"/>
      <c r="K1233" s="50"/>
      <c r="L1233" s="50"/>
      <c r="M1233" s="50"/>
      <c r="N1233" s="50"/>
      <c r="O1233" s="50"/>
      <c r="P1233" s="50"/>
      <c r="Q1233" s="50"/>
      <c r="R1233" s="50"/>
    </row>
    <row r="1234" spans="1:18" x14ac:dyDescent="0.25">
      <c r="A1234" s="41"/>
      <c r="B1234" s="44"/>
      <c r="C1234" s="50"/>
      <c r="D1234" s="50"/>
      <c r="E1234" s="50"/>
      <c r="F1234" s="50"/>
      <c r="G1234" s="50"/>
      <c r="H1234" s="50"/>
      <c r="I1234" s="50"/>
      <c r="J1234" s="50"/>
      <c r="K1234" s="50"/>
      <c r="L1234" s="50"/>
      <c r="M1234" s="50"/>
      <c r="N1234" s="50"/>
      <c r="O1234" s="50"/>
      <c r="P1234" s="50"/>
      <c r="Q1234" s="50"/>
      <c r="R1234" s="50"/>
    </row>
    <row r="1235" spans="1:18" x14ac:dyDescent="0.25">
      <c r="A1235" s="41" t="s">
        <v>202</v>
      </c>
      <c r="B1235" s="44"/>
      <c r="C1235" s="50"/>
      <c r="D1235" s="50"/>
      <c r="E1235" s="50"/>
      <c r="F1235" s="50"/>
      <c r="G1235" s="50"/>
      <c r="H1235" s="50"/>
      <c r="I1235" s="50"/>
      <c r="J1235" s="50"/>
      <c r="K1235" s="50"/>
      <c r="L1235" s="50"/>
      <c r="M1235" s="50"/>
      <c r="N1235" s="50"/>
      <c r="O1235" s="50"/>
      <c r="P1235" s="50"/>
      <c r="Q1235" s="50"/>
      <c r="R1235" s="50"/>
    </row>
    <row r="1236" spans="1:18" x14ac:dyDescent="0.25">
      <c r="C1236" s="50"/>
      <c r="D1236" s="50"/>
      <c r="E1236" s="50"/>
      <c r="F1236" s="50"/>
      <c r="G1236" s="50"/>
      <c r="H1236" s="50"/>
      <c r="I1236" s="50"/>
      <c r="J1236" s="50"/>
      <c r="K1236" s="50"/>
      <c r="L1236" s="50"/>
      <c r="M1236" s="50"/>
      <c r="N1236" s="50"/>
      <c r="O1236" s="50"/>
      <c r="P1236" s="50"/>
      <c r="Q1236" s="50"/>
      <c r="R1236" s="50"/>
    </row>
    <row r="1237" spans="1:18" x14ac:dyDescent="0.25">
      <c r="A1237" s="52" t="s">
        <v>791</v>
      </c>
      <c r="B1237" s="53"/>
      <c r="C1237" s="50"/>
      <c r="D1237" s="50"/>
      <c r="E1237" s="50"/>
      <c r="F1237" s="50"/>
      <c r="G1237" s="50"/>
      <c r="H1237" s="50"/>
      <c r="I1237" s="50"/>
      <c r="J1237" s="50"/>
      <c r="K1237" s="50"/>
      <c r="L1237" s="50"/>
      <c r="M1237" s="50"/>
      <c r="N1237" s="50"/>
      <c r="O1237" s="50"/>
      <c r="P1237" s="50"/>
      <c r="Q1237" s="50"/>
      <c r="R1237" s="50"/>
    </row>
    <row r="1238" spans="1:18" x14ac:dyDescent="0.25">
      <c r="A1238" s="52" t="s">
        <v>792</v>
      </c>
      <c r="B1238" s="53"/>
      <c r="C1238" s="54"/>
      <c r="D1238" s="54"/>
      <c r="E1238" s="54"/>
      <c r="F1238" s="54"/>
      <c r="G1238" s="54"/>
      <c r="H1238" s="54"/>
      <c r="I1238" s="54"/>
      <c r="J1238" s="54"/>
      <c r="K1238" s="54"/>
      <c r="L1238" s="54"/>
      <c r="M1238" s="54"/>
      <c r="N1238" s="54"/>
      <c r="O1238" s="54"/>
      <c r="P1238" s="54"/>
      <c r="Q1238" s="54"/>
      <c r="R1238" s="54"/>
    </row>
    <row r="1239" spans="1:18" x14ac:dyDescent="0.25">
      <c r="A1239" s="52" t="s">
        <v>793</v>
      </c>
      <c r="B1239" s="53"/>
      <c r="C1239" s="52"/>
      <c r="D1239" s="54"/>
      <c r="E1239" s="54"/>
      <c r="F1239" s="54"/>
      <c r="G1239" s="54"/>
      <c r="H1239" s="54"/>
      <c r="I1239" s="54"/>
      <c r="J1239" s="54"/>
      <c r="K1239" s="54"/>
      <c r="L1239" s="54"/>
      <c r="M1239" s="54"/>
      <c r="N1239" s="54"/>
      <c r="O1239" s="54"/>
      <c r="P1239" s="54"/>
      <c r="Q1239" s="54"/>
      <c r="R1239" s="54"/>
    </row>
    <row r="1240" spans="1:18" x14ac:dyDescent="0.25">
      <c r="A1240" s="52" t="s">
        <v>794</v>
      </c>
      <c r="B1240" s="53"/>
      <c r="C1240" s="52">
        <v>5000</v>
      </c>
      <c r="D1240" s="50"/>
      <c r="E1240" s="50"/>
      <c r="F1240" s="50"/>
      <c r="G1240" s="50"/>
      <c r="H1240" s="50"/>
      <c r="I1240" s="54"/>
      <c r="J1240" s="54"/>
      <c r="K1240" s="54"/>
      <c r="L1240" s="54"/>
      <c r="M1240" s="54"/>
      <c r="N1240" s="54"/>
      <c r="O1240" s="54"/>
      <c r="P1240" s="54"/>
      <c r="Q1240" s="54"/>
      <c r="R1240" s="54"/>
    </row>
    <row r="1241" spans="1:18" x14ac:dyDescent="0.25">
      <c r="A1241" s="52" t="s">
        <v>795</v>
      </c>
      <c r="B1241" s="53"/>
      <c r="C1241" s="52"/>
      <c r="D1241" s="50">
        <v>5000</v>
      </c>
      <c r="E1241" s="50"/>
      <c r="F1241" s="50"/>
      <c r="G1241" s="50"/>
      <c r="H1241" s="50"/>
      <c r="I1241" s="54"/>
      <c r="J1241" s="54"/>
      <c r="K1241" s="54"/>
      <c r="L1241" s="54"/>
      <c r="M1241" s="54"/>
      <c r="N1241" s="54"/>
      <c r="O1241" s="54"/>
      <c r="P1241" s="54"/>
      <c r="Q1241" s="54"/>
      <c r="R1241" s="54"/>
    </row>
    <row r="1242" spans="1:18" x14ac:dyDescent="0.25">
      <c r="A1242" s="52" t="s">
        <v>796</v>
      </c>
      <c r="B1242" s="53"/>
      <c r="C1242" s="52">
        <v>0</v>
      </c>
      <c r="D1242" s="50"/>
      <c r="E1242" s="50"/>
      <c r="F1242" s="50"/>
      <c r="G1242" s="50"/>
      <c r="H1242" s="50"/>
      <c r="I1242" s="54"/>
      <c r="J1242" s="54"/>
      <c r="K1242" s="54"/>
      <c r="L1242" s="54"/>
      <c r="M1242" s="54"/>
      <c r="N1242" s="54"/>
      <c r="O1242" s="54"/>
      <c r="P1242" s="54"/>
      <c r="Q1242" s="54"/>
      <c r="R1242" s="54"/>
    </row>
    <row r="1243" spans="1:18" x14ac:dyDescent="0.25">
      <c r="A1243" s="52" t="s">
        <v>797</v>
      </c>
      <c r="B1243" s="53"/>
      <c r="C1243" s="50"/>
      <c r="D1243" s="50"/>
      <c r="E1243" s="50"/>
      <c r="F1243" s="50"/>
      <c r="G1243" s="50"/>
      <c r="H1243" s="50"/>
      <c r="I1243" s="50"/>
      <c r="J1243" s="50"/>
      <c r="K1243" s="50"/>
      <c r="L1243" s="50"/>
      <c r="M1243" s="50"/>
      <c r="N1243" s="50"/>
      <c r="O1243" s="50"/>
      <c r="P1243" s="50"/>
      <c r="Q1243" s="50"/>
      <c r="R1243" s="50"/>
    </row>
    <row r="1244" spans="1:18" x14ac:dyDescent="0.25">
      <c r="A1244" s="52" t="s">
        <v>798</v>
      </c>
      <c r="B1244" s="53"/>
      <c r="C1244" s="54"/>
      <c r="D1244" s="50"/>
      <c r="E1244" s="50"/>
      <c r="F1244" s="50"/>
      <c r="G1244" s="50"/>
      <c r="H1244" s="50"/>
      <c r="I1244" s="54"/>
      <c r="J1244" s="54"/>
      <c r="K1244" s="54"/>
      <c r="L1244" s="54"/>
      <c r="M1244" s="54"/>
      <c r="N1244" s="54"/>
      <c r="O1244" s="54"/>
      <c r="P1244" s="54"/>
      <c r="Q1244" s="54"/>
      <c r="R1244" s="54"/>
    </row>
    <row r="1245" spans="1:18" x14ac:dyDescent="0.25">
      <c r="A1245" s="181" t="s">
        <v>799</v>
      </c>
      <c r="B1245" s="53"/>
      <c r="C1245" s="54">
        <v>18182</v>
      </c>
      <c r="D1245" s="50"/>
      <c r="E1245" s="50"/>
      <c r="F1245" s="50"/>
      <c r="G1245" s="50"/>
      <c r="H1245" s="50"/>
      <c r="I1245" s="54"/>
      <c r="J1245" s="54"/>
      <c r="K1245" s="54"/>
      <c r="L1245" s="54"/>
      <c r="M1245" s="54"/>
      <c r="N1245" s="54"/>
      <c r="O1245" s="54"/>
      <c r="P1245" s="54"/>
      <c r="Q1245" s="54"/>
      <c r="R1245" s="54"/>
    </row>
    <row r="1246" spans="1:18" x14ac:dyDescent="0.25">
      <c r="A1246" s="181" t="s">
        <v>800</v>
      </c>
      <c r="B1246" s="53"/>
      <c r="C1246" s="54">
        <v>23563</v>
      </c>
      <c r="D1246" s="50">
        <v>37563</v>
      </c>
      <c r="E1246">
        <v>38762</v>
      </c>
      <c r="F1246" s="50"/>
      <c r="G1246" s="50"/>
      <c r="H1246" s="50"/>
      <c r="I1246" s="54"/>
      <c r="J1246" s="54"/>
      <c r="K1246" s="54"/>
      <c r="L1246" s="54"/>
      <c r="M1246" s="54"/>
      <c r="N1246" s="54"/>
      <c r="O1246" s="54"/>
      <c r="P1246" s="54"/>
      <c r="Q1246" s="54"/>
      <c r="R1246" s="54"/>
    </row>
    <row r="1247" spans="1:18" x14ac:dyDescent="0.25">
      <c r="A1247" s="181" t="s">
        <v>801</v>
      </c>
      <c r="B1247" s="53"/>
      <c r="C1247" s="54">
        <v>3000</v>
      </c>
      <c r="D1247" s="50"/>
      <c r="E1247" s="50"/>
      <c r="F1247" s="50"/>
      <c r="G1247" s="50"/>
      <c r="H1247" s="50"/>
      <c r="I1247" s="54"/>
      <c r="J1247" s="54"/>
      <c r="K1247" s="54"/>
      <c r="L1247" s="54"/>
      <c r="M1247" s="54"/>
      <c r="N1247" s="54"/>
      <c r="O1247" s="54"/>
      <c r="P1247" s="54"/>
      <c r="Q1247" s="54"/>
      <c r="R1247" s="54"/>
    </row>
    <row r="1248" spans="1:18" x14ac:dyDescent="0.25">
      <c r="A1248" s="181" t="s">
        <v>802</v>
      </c>
      <c r="B1248" s="53"/>
      <c r="C1248" s="54">
        <v>6423</v>
      </c>
      <c r="D1248" s="50">
        <v>49577</v>
      </c>
      <c r="E1248" s="50"/>
      <c r="F1248" s="50"/>
      <c r="G1248" s="50"/>
      <c r="H1248" s="50"/>
      <c r="I1248" s="54"/>
      <c r="J1248" s="54"/>
      <c r="K1248" s="54"/>
      <c r="L1248" s="54"/>
      <c r="M1248" s="54"/>
      <c r="N1248" s="54"/>
      <c r="O1248" s="54"/>
      <c r="P1248" s="54"/>
      <c r="Q1248" s="54"/>
      <c r="R1248" s="54"/>
    </row>
    <row r="1249" spans="1:18" x14ac:dyDescent="0.25">
      <c r="A1249" s="52" t="s">
        <v>803</v>
      </c>
      <c r="B1249" s="53"/>
      <c r="C1249" s="50">
        <v>48000</v>
      </c>
      <c r="D1249" s="50"/>
      <c r="E1249" s="50"/>
      <c r="F1249" s="50"/>
      <c r="G1249" s="50"/>
      <c r="H1249" s="50"/>
      <c r="I1249" s="54"/>
      <c r="J1249" s="54"/>
      <c r="K1249" s="54"/>
      <c r="L1249" s="54"/>
      <c r="M1249" s="54"/>
      <c r="N1249" s="54"/>
      <c r="O1249" s="54"/>
      <c r="P1249" s="54"/>
      <c r="Q1249" s="54"/>
      <c r="R1249" s="54"/>
    </row>
    <row r="1250" spans="1:18" x14ac:dyDescent="0.25">
      <c r="A1250" s="52" t="s">
        <v>804</v>
      </c>
      <c r="B1250" s="53"/>
      <c r="C1250" s="50">
        <v>10000</v>
      </c>
      <c r="D1250" s="50">
        <v>10000</v>
      </c>
      <c r="E1250" s="50">
        <v>10000</v>
      </c>
      <c r="F1250" s="50"/>
      <c r="G1250" s="50"/>
      <c r="H1250" s="50"/>
      <c r="I1250" s="54"/>
      <c r="J1250" s="54"/>
      <c r="K1250" s="54"/>
      <c r="L1250" s="54"/>
      <c r="M1250" s="54"/>
      <c r="N1250" s="54"/>
      <c r="O1250" s="54"/>
      <c r="P1250" s="54"/>
      <c r="Q1250" s="54"/>
      <c r="R1250" s="54"/>
    </row>
    <row r="1251" spans="1:18" x14ac:dyDescent="0.25">
      <c r="A1251" s="52" t="s">
        <v>805</v>
      </c>
      <c r="B1251" s="53"/>
      <c r="C1251" s="50"/>
      <c r="D1251" s="50">
        <v>10000</v>
      </c>
      <c r="E1251" s="50"/>
      <c r="F1251" s="50"/>
      <c r="G1251" s="50"/>
      <c r="H1251" s="50"/>
      <c r="I1251" s="54"/>
      <c r="J1251" s="54"/>
      <c r="K1251" s="54"/>
      <c r="L1251" s="54"/>
      <c r="M1251" s="54"/>
      <c r="N1251" s="54"/>
      <c r="O1251" s="54"/>
      <c r="P1251" s="54"/>
      <c r="Q1251" s="54"/>
      <c r="R1251" s="54"/>
    </row>
    <row r="1252" spans="1:18" x14ac:dyDescent="0.25">
      <c r="A1252" s="181" t="s">
        <v>806</v>
      </c>
      <c r="B1252" s="53"/>
      <c r="C1252" s="50"/>
      <c r="D1252" s="50">
        <v>20000</v>
      </c>
      <c r="E1252" s="50"/>
      <c r="F1252" s="50"/>
      <c r="G1252" s="50"/>
      <c r="H1252" s="50"/>
      <c r="I1252" s="54"/>
      <c r="J1252" s="54"/>
      <c r="K1252" s="54"/>
      <c r="L1252" s="54"/>
      <c r="M1252" s="54"/>
      <c r="N1252" s="54"/>
      <c r="O1252" s="54"/>
      <c r="P1252" s="54"/>
      <c r="Q1252" s="54"/>
      <c r="R1252" s="54"/>
    </row>
    <row r="1253" spans="1:18" x14ac:dyDescent="0.25">
      <c r="A1253" s="181" t="s">
        <v>807</v>
      </c>
      <c r="B1253" s="53"/>
      <c r="C1253" s="50"/>
      <c r="D1253" s="50">
        <v>7438</v>
      </c>
      <c r="E1253" s="50"/>
      <c r="F1253" s="50"/>
      <c r="G1253" s="50"/>
      <c r="H1253" s="50"/>
      <c r="I1253" s="54"/>
      <c r="J1253" s="54"/>
      <c r="K1253" s="54"/>
      <c r="L1253" s="54"/>
      <c r="M1253" s="54"/>
      <c r="N1253" s="54"/>
      <c r="O1253" s="54"/>
      <c r="P1253" s="54"/>
      <c r="Q1253" s="54"/>
      <c r="R1253" s="54"/>
    </row>
    <row r="1254" spans="1:18" x14ac:dyDescent="0.25">
      <c r="A1254" s="59" t="s">
        <v>808</v>
      </c>
      <c r="B1254" s="53"/>
      <c r="C1254" s="50"/>
      <c r="D1254" s="50">
        <v>32500</v>
      </c>
      <c r="E1254">
        <v>15000</v>
      </c>
      <c r="F1254" s="50"/>
      <c r="G1254" s="50"/>
      <c r="H1254" s="50"/>
      <c r="I1254" s="54"/>
      <c r="J1254" s="54"/>
      <c r="K1254" s="54"/>
      <c r="L1254" s="54"/>
      <c r="M1254" s="54"/>
      <c r="N1254" s="54"/>
      <c r="O1254" s="54"/>
      <c r="P1254" s="54"/>
      <c r="Q1254" s="54"/>
      <c r="R1254" s="54"/>
    </row>
    <row r="1255" spans="1:18" x14ac:dyDescent="0.25">
      <c r="A1255" s="59" t="s">
        <v>809</v>
      </c>
      <c r="B1255" s="53"/>
      <c r="C1255" s="50"/>
      <c r="D1255" s="50"/>
      <c r="E1255" s="50">
        <v>25000</v>
      </c>
      <c r="F1255" s="50"/>
      <c r="G1255" s="50"/>
      <c r="H1255" s="50"/>
      <c r="I1255" s="54"/>
      <c r="J1255" s="54"/>
      <c r="K1255" s="54"/>
      <c r="L1255" s="54"/>
      <c r="M1255" s="54"/>
      <c r="N1255" s="54"/>
      <c r="O1255" s="54"/>
      <c r="P1255" s="54"/>
      <c r="Q1255" s="54"/>
      <c r="R1255" s="54"/>
    </row>
    <row r="1256" spans="1:18" x14ac:dyDescent="0.25">
      <c r="A1256" s="59" t="s">
        <v>810</v>
      </c>
      <c r="B1256" s="53"/>
      <c r="C1256" s="50"/>
      <c r="D1256" s="50"/>
      <c r="E1256" s="50"/>
      <c r="F1256">
        <v>32588</v>
      </c>
      <c r="G1256" s="50">
        <v>32588</v>
      </c>
      <c r="H1256" s="50"/>
      <c r="I1256" s="54"/>
      <c r="J1256" s="54"/>
      <c r="K1256" s="54"/>
      <c r="L1256" s="54"/>
      <c r="M1256" s="54"/>
      <c r="N1256" s="54"/>
      <c r="O1256" s="54"/>
      <c r="P1256" s="54"/>
      <c r="Q1256" s="54"/>
      <c r="R1256" s="54"/>
    </row>
    <row r="1257" spans="1:18" x14ac:dyDescent="0.25">
      <c r="A1257" s="59" t="s">
        <v>811</v>
      </c>
      <c r="B1257" s="53"/>
      <c r="C1257" s="50"/>
      <c r="D1257" s="50"/>
      <c r="E1257" s="50"/>
      <c r="F1257" s="50">
        <v>0</v>
      </c>
      <c r="G1257" s="50"/>
      <c r="H1257" s="50"/>
      <c r="I1257" s="54"/>
      <c r="J1257" s="54"/>
      <c r="K1257" s="54"/>
      <c r="L1257" s="54"/>
      <c r="M1257" s="54"/>
      <c r="N1257" s="54"/>
      <c r="O1257" s="54"/>
      <c r="P1257" s="54"/>
      <c r="Q1257" s="54"/>
      <c r="R1257" s="54"/>
    </row>
    <row r="1258" spans="1:18" x14ac:dyDescent="0.25">
      <c r="A1258" s="59" t="s">
        <v>812</v>
      </c>
      <c r="B1258" s="53"/>
      <c r="C1258" s="50"/>
      <c r="D1258" s="50"/>
      <c r="E1258" s="50"/>
      <c r="F1258" s="50"/>
      <c r="G1258" s="50">
        <v>10000</v>
      </c>
      <c r="H1258" s="50"/>
      <c r="I1258" s="54"/>
      <c r="J1258" s="54"/>
      <c r="K1258" s="54"/>
      <c r="L1258" s="54"/>
      <c r="M1258" s="54"/>
      <c r="N1258" s="54"/>
      <c r="O1258" s="54"/>
      <c r="P1258" s="54"/>
      <c r="Q1258" s="54"/>
      <c r="R1258" s="54"/>
    </row>
    <row r="1259" spans="1:18" x14ac:dyDescent="0.25">
      <c r="A1259" s="59" t="s">
        <v>813</v>
      </c>
      <c r="B1259" s="53"/>
      <c r="C1259" s="50"/>
      <c r="D1259" s="50"/>
      <c r="E1259" s="50"/>
      <c r="F1259" s="50"/>
      <c r="G1259" s="50">
        <v>10000</v>
      </c>
      <c r="H1259" s="50"/>
      <c r="I1259" s="54"/>
      <c r="J1259" s="54"/>
      <c r="K1259" s="54"/>
      <c r="L1259" s="54"/>
      <c r="M1259" s="54"/>
      <c r="N1259" s="54"/>
      <c r="O1259" s="54"/>
      <c r="P1259" s="54"/>
      <c r="Q1259" s="54"/>
      <c r="R1259" s="54"/>
    </row>
    <row r="1260" spans="1:18" x14ac:dyDescent="0.25">
      <c r="A1260" s="59" t="s">
        <v>814</v>
      </c>
      <c r="B1260" s="53"/>
      <c r="C1260" s="50"/>
      <c r="D1260" s="50"/>
      <c r="E1260" s="50"/>
      <c r="F1260" s="50"/>
      <c r="G1260" s="50">
        <v>20000</v>
      </c>
      <c r="H1260" s="50"/>
      <c r="I1260" s="54"/>
      <c r="J1260" s="54"/>
      <c r="K1260" s="54"/>
      <c r="L1260" s="54"/>
      <c r="M1260" s="54"/>
      <c r="N1260" s="54"/>
      <c r="O1260" s="54"/>
      <c r="P1260" s="54"/>
      <c r="Q1260" s="54"/>
      <c r="R1260" s="54"/>
    </row>
    <row r="1261" spans="1:18" x14ac:dyDescent="0.25">
      <c r="A1261" s="59" t="s">
        <v>815</v>
      </c>
      <c r="B1261" s="53"/>
      <c r="C1261" s="50"/>
      <c r="D1261" s="50"/>
      <c r="E1261" s="50"/>
      <c r="F1261" s="50"/>
      <c r="G1261" s="50">
        <v>10080</v>
      </c>
      <c r="H1261" s="50"/>
      <c r="I1261" s="54"/>
      <c r="J1261" s="54"/>
      <c r="K1261" s="54"/>
      <c r="L1261" s="54"/>
      <c r="M1261" s="54"/>
      <c r="N1261" s="54"/>
      <c r="O1261" s="54"/>
      <c r="P1261" s="54"/>
      <c r="Q1261" s="54"/>
      <c r="R1261" s="54"/>
    </row>
    <row r="1262" spans="1:18" x14ac:dyDescent="0.25">
      <c r="A1262" s="59" t="s">
        <v>816</v>
      </c>
      <c r="B1262" s="53"/>
      <c r="C1262" s="50"/>
      <c r="D1262" s="50"/>
      <c r="E1262" s="50"/>
      <c r="F1262" s="50"/>
      <c r="G1262" s="50">
        <v>13440</v>
      </c>
      <c r="H1262" s="50"/>
      <c r="I1262" s="54"/>
      <c r="J1262" s="54"/>
      <c r="K1262" s="54"/>
      <c r="L1262" s="54"/>
      <c r="M1262" s="54"/>
      <c r="N1262" s="54"/>
      <c r="O1262" s="54"/>
      <c r="P1262" s="54"/>
      <c r="Q1262" s="54"/>
      <c r="R1262" s="54"/>
    </row>
    <row r="1263" spans="1:18" x14ac:dyDescent="0.25">
      <c r="A1263" s="59" t="s">
        <v>817</v>
      </c>
      <c r="B1263" s="53"/>
      <c r="C1263" s="50"/>
      <c r="D1263" s="50"/>
      <c r="E1263" s="50"/>
      <c r="F1263" s="50"/>
      <c r="G1263" s="50"/>
      <c r="H1263" s="50"/>
      <c r="I1263" s="54"/>
      <c r="J1263" s="54"/>
      <c r="K1263" s="54"/>
      <c r="L1263" s="54"/>
      <c r="M1263" s="54"/>
      <c r="N1263" s="54"/>
      <c r="O1263" s="54"/>
      <c r="P1263" s="54"/>
      <c r="Q1263" s="54"/>
      <c r="R1263" s="54"/>
    </row>
    <row r="1264" spans="1:18" x14ac:dyDescent="0.25">
      <c r="A1264" s="59" t="s">
        <v>818</v>
      </c>
      <c r="B1264" s="53"/>
      <c r="C1264" s="50"/>
      <c r="D1264" s="50"/>
      <c r="E1264" s="50"/>
      <c r="F1264" s="50"/>
      <c r="G1264" s="50"/>
      <c r="H1264" s="50"/>
      <c r="I1264" s="54"/>
      <c r="J1264" s="54"/>
      <c r="K1264" s="54"/>
      <c r="L1264" s="54"/>
      <c r="M1264" s="54"/>
      <c r="N1264" s="54"/>
      <c r="O1264" s="54"/>
      <c r="P1264" s="54"/>
      <c r="Q1264" s="54"/>
      <c r="R1264" s="54"/>
    </row>
    <row r="1265" spans="1:18" x14ac:dyDescent="0.25">
      <c r="A1265" s="59"/>
      <c r="B1265" s="53"/>
      <c r="C1265" s="50"/>
      <c r="D1265" s="50"/>
      <c r="E1265" s="50"/>
      <c r="F1265" s="50"/>
      <c r="G1265" s="50"/>
      <c r="H1265" s="50"/>
      <c r="I1265" s="54"/>
      <c r="J1265" s="54"/>
      <c r="K1265" s="54"/>
      <c r="L1265" s="54"/>
      <c r="M1265" s="54"/>
      <c r="N1265" s="54"/>
      <c r="O1265" s="54"/>
      <c r="P1265" s="54"/>
      <c r="Q1265" s="54"/>
      <c r="R1265" s="54"/>
    </row>
    <row r="1266" spans="1:18" x14ac:dyDescent="0.25">
      <c r="C1266" s="50"/>
      <c r="D1266" s="50"/>
      <c r="E1266" s="50"/>
      <c r="F1266" s="50"/>
      <c r="G1266" s="50"/>
      <c r="H1266" s="50"/>
      <c r="I1266" s="50"/>
      <c r="J1266" s="50"/>
      <c r="K1266" s="50"/>
      <c r="L1266" s="50"/>
      <c r="M1266" s="50"/>
      <c r="N1266" s="50"/>
      <c r="O1266" s="50"/>
      <c r="P1266" s="50"/>
      <c r="Q1266" s="50"/>
      <c r="R1266" s="50"/>
    </row>
    <row r="1267" spans="1:18" x14ac:dyDescent="0.25">
      <c r="A1267" s="41" t="s">
        <v>216</v>
      </c>
      <c r="B1267" s="44"/>
      <c r="C1267" s="51">
        <f t="shared" ref="C1267:Q1267" si="749">SUM(C1237:C1266)</f>
        <v>114168</v>
      </c>
      <c r="D1267" s="51">
        <f t="shared" si="749"/>
        <v>172078</v>
      </c>
      <c r="E1267" s="51">
        <f t="shared" si="749"/>
        <v>88762</v>
      </c>
      <c r="F1267" s="51">
        <f t="shared" si="749"/>
        <v>32588</v>
      </c>
      <c r="G1267" s="51">
        <f t="shared" ref="G1267" si="750">SUM(G1237:G1266)</f>
        <v>96108</v>
      </c>
      <c r="H1267" s="51">
        <f t="shared" si="749"/>
        <v>0</v>
      </c>
      <c r="I1267" s="51">
        <f t="shared" si="749"/>
        <v>0</v>
      </c>
      <c r="J1267" s="51">
        <f t="shared" si="749"/>
        <v>0</v>
      </c>
      <c r="K1267" s="51">
        <f t="shared" si="749"/>
        <v>0</v>
      </c>
      <c r="L1267" s="51">
        <f t="shared" si="749"/>
        <v>0</v>
      </c>
      <c r="M1267" s="51">
        <f t="shared" si="749"/>
        <v>0</v>
      </c>
      <c r="N1267" s="51">
        <f t="shared" si="749"/>
        <v>0</v>
      </c>
      <c r="O1267" s="51">
        <f t="shared" si="749"/>
        <v>0</v>
      </c>
      <c r="P1267" s="51">
        <f t="shared" si="749"/>
        <v>0</v>
      </c>
      <c r="Q1267" s="51">
        <f t="shared" si="749"/>
        <v>0</v>
      </c>
      <c r="R1267" s="51">
        <f t="shared" ref="R1267" si="751">SUM(R1237:R1266)</f>
        <v>0</v>
      </c>
    </row>
    <row r="1268" spans="1:18" x14ac:dyDescent="0.25">
      <c r="C1268" s="50"/>
      <c r="D1268" s="50"/>
      <c r="E1268" s="50"/>
      <c r="F1268" s="50"/>
      <c r="G1268" s="50"/>
      <c r="H1268" s="50"/>
      <c r="I1268" s="50"/>
      <c r="J1268" s="50"/>
      <c r="K1268" s="50"/>
      <c r="L1268" s="50"/>
      <c r="M1268" s="50"/>
      <c r="N1268" s="50"/>
      <c r="O1268" s="50"/>
      <c r="P1268" s="50"/>
      <c r="Q1268" s="50"/>
      <c r="R1268" s="50"/>
    </row>
    <row r="1269" spans="1:18" x14ac:dyDescent="0.25">
      <c r="A1269" s="41" t="s">
        <v>165</v>
      </c>
      <c r="B1269" s="44"/>
      <c r="C1269" s="50"/>
      <c r="D1269" s="50"/>
      <c r="E1269" s="50"/>
      <c r="F1269" s="50"/>
      <c r="G1269" s="50"/>
      <c r="H1269" s="50"/>
      <c r="I1269" s="50"/>
      <c r="J1269" s="50"/>
      <c r="K1269" s="50"/>
      <c r="L1269" s="50"/>
      <c r="M1269" s="50"/>
      <c r="N1269" s="50"/>
      <c r="O1269" s="50"/>
      <c r="P1269" s="50"/>
      <c r="Q1269" s="50"/>
      <c r="R1269" s="50"/>
    </row>
    <row r="1270" spans="1:18" x14ac:dyDescent="0.25">
      <c r="C1270" s="50"/>
      <c r="D1270" s="50"/>
      <c r="E1270" s="50"/>
      <c r="F1270" s="50"/>
      <c r="G1270" s="50"/>
      <c r="H1270" s="50"/>
      <c r="I1270" s="50"/>
      <c r="J1270" s="50"/>
      <c r="K1270" s="50"/>
      <c r="L1270" s="50"/>
      <c r="M1270" s="50"/>
      <c r="N1270" s="50"/>
      <c r="O1270" s="50"/>
      <c r="P1270" s="50"/>
      <c r="Q1270" s="50"/>
      <c r="R1270" s="50"/>
    </row>
    <row r="1271" spans="1:18" x14ac:dyDescent="0.25">
      <c r="A1271" s="52" t="s">
        <v>819</v>
      </c>
      <c r="B1271" s="53"/>
      <c r="C1271" s="50"/>
      <c r="D1271" s="50"/>
      <c r="E1271" s="50"/>
      <c r="F1271" s="50"/>
      <c r="G1271" s="50"/>
      <c r="H1271" s="50"/>
      <c r="I1271" s="54"/>
      <c r="J1271" s="54"/>
      <c r="K1271" s="54"/>
      <c r="L1271" s="54"/>
      <c r="M1271" s="54"/>
      <c r="N1271" s="54"/>
      <c r="O1271" s="54"/>
      <c r="P1271" s="54"/>
      <c r="Q1271" s="54"/>
      <c r="R1271" s="54"/>
    </row>
    <row r="1272" spans="1:18" x14ac:dyDescent="0.25">
      <c r="A1272" s="52" t="s">
        <v>820</v>
      </c>
      <c r="B1272" s="53"/>
      <c r="C1272" s="54">
        <v>73281</v>
      </c>
      <c r="D1272" s="50">
        <v>87913</v>
      </c>
      <c r="E1272" s="50">
        <v>92294</v>
      </c>
      <c r="F1272" s="50">
        <v>106637</v>
      </c>
      <c r="G1272" s="50">
        <v>55424</v>
      </c>
      <c r="H1272" s="50">
        <v>92500</v>
      </c>
      <c r="I1272" s="50">
        <v>94733.5</v>
      </c>
      <c r="J1272" s="50">
        <v>97278.728999999992</v>
      </c>
      <c r="K1272" s="50">
        <v>100004.72147099997</v>
      </c>
      <c r="L1272" s="50">
        <v>102881.16344658297</v>
      </c>
      <c r="M1272" s="50">
        <v>105739.90142575555</v>
      </c>
      <c r="N1272" s="50">
        <v>108602.00172027835</v>
      </c>
      <c r="O1272" s="50">
        <v>111760.03680186759</v>
      </c>
      <c r="P1272" s="50">
        <v>115141.81558453612</v>
      </c>
      <c r="Q1272" s="50">
        <v>118580.51061406604</v>
      </c>
      <c r="R1272" s="50">
        <v>122124.69423379173</v>
      </c>
    </row>
    <row r="1273" spans="1:18" x14ac:dyDescent="0.25">
      <c r="A1273" s="43" t="s">
        <v>821</v>
      </c>
      <c r="C1273" s="182">
        <v>77312</v>
      </c>
      <c r="D1273" s="183">
        <v>78879</v>
      </c>
      <c r="E1273" s="182">
        <v>111853</v>
      </c>
      <c r="F1273" s="183">
        <v>112181</v>
      </c>
      <c r="G1273" s="182">
        <v>112661</v>
      </c>
      <c r="H1273" s="182">
        <v>114900</v>
      </c>
      <c r="I1273" s="182">
        <v>117600</v>
      </c>
      <c r="J1273" s="183">
        <v>120400</v>
      </c>
      <c r="K1273" s="183">
        <v>123300</v>
      </c>
      <c r="L1273" s="183">
        <v>126100</v>
      </c>
      <c r="M1273" s="183">
        <v>128900</v>
      </c>
      <c r="N1273" s="183">
        <v>131900</v>
      </c>
      <c r="O1273" s="183">
        <v>135200</v>
      </c>
      <c r="P1273" s="183">
        <v>138500</v>
      </c>
      <c r="Q1273" s="183">
        <v>141900</v>
      </c>
      <c r="R1273" s="183">
        <v>141900</v>
      </c>
    </row>
    <row r="1274" spans="1:18" x14ac:dyDescent="0.25">
      <c r="A1274" s="52" t="s">
        <v>822</v>
      </c>
      <c r="B1274" s="53"/>
      <c r="C1274" s="50">
        <v>0</v>
      </c>
      <c r="D1274" s="54">
        <f>C1274*1.025</f>
        <v>0</v>
      </c>
      <c r="E1274" s="54">
        <f>D1274*1.025</f>
        <v>0</v>
      </c>
      <c r="F1274" s="54">
        <v>0</v>
      </c>
      <c r="G1274" s="54">
        <v>0</v>
      </c>
      <c r="H1274" s="54">
        <v>0</v>
      </c>
      <c r="I1274" s="54">
        <v>0</v>
      </c>
      <c r="J1274" s="54">
        <v>0</v>
      </c>
      <c r="K1274" s="54">
        <v>0</v>
      </c>
      <c r="L1274" s="54">
        <v>0</v>
      </c>
      <c r="M1274" s="54">
        <v>0</v>
      </c>
      <c r="N1274" s="54">
        <v>0</v>
      </c>
      <c r="O1274" s="54">
        <v>0</v>
      </c>
      <c r="P1274" s="54">
        <v>0</v>
      </c>
      <c r="Q1274" s="54">
        <f t="shared" ref="Q1274:R1275" si="752">P1274*1.025</f>
        <v>0</v>
      </c>
      <c r="R1274" s="54">
        <f t="shared" si="752"/>
        <v>0</v>
      </c>
    </row>
    <row r="1275" spans="1:18" x14ac:dyDescent="0.25">
      <c r="A1275" s="52" t="s">
        <v>823</v>
      </c>
      <c r="B1275" s="53"/>
      <c r="C1275" s="50">
        <v>0</v>
      </c>
      <c r="D1275" s="54">
        <f>C1275*1.025</f>
        <v>0</v>
      </c>
      <c r="E1275" s="54">
        <f>D1275*1.025</f>
        <v>0</v>
      </c>
      <c r="F1275" s="54">
        <v>0</v>
      </c>
      <c r="G1275" s="54">
        <v>0</v>
      </c>
      <c r="H1275" s="54">
        <v>0</v>
      </c>
      <c r="I1275" s="54">
        <v>0</v>
      </c>
      <c r="J1275" s="54">
        <v>0</v>
      </c>
      <c r="K1275" s="54">
        <v>0</v>
      </c>
      <c r="L1275" s="54">
        <v>0</v>
      </c>
      <c r="M1275" s="54">
        <v>0</v>
      </c>
      <c r="N1275" s="54">
        <v>0</v>
      </c>
      <c r="O1275" s="54">
        <v>0</v>
      </c>
      <c r="P1275" s="54">
        <v>0</v>
      </c>
      <c r="Q1275" s="54">
        <f t="shared" si="752"/>
        <v>0</v>
      </c>
      <c r="R1275" s="54">
        <f t="shared" si="752"/>
        <v>0</v>
      </c>
    </row>
    <row r="1276" spans="1:18" x14ac:dyDescent="0.25">
      <c r="A1276" s="52" t="s">
        <v>824</v>
      </c>
      <c r="B1276" s="53"/>
      <c r="C1276" s="50"/>
      <c r="D1276" s="54"/>
      <c r="E1276" s="54"/>
      <c r="F1276" s="54"/>
      <c r="G1276" s="54"/>
      <c r="H1276" s="54"/>
      <c r="I1276" s="54"/>
      <c r="J1276" s="54"/>
      <c r="K1276" s="54"/>
      <c r="L1276" s="54"/>
      <c r="M1276" s="54"/>
      <c r="N1276" s="54"/>
      <c r="O1276" s="54"/>
      <c r="P1276" s="54"/>
      <c r="Q1276" s="54"/>
      <c r="R1276" s="54"/>
    </row>
    <row r="1277" spans="1:18" x14ac:dyDescent="0.25">
      <c r="A1277" s="52" t="s">
        <v>792</v>
      </c>
      <c r="B1277" s="53"/>
      <c r="C1277" s="59">
        <v>0</v>
      </c>
      <c r="D1277" s="54"/>
      <c r="E1277" s="54"/>
      <c r="F1277" s="54"/>
      <c r="G1277" s="54"/>
      <c r="H1277" s="54"/>
      <c r="I1277" s="54"/>
      <c r="J1277" s="54"/>
      <c r="K1277" s="54"/>
      <c r="L1277" s="54"/>
      <c r="M1277" s="54"/>
      <c r="N1277" s="54"/>
      <c r="O1277" s="54"/>
      <c r="P1277" s="54"/>
      <c r="Q1277" s="54"/>
      <c r="R1277" s="54"/>
    </row>
    <row r="1278" spans="1:18" x14ac:dyDescent="0.25">
      <c r="A1278" s="52" t="s">
        <v>793</v>
      </c>
      <c r="B1278" s="53"/>
      <c r="C1278" s="68">
        <v>0</v>
      </c>
      <c r="D1278" s="54"/>
      <c r="E1278" s="54"/>
      <c r="F1278" s="54"/>
      <c r="G1278" s="54"/>
      <c r="H1278" s="54"/>
      <c r="I1278" s="54"/>
      <c r="J1278" s="54"/>
      <c r="K1278" s="54"/>
      <c r="L1278" s="54"/>
      <c r="M1278" s="54"/>
      <c r="N1278" s="54"/>
      <c r="O1278" s="54"/>
      <c r="P1278" s="54"/>
      <c r="Q1278" s="54"/>
      <c r="R1278" s="54"/>
    </row>
    <row r="1279" spans="1:18" x14ac:dyDescent="0.25">
      <c r="A1279" s="52" t="s">
        <v>794</v>
      </c>
      <c r="B1279" s="53"/>
      <c r="C1279" s="50">
        <v>4991</v>
      </c>
      <c r="D1279" s="50">
        <v>5000</v>
      </c>
      <c r="E1279" s="54"/>
      <c r="F1279" s="54"/>
      <c r="G1279" s="54"/>
      <c r="H1279" s="54"/>
      <c r="I1279" s="54"/>
      <c r="J1279" s="54"/>
      <c r="K1279" s="54"/>
      <c r="L1279" s="54"/>
      <c r="M1279" s="54"/>
      <c r="N1279" s="54"/>
      <c r="O1279" s="54"/>
      <c r="P1279" s="54"/>
      <c r="Q1279" s="54"/>
      <c r="R1279" s="54"/>
    </row>
    <row r="1280" spans="1:18" x14ac:dyDescent="0.25">
      <c r="A1280" s="52" t="s">
        <v>795</v>
      </c>
      <c r="B1280" s="53"/>
      <c r="C1280" s="50"/>
      <c r="D1280" s="50"/>
      <c r="E1280" s="54"/>
      <c r="F1280" s="54"/>
      <c r="G1280" s="54"/>
      <c r="H1280" s="54"/>
      <c r="I1280" s="54"/>
      <c r="J1280" s="54"/>
      <c r="K1280" s="54"/>
      <c r="L1280" s="54"/>
      <c r="M1280" s="54"/>
      <c r="N1280" s="54"/>
      <c r="O1280" s="54"/>
      <c r="P1280" s="54"/>
      <c r="Q1280" s="54"/>
      <c r="R1280" s="54"/>
    </row>
    <row r="1281" spans="1:18" x14ac:dyDescent="0.25">
      <c r="A1281" s="52" t="s">
        <v>796</v>
      </c>
      <c r="B1281" s="53"/>
      <c r="C1281" s="59">
        <v>0</v>
      </c>
      <c r="D1281" s="54"/>
      <c r="E1281" s="54"/>
      <c r="F1281" s="54"/>
      <c r="G1281" s="54"/>
      <c r="H1281" s="54"/>
      <c r="I1281" s="54"/>
      <c r="J1281" s="54"/>
      <c r="K1281" s="54"/>
      <c r="L1281" s="54"/>
      <c r="M1281" s="54"/>
      <c r="N1281" s="54"/>
      <c r="O1281" s="54"/>
      <c r="P1281" s="54"/>
      <c r="Q1281" s="54"/>
      <c r="R1281" s="54"/>
    </row>
    <row r="1282" spans="1:18" x14ac:dyDescent="0.25">
      <c r="A1282" s="52" t="s">
        <v>825</v>
      </c>
      <c r="B1282" s="53"/>
      <c r="C1282" s="50"/>
      <c r="D1282" s="54"/>
      <c r="E1282" s="54"/>
      <c r="F1282" s="54"/>
      <c r="G1282" s="54"/>
      <c r="H1282" s="54"/>
      <c r="I1282" s="54"/>
      <c r="J1282" s="54"/>
      <c r="K1282" s="54"/>
      <c r="L1282" s="54"/>
      <c r="M1282" s="54"/>
      <c r="N1282" s="54"/>
      <c r="O1282" s="54"/>
      <c r="P1282" s="54"/>
      <c r="Q1282" s="54"/>
      <c r="R1282" s="54"/>
    </row>
    <row r="1283" spans="1:18" x14ac:dyDescent="0.25">
      <c r="A1283" s="52" t="s">
        <v>826</v>
      </c>
      <c r="B1283" s="53"/>
      <c r="C1283" s="59">
        <v>0</v>
      </c>
      <c r="D1283" s="54"/>
      <c r="E1283" s="54"/>
      <c r="F1283" s="54"/>
      <c r="G1283" s="54"/>
      <c r="H1283" s="54"/>
      <c r="I1283" s="54"/>
      <c r="J1283" s="54"/>
      <c r="K1283" s="54"/>
      <c r="L1283" s="54"/>
      <c r="M1283" s="54"/>
      <c r="N1283" s="54"/>
      <c r="O1283" s="54"/>
      <c r="P1283" s="54"/>
      <c r="Q1283" s="54"/>
      <c r="R1283" s="54"/>
    </row>
    <row r="1284" spans="1:18" x14ac:dyDescent="0.25">
      <c r="A1284" s="52" t="s">
        <v>822</v>
      </c>
      <c r="B1284" s="53"/>
      <c r="C1284" s="59">
        <v>0</v>
      </c>
      <c r="D1284" s="54"/>
      <c r="E1284" s="54"/>
      <c r="F1284" s="54"/>
      <c r="G1284" s="54"/>
      <c r="H1284" s="54"/>
      <c r="I1284" s="54"/>
      <c r="J1284" s="54"/>
      <c r="K1284" s="54"/>
      <c r="L1284" s="54"/>
      <c r="M1284" s="54"/>
      <c r="N1284" s="54"/>
      <c r="O1284" s="54"/>
      <c r="P1284" s="54"/>
      <c r="Q1284" s="54"/>
      <c r="R1284" s="54"/>
    </row>
    <row r="1285" spans="1:18" x14ac:dyDescent="0.25">
      <c r="A1285" s="52" t="s">
        <v>797</v>
      </c>
      <c r="B1285" s="53"/>
      <c r="C1285" s="184"/>
      <c r="D1285" s="67"/>
      <c r="E1285" s="67"/>
      <c r="F1285" s="67"/>
      <c r="G1285" s="67"/>
      <c r="H1285" s="67"/>
      <c r="I1285" s="67"/>
      <c r="J1285" s="67"/>
      <c r="K1285" s="67"/>
      <c r="L1285" s="67"/>
      <c r="M1285" s="67"/>
      <c r="N1285" s="67"/>
      <c r="O1285" s="67"/>
      <c r="P1285" s="67"/>
      <c r="Q1285" s="67"/>
      <c r="R1285" s="67"/>
    </row>
    <row r="1286" spans="1:18" x14ac:dyDescent="0.25">
      <c r="A1286" s="43" t="s">
        <v>827</v>
      </c>
      <c r="C1286" s="59">
        <v>5500</v>
      </c>
      <c r="D1286" s="54">
        <v>5660</v>
      </c>
      <c r="E1286" s="54">
        <v>5824</v>
      </c>
      <c r="F1286" s="54">
        <v>11647</v>
      </c>
      <c r="G1286" s="50">
        <v>11961</v>
      </c>
      <c r="H1286" s="50">
        <v>12700</v>
      </c>
      <c r="I1286" s="54">
        <f>H1286*1.023</f>
        <v>12992.099999999999</v>
      </c>
      <c r="J1286" s="54">
        <f>I1286*1.024</f>
        <v>13303.910399999999</v>
      </c>
      <c r="K1286" s="54">
        <f>J1286*1.024</f>
        <v>13623.204249599999</v>
      </c>
      <c r="L1286" s="54">
        <f>K1286*1.023</f>
        <v>13936.537947340797</v>
      </c>
      <c r="M1286" s="54">
        <f>L1286*1.022</f>
        <v>14243.141782182296</v>
      </c>
      <c r="N1286" s="54">
        <f>M1286*1.023</f>
        <v>14570.734043172488</v>
      </c>
      <c r="O1286" s="54">
        <f>N1286*1.025</f>
        <v>14935.002394251798</v>
      </c>
      <c r="P1286" s="54">
        <f>O1286*1.025</f>
        <v>15308.377454108091</v>
      </c>
      <c r="Q1286" s="54">
        <f>P1286*1.024</f>
        <v>15675.778513006686</v>
      </c>
      <c r="R1286" s="54">
        <f>Q1286*1.024</f>
        <v>16051.997197318846</v>
      </c>
    </row>
    <row r="1287" spans="1:18" x14ac:dyDescent="0.25">
      <c r="A1287" s="43" t="s">
        <v>828</v>
      </c>
      <c r="C1287" s="59">
        <v>0</v>
      </c>
      <c r="D1287" s="50">
        <v>0</v>
      </c>
      <c r="E1287" s="50">
        <v>0</v>
      </c>
      <c r="F1287" s="50">
        <v>0</v>
      </c>
      <c r="G1287" s="50">
        <v>0</v>
      </c>
      <c r="H1287" s="50">
        <v>0</v>
      </c>
      <c r="I1287" s="54">
        <v>0</v>
      </c>
      <c r="J1287" s="54">
        <v>0</v>
      </c>
      <c r="K1287" s="54">
        <v>0</v>
      </c>
      <c r="L1287" s="54">
        <v>0</v>
      </c>
      <c r="M1287" s="54">
        <v>0</v>
      </c>
      <c r="N1287" s="54">
        <v>0</v>
      </c>
      <c r="O1287" s="54">
        <v>0</v>
      </c>
      <c r="P1287" s="54">
        <v>0</v>
      </c>
      <c r="Q1287" s="54">
        <f>P1287*1.024</f>
        <v>0</v>
      </c>
      <c r="R1287" s="54">
        <f>Q1287*1.024</f>
        <v>0</v>
      </c>
    </row>
    <row r="1288" spans="1:18" x14ac:dyDescent="0.25">
      <c r="A1288" s="181" t="s">
        <v>799</v>
      </c>
      <c r="C1288" s="50">
        <v>18159</v>
      </c>
      <c r="D1288" s="50"/>
      <c r="E1288" s="50"/>
      <c r="F1288" s="50"/>
      <c r="G1288" s="50"/>
      <c r="H1288" s="50"/>
      <c r="I1288" s="54"/>
      <c r="J1288" s="54"/>
      <c r="K1288" s="54"/>
      <c r="L1288" s="54"/>
      <c r="M1288" s="54"/>
      <c r="N1288" s="54"/>
      <c r="O1288" s="54"/>
      <c r="P1288" s="54"/>
      <c r="Q1288" s="54"/>
      <c r="R1288" s="54"/>
    </row>
    <row r="1289" spans="1:18" x14ac:dyDescent="0.25">
      <c r="A1289" s="181" t="s">
        <v>800</v>
      </c>
      <c r="C1289" s="50">
        <v>14649</v>
      </c>
      <c r="D1289" s="50">
        <v>27700</v>
      </c>
      <c r="E1289" s="50">
        <v>33065</v>
      </c>
      <c r="F1289" s="50">
        <v>18518</v>
      </c>
      <c r="G1289" s="50"/>
      <c r="H1289" s="50"/>
      <c r="I1289" s="54"/>
      <c r="J1289" s="54"/>
      <c r="K1289" s="54"/>
      <c r="L1289" s="54"/>
      <c r="M1289" s="54"/>
      <c r="N1289" s="54"/>
      <c r="O1289" s="54"/>
      <c r="P1289" s="54"/>
      <c r="Q1289" s="54"/>
      <c r="R1289" s="54"/>
    </row>
    <row r="1290" spans="1:18" x14ac:dyDescent="0.25">
      <c r="A1290" s="181" t="s">
        <v>801</v>
      </c>
      <c r="B1290" s="52"/>
      <c r="C1290" s="50">
        <v>3000</v>
      </c>
      <c r="D1290" s="50"/>
      <c r="E1290" s="50"/>
      <c r="F1290" s="50"/>
      <c r="G1290" s="50"/>
      <c r="H1290" s="50"/>
      <c r="I1290" s="54"/>
      <c r="J1290" s="54"/>
      <c r="K1290" s="54"/>
      <c r="L1290" s="54"/>
      <c r="M1290" s="54"/>
      <c r="N1290" s="54"/>
      <c r="O1290" s="54"/>
      <c r="P1290" s="54"/>
      <c r="Q1290" s="54"/>
      <c r="R1290" s="54"/>
    </row>
    <row r="1291" spans="1:18" x14ac:dyDescent="0.25">
      <c r="A1291" s="181" t="s">
        <v>802</v>
      </c>
      <c r="B1291" s="52"/>
      <c r="C1291" s="50">
        <v>6423</v>
      </c>
      <c r="D1291" s="50">
        <v>33429</v>
      </c>
      <c r="E1291" s="50"/>
      <c r="F1291" s="50"/>
      <c r="G1291" s="50"/>
      <c r="H1291" s="50"/>
      <c r="I1291" s="54"/>
      <c r="J1291" s="54"/>
      <c r="K1291" s="54"/>
      <c r="L1291" s="54"/>
      <c r="M1291" s="54"/>
      <c r="N1291" s="54"/>
      <c r="O1291" s="54"/>
      <c r="P1291" s="54"/>
      <c r="Q1291" s="54"/>
      <c r="R1291" s="54"/>
    </row>
    <row r="1292" spans="1:18" x14ac:dyDescent="0.25">
      <c r="A1292" s="52" t="s">
        <v>803</v>
      </c>
      <c r="B1292" s="52"/>
      <c r="C1292" s="50">
        <v>48000</v>
      </c>
      <c r="D1292" s="50"/>
      <c r="E1292" s="50"/>
      <c r="F1292" s="50"/>
      <c r="G1292" s="50"/>
      <c r="H1292" s="50"/>
      <c r="I1292" s="54"/>
      <c r="J1292" s="54"/>
      <c r="K1292" s="54"/>
      <c r="L1292" s="54"/>
      <c r="M1292" s="54"/>
      <c r="N1292" s="54"/>
      <c r="O1292" s="54"/>
      <c r="P1292" s="54"/>
      <c r="Q1292" s="54"/>
      <c r="R1292" s="54"/>
    </row>
    <row r="1293" spans="1:18" x14ac:dyDescent="0.25">
      <c r="A1293" s="52" t="s">
        <v>829</v>
      </c>
      <c r="B1293" s="52"/>
      <c r="C1293" s="50"/>
      <c r="D1293" s="50"/>
      <c r="E1293" s="50">
        <v>6664</v>
      </c>
      <c r="F1293" s="50">
        <v>3332</v>
      </c>
      <c r="G1293" s="50"/>
      <c r="H1293" s="50"/>
      <c r="I1293" s="54"/>
      <c r="J1293" s="54"/>
      <c r="K1293" s="54"/>
      <c r="L1293" s="54"/>
      <c r="M1293" s="54"/>
      <c r="N1293" s="54"/>
      <c r="O1293" s="54"/>
      <c r="P1293" s="54"/>
      <c r="Q1293" s="54"/>
      <c r="R1293" s="54"/>
    </row>
    <row r="1294" spans="1:18" x14ac:dyDescent="0.25">
      <c r="A1294" s="52" t="s">
        <v>804</v>
      </c>
      <c r="B1294" s="52"/>
      <c r="C1294" s="50">
        <v>0</v>
      </c>
      <c r="D1294" s="50">
        <v>9996</v>
      </c>
      <c r="E1294" s="50"/>
      <c r="F1294" s="50"/>
      <c r="G1294" s="50"/>
      <c r="H1294" s="50"/>
      <c r="I1294" s="54"/>
      <c r="J1294" s="54"/>
      <c r="K1294" s="54"/>
      <c r="L1294" s="54"/>
      <c r="M1294" s="54"/>
      <c r="N1294" s="54"/>
      <c r="O1294" s="54"/>
      <c r="P1294" s="54"/>
      <c r="Q1294" s="54"/>
      <c r="R1294" s="54"/>
    </row>
    <row r="1295" spans="1:18" x14ac:dyDescent="0.25">
      <c r="A1295" s="52" t="s">
        <v>805</v>
      </c>
      <c r="B1295" s="52"/>
      <c r="C1295" s="50"/>
      <c r="D1295" s="50">
        <v>9996</v>
      </c>
      <c r="E1295" s="50"/>
      <c r="F1295" s="50"/>
      <c r="G1295" s="50"/>
      <c r="H1295" s="50"/>
      <c r="I1295" s="54"/>
      <c r="J1295" s="54"/>
      <c r="K1295" s="54"/>
      <c r="L1295" s="54"/>
      <c r="M1295" s="54"/>
      <c r="N1295" s="54"/>
      <c r="O1295" s="54"/>
      <c r="P1295" s="54"/>
      <c r="Q1295" s="54"/>
      <c r="R1295" s="54"/>
    </row>
    <row r="1296" spans="1:18" x14ac:dyDescent="0.25">
      <c r="A1296" s="52" t="s">
        <v>830</v>
      </c>
      <c r="B1296" s="52"/>
      <c r="C1296" s="50"/>
      <c r="D1296" s="50"/>
      <c r="E1296" s="50">
        <v>9996</v>
      </c>
      <c r="F1296" s="50"/>
      <c r="G1296" s="50"/>
      <c r="H1296" s="50"/>
      <c r="I1296" s="54"/>
      <c r="J1296" s="54"/>
      <c r="K1296" s="54"/>
      <c r="L1296" s="54"/>
      <c r="M1296" s="54"/>
      <c r="N1296" s="54"/>
      <c r="O1296" s="54"/>
      <c r="P1296" s="54"/>
      <c r="Q1296" s="54"/>
      <c r="R1296" s="54"/>
    </row>
    <row r="1297" spans="1:18" x14ac:dyDescent="0.25">
      <c r="A1297" s="181" t="s">
        <v>806</v>
      </c>
      <c r="B1297" s="52"/>
      <c r="C1297" s="50"/>
      <c r="D1297" s="50">
        <v>19520</v>
      </c>
      <c r="E1297" s="50">
        <v>468</v>
      </c>
      <c r="F1297" s="50"/>
      <c r="G1297" s="50"/>
      <c r="H1297" s="50"/>
      <c r="I1297" s="54"/>
      <c r="J1297" s="54"/>
      <c r="K1297" s="54"/>
      <c r="L1297" s="54"/>
      <c r="M1297" s="54"/>
      <c r="N1297" s="54"/>
      <c r="O1297" s="54"/>
      <c r="P1297" s="54"/>
      <c r="Q1297" s="54"/>
      <c r="R1297" s="54"/>
    </row>
    <row r="1298" spans="1:18" x14ac:dyDescent="0.25">
      <c r="A1298" s="181" t="s">
        <v>807</v>
      </c>
      <c r="B1298" s="52"/>
      <c r="C1298" s="50"/>
      <c r="D1298" s="50">
        <v>7436</v>
      </c>
      <c r="E1298" s="50">
        <v>0</v>
      </c>
      <c r="F1298" s="50"/>
      <c r="G1298" s="50"/>
      <c r="H1298" s="50"/>
      <c r="I1298" s="54"/>
      <c r="J1298" s="54"/>
      <c r="K1298" s="54"/>
      <c r="L1298" s="54"/>
      <c r="M1298" s="54"/>
      <c r="N1298" s="54"/>
      <c r="O1298" s="54"/>
      <c r="P1298" s="54"/>
      <c r="Q1298" s="54"/>
      <c r="R1298" s="54"/>
    </row>
    <row r="1299" spans="1:18" x14ac:dyDescent="0.25">
      <c r="A1299" s="59" t="s">
        <v>808</v>
      </c>
      <c r="B1299" s="52"/>
      <c r="C1299" s="50"/>
      <c r="D1299" s="50">
        <v>22500</v>
      </c>
      <c r="E1299" s="50">
        <v>13947</v>
      </c>
      <c r="F1299" s="50">
        <v>11028</v>
      </c>
      <c r="G1299" s="50"/>
      <c r="H1299" s="50"/>
      <c r="I1299" s="54"/>
      <c r="J1299" s="54"/>
      <c r="K1299" s="54"/>
      <c r="L1299" s="54"/>
      <c r="M1299" s="54"/>
      <c r="N1299" s="54"/>
      <c r="O1299" s="54"/>
      <c r="P1299" s="54"/>
      <c r="Q1299" s="54"/>
      <c r="R1299" s="54"/>
    </row>
    <row r="1300" spans="1:18" x14ac:dyDescent="0.25">
      <c r="A1300" s="59" t="s">
        <v>809</v>
      </c>
      <c r="B1300" s="52"/>
      <c r="C1300" s="50"/>
      <c r="D1300" s="50"/>
      <c r="E1300" s="50">
        <v>9912</v>
      </c>
      <c r="F1300" s="50">
        <v>14988</v>
      </c>
      <c r="G1300" s="50"/>
      <c r="H1300" s="50"/>
      <c r="I1300" s="54"/>
      <c r="J1300" s="54"/>
      <c r="K1300" s="54"/>
      <c r="L1300" s="54"/>
      <c r="M1300" s="54"/>
      <c r="N1300" s="54"/>
      <c r="O1300" s="54"/>
      <c r="P1300" s="54"/>
      <c r="Q1300" s="54"/>
      <c r="R1300" s="54"/>
    </row>
    <row r="1301" spans="1:18" x14ac:dyDescent="0.25">
      <c r="A1301" s="59" t="s">
        <v>810</v>
      </c>
      <c r="B1301" s="52"/>
      <c r="C1301" s="50"/>
      <c r="D1301" s="50"/>
      <c r="E1301" s="50"/>
      <c r="F1301" s="50">
        <v>26311</v>
      </c>
      <c r="G1301" s="50">
        <v>27746</v>
      </c>
      <c r="H1301" s="50"/>
      <c r="I1301" s="54"/>
      <c r="J1301" s="54"/>
      <c r="K1301" s="54"/>
      <c r="L1301" s="54"/>
      <c r="M1301" s="54"/>
      <c r="N1301" s="54"/>
      <c r="O1301" s="54"/>
      <c r="P1301" s="54"/>
      <c r="Q1301" s="54"/>
      <c r="R1301" s="54"/>
    </row>
    <row r="1302" spans="1:18" x14ac:dyDescent="0.25">
      <c r="A1302" s="59" t="s">
        <v>812</v>
      </c>
      <c r="B1302" s="52"/>
      <c r="C1302" s="50"/>
      <c r="D1302" s="50"/>
      <c r="E1302" s="50"/>
      <c r="F1302" s="50"/>
      <c r="G1302" s="50">
        <v>6627</v>
      </c>
      <c r="H1302" s="50"/>
      <c r="I1302" s="54"/>
      <c r="J1302" s="54"/>
      <c r="K1302" s="54"/>
      <c r="L1302" s="54"/>
      <c r="M1302" s="54"/>
      <c r="N1302" s="54"/>
      <c r="O1302" s="54"/>
      <c r="P1302" s="54"/>
      <c r="Q1302" s="54"/>
      <c r="R1302" s="54"/>
    </row>
    <row r="1303" spans="1:18" x14ac:dyDescent="0.25">
      <c r="A1303" s="59" t="s">
        <v>813</v>
      </c>
      <c r="B1303" s="52"/>
      <c r="C1303" s="50"/>
      <c r="D1303" s="50"/>
      <c r="E1303" s="50"/>
      <c r="F1303" s="50"/>
      <c r="G1303" s="50">
        <v>4982</v>
      </c>
      <c r="H1303" s="50"/>
      <c r="I1303" s="54"/>
      <c r="J1303" s="54"/>
      <c r="K1303" s="54"/>
      <c r="L1303" s="54"/>
      <c r="M1303" s="54"/>
      <c r="N1303" s="54"/>
      <c r="O1303" s="54"/>
      <c r="P1303" s="54"/>
      <c r="Q1303" s="54"/>
      <c r="R1303" s="54"/>
    </row>
    <row r="1304" spans="1:18" x14ac:dyDescent="0.25">
      <c r="A1304" s="59" t="s">
        <v>814</v>
      </c>
      <c r="B1304" s="52"/>
      <c r="C1304" s="50"/>
      <c r="D1304" s="50"/>
      <c r="E1304" s="50"/>
      <c r="F1304" s="50"/>
      <c r="G1304" s="50">
        <v>5526</v>
      </c>
      <c r="H1304" s="50"/>
      <c r="I1304" s="54"/>
      <c r="J1304" s="54"/>
      <c r="K1304" s="54"/>
      <c r="L1304" s="54"/>
      <c r="M1304" s="54"/>
      <c r="N1304" s="54"/>
      <c r="O1304" s="54"/>
      <c r="P1304" s="54"/>
      <c r="Q1304" s="54"/>
      <c r="R1304" s="54"/>
    </row>
    <row r="1305" spans="1:18" x14ac:dyDescent="0.25">
      <c r="A1305" s="59" t="s">
        <v>815</v>
      </c>
      <c r="B1305" s="52"/>
      <c r="C1305" s="50"/>
      <c r="D1305" s="50"/>
      <c r="E1305" s="50"/>
      <c r="F1305" s="50"/>
      <c r="G1305" s="50">
        <v>5040</v>
      </c>
      <c r="H1305" s="50"/>
      <c r="I1305" s="54"/>
      <c r="J1305" s="54"/>
      <c r="K1305" s="54"/>
      <c r="L1305" s="54"/>
      <c r="M1305" s="54"/>
      <c r="N1305" s="54"/>
      <c r="O1305" s="54"/>
      <c r="P1305" s="54"/>
      <c r="Q1305" s="54"/>
      <c r="R1305" s="54"/>
    </row>
    <row r="1306" spans="1:18" x14ac:dyDescent="0.25">
      <c r="A1306" s="59" t="s">
        <v>816</v>
      </c>
      <c r="C1306" s="50"/>
      <c r="D1306" s="50"/>
      <c r="E1306" s="50"/>
      <c r="F1306" s="50"/>
      <c r="G1306" s="50">
        <v>6472</v>
      </c>
      <c r="H1306" s="50"/>
      <c r="I1306" s="50"/>
      <c r="J1306" s="50"/>
      <c r="K1306" s="50"/>
      <c r="L1306" s="50"/>
      <c r="M1306" s="50"/>
      <c r="N1306" s="50"/>
      <c r="O1306" s="50"/>
      <c r="P1306" s="50"/>
      <c r="Q1306" s="50"/>
      <c r="R1306" s="50"/>
    </row>
    <row r="1307" spans="1:18" x14ac:dyDescent="0.25">
      <c r="A1307" s="59" t="s">
        <v>817</v>
      </c>
      <c r="C1307" s="50"/>
      <c r="D1307" s="50"/>
      <c r="E1307" s="50"/>
      <c r="F1307" s="50"/>
      <c r="G1307" s="50"/>
      <c r="H1307" s="50"/>
      <c r="I1307" s="50"/>
      <c r="J1307" s="50"/>
      <c r="K1307" s="50"/>
      <c r="L1307" s="50"/>
      <c r="M1307" s="50"/>
      <c r="N1307" s="50"/>
      <c r="O1307" s="50"/>
      <c r="P1307" s="50"/>
      <c r="Q1307" s="50"/>
      <c r="R1307" s="50"/>
    </row>
    <row r="1308" spans="1:18" x14ac:dyDescent="0.25">
      <c r="A1308" s="59" t="s">
        <v>818</v>
      </c>
      <c r="C1308" s="50"/>
      <c r="D1308" s="50"/>
      <c r="E1308" s="50"/>
      <c r="F1308" s="50"/>
      <c r="G1308" s="50"/>
      <c r="H1308" s="50"/>
      <c r="I1308" s="50"/>
      <c r="J1308" s="50"/>
      <c r="K1308" s="50"/>
      <c r="L1308" s="50"/>
      <c r="M1308" s="50"/>
      <c r="N1308" s="50"/>
      <c r="O1308" s="50"/>
      <c r="P1308" s="50"/>
      <c r="Q1308" s="50"/>
      <c r="R1308" s="50"/>
    </row>
    <row r="1309" spans="1:18" x14ac:dyDescent="0.25">
      <c r="A1309" s="59"/>
      <c r="C1309" s="50"/>
      <c r="D1309" s="50"/>
      <c r="E1309" s="50"/>
      <c r="F1309" s="50"/>
      <c r="G1309" s="50"/>
      <c r="H1309" s="50"/>
      <c r="I1309" s="50"/>
      <c r="J1309" s="50"/>
      <c r="K1309" s="50"/>
      <c r="L1309" s="50"/>
      <c r="M1309" s="50"/>
      <c r="N1309" s="50"/>
      <c r="O1309" s="50"/>
      <c r="P1309" s="50"/>
      <c r="Q1309" s="50"/>
      <c r="R1309" s="50"/>
    </row>
    <row r="1310" spans="1:18" x14ac:dyDescent="0.25">
      <c r="A1310" s="59"/>
      <c r="C1310" s="50"/>
      <c r="D1310" s="50"/>
      <c r="E1310" s="50"/>
      <c r="F1310" s="50"/>
      <c r="G1310" s="50"/>
      <c r="H1310" s="50"/>
      <c r="I1310" s="50"/>
      <c r="J1310" s="50"/>
      <c r="K1310" s="50"/>
      <c r="L1310" s="50"/>
      <c r="M1310" s="50"/>
      <c r="N1310" s="50"/>
      <c r="O1310" s="50"/>
      <c r="P1310" s="50"/>
      <c r="Q1310" s="50"/>
      <c r="R1310" s="50"/>
    </row>
    <row r="1311" spans="1:18" x14ac:dyDescent="0.25">
      <c r="A1311" s="59"/>
      <c r="C1311" s="50"/>
      <c r="D1311" s="50"/>
      <c r="E1311" s="50"/>
      <c r="F1311" s="50"/>
      <c r="G1311" s="50"/>
      <c r="H1311" s="50"/>
      <c r="I1311" s="50"/>
      <c r="J1311" s="50"/>
      <c r="K1311" s="50"/>
      <c r="L1311" s="50"/>
      <c r="M1311" s="50"/>
      <c r="N1311" s="50"/>
      <c r="O1311" s="50"/>
      <c r="P1311" s="50"/>
      <c r="Q1311" s="50"/>
      <c r="R1311" s="50"/>
    </row>
    <row r="1312" spans="1:18" x14ac:dyDescent="0.25">
      <c r="A1312" s="41" t="s">
        <v>230</v>
      </c>
      <c r="B1312" s="44"/>
      <c r="C1312" s="51">
        <f t="shared" ref="C1312" si="753">SUM(C1271:C1306)</f>
        <v>251315</v>
      </c>
      <c r="D1312" s="51">
        <f t="shared" ref="D1312:F1312" si="754">SUM(D1271:D1306)</f>
        <v>308029</v>
      </c>
      <c r="E1312" s="51">
        <f t="shared" si="754"/>
        <v>284023</v>
      </c>
      <c r="F1312" s="51">
        <f t="shared" si="754"/>
        <v>304642</v>
      </c>
      <c r="G1312" s="51">
        <f t="shared" ref="G1312" si="755">SUM(G1271:G1308)</f>
        <v>236439</v>
      </c>
      <c r="H1312" s="51">
        <f t="shared" ref="H1312:R1312" si="756">SUM(H1271:H1306)</f>
        <v>220100</v>
      </c>
      <c r="I1312" s="51">
        <f t="shared" si="756"/>
        <v>225325.6</v>
      </c>
      <c r="J1312" s="51">
        <f t="shared" si="756"/>
        <v>230982.63939999999</v>
      </c>
      <c r="K1312" s="51">
        <f t="shared" si="756"/>
        <v>236927.92572059997</v>
      </c>
      <c r="L1312" s="51">
        <f t="shared" si="756"/>
        <v>242917.70139392378</v>
      </c>
      <c r="M1312" s="51">
        <f t="shared" si="756"/>
        <v>248883.04320793785</v>
      </c>
      <c r="N1312" s="51">
        <f t="shared" si="756"/>
        <v>255072.73576345085</v>
      </c>
      <c r="O1312" s="51">
        <f t="shared" si="756"/>
        <v>261895.03919611938</v>
      </c>
      <c r="P1312" s="51">
        <f t="shared" si="756"/>
        <v>268950.19303864421</v>
      </c>
      <c r="Q1312" s="51">
        <f t="shared" si="756"/>
        <v>276156.28912707273</v>
      </c>
      <c r="R1312" s="51">
        <f t="shared" si="756"/>
        <v>280076.69143111055</v>
      </c>
    </row>
    <row r="1313" spans="1:18" x14ac:dyDescent="0.25">
      <c r="C1313" s="50"/>
      <c r="D1313" s="50"/>
      <c r="E1313" s="50"/>
      <c r="F1313" s="50"/>
      <c r="G1313" s="50"/>
      <c r="H1313" s="50"/>
      <c r="I1313" s="50"/>
      <c r="J1313" s="50"/>
      <c r="K1313" s="50"/>
      <c r="L1313" s="50"/>
      <c r="M1313" s="50"/>
      <c r="N1313" s="50"/>
      <c r="O1313" s="50"/>
      <c r="P1313" s="50"/>
      <c r="Q1313" s="50"/>
      <c r="R1313" s="50"/>
    </row>
    <row r="1314" spans="1:18" x14ac:dyDescent="0.25">
      <c r="A1314" s="41" t="s">
        <v>251</v>
      </c>
      <c r="B1314" s="44"/>
      <c r="C1314" s="50"/>
      <c r="D1314" s="50"/>
      <c r="E1314" s="50"/>
      <c r="F1314" s="50"/>
      <c r="G1314" s="50"/>
      <c r="H1314" s="50"/>
      <c r="I1314" s="50"/>
      <c r="J1314" s="50"/>
      <c r="K1314" s="50"/>
      <c r="L1314" s="50"/>
      <c r="M1314" s="50"/>
      <c r="N1314" s="50"/>
      <c r="O1314" s="50"/>
      <c r="P1314" s="50"/>
      <c r="Q1314" s="50"/>
      <c r="R1314" s="50"/>
    </row>
    <row r="1315" spans="1:18" x14ac:dyDescent="0.25">
      <c r="C1315" s="50"/>
      <c r="D1315" s="50"/>
      <c r="E1315" s="50"/>
      <c r="F1315" s="50"/>
      <c r="G1315" s="50"/>
      <c r="H1315" s="50"/>
      <c r="I1315" s="50"/>
      <c r="J1315" s="50"/>
      <c r="K1315" s="50"/>
      <c r="L1315" s="50"/>
      <c r="M1315" s="50"/>
      <c r="N1315" s="50"/>
      <c r="O1315" s="50"/>
      <c r="P1315" s="50"/>
      <c r="Q1315" s="50"/>
      <c r="R1315" s="50"/>
    </row>
    <row r="1316" spans="1:18" x14ac:dyDescent="0.25">
      <c r="A1316" s="185" t="s">
        <v>831</v>
      </c>
      <c r="B1316" s="186" t="s">
        <v>832</v>
      </c>
      <c r="C1316" s="50">
        <v>0</v>
      </c>
      <c r="D1316" s="50">
        <v>0</v>
      </c>
      <c r="E1316" s="50">
        <v>0</v>
      </c>
      <c r="F1316" s="50">
        <v>0</v>
      </c>
      <c r="G1316" s="50">
        <v>0</v>
      </c>
      <c r="H1316" s="50">
        <v>0</v>
      </c>
      <c r="I1316" s="50">
        <v>0</v>
      </c>
      <c r="J1316" s="50">
        <v>0</v>
      </c>
      <c r="K1316" s="50">
        <v>0</v>
      </c>
      <c r="L1316" s="50">
        <v>0</v>
      </c>
      <c r="M1316" s="50">
        <v>0</v>
      </c>
      <c r="N1316" s="50">
        <v>0</v>
      </c>
      <c r="O1316" s="50">
        <v>0</v>
      </c>
      <c r="P1316" s="50">
        <v>0</v>
      </c>
      <c r="Q1316" s="50">
        <v>0</v>
      </c>
      <c r="R1316" s="50">
        <v>0</v>
      </c>
    </row>
    <row r="1317" spans="1:18" x14ac:dyDescent="0.25">
      <c r="C1317" s="50"/>
      <c r="D1317" s="50"/>
      <c r="E1317" s="50"/>
      <c r="F1317" s="50"/>
      <c r="G1317" s="50"/>
      <c r="H1317" s="50"/>
      <c r="I1317" s="50"/>
      <c r="J1317" s="50"/>
      <c r="K1317" s="50"/>
      <c r="L1317" s="50"/>
      <c r="M1317" s="50"/>
      <c r="N1317" s="50"/>
      <c r="O1317" s="50"/>
      <c r="P1317" s="50"/>
      <c r="Q1317" s="50"/>
      <c r="R1317" s="50"/>
    </row>
    <row r="1318" spans="1:18" x14ac:dyDescent="0.25">
      <c r="A1318" s="41" t="s">
        <v>254</v>
      </c>
      <c r="B1318" s="44"/>
      <c r="C1318" s="51">
        <f t="shared" ref="C1318:E1318" si="757">SUM(C1316:C1317)</f>
        <v>0</v>
      </c>
      <c r="D1318" s="51">
        <f t="shared" si="757"/>
        <v>0</v>
      </c>
      <c r="E1318" s="51">
        <f t="shared" si="757"/>
        <v>0</v>
      </c>
      <c r="F1318" s="51">
        <v>0</v>
      </c>
      <c r="G1318" s="51">
        <v>0</v>
      </c>
      <c r="H1318" s="51">
        <v>0</v>
      </c>
      <c r="I1318" s="51">
        <v>0</v>
      </c>
      <c r="J1318" s="51">
        <v>0</v>
      </c>
      <c r="K1318" s="51">
        <v>0</v>
      </c>
      <c r="L1318" s="51">
        <v>0</v>
      </c>
      <c r="M1318" s="51">
        <v>0</v>
      </c>
      <c r="N1318" s="51">
        <v>0</v>
      </c>
      <c r="O1318" s="51">
        <v>0</v>
      </c>
      <c r="P1318" s="51">
        <v>0</v>
      </c>
      <c r="Q1318" s="51">
        <f>SUM(Q1316:Q1317)</f>
        <v>0</v>
      </c>
      <c r="R1318" s="51">
        <f>SUM(R1316:R1317)</f>
        <v>0</v>
      </c>
    </row>
    <row r="1319" spans="1:18" x14ac:dyDescent="0.25">
      <c r="C1319" s="50"/>
      <c r="D1319" s="50"/>
      <c r="E1319" s="50"/>
      <c r="F1319" s="50"/>
      <c r="G1319" s="50"/>
      <c r="H1319" s="50"/>
      <c r="I1319" s="50"/>
      <c r="J1319" s="50"/>
      <c r="K1319" s="50"/>
      <c r="L1319" s="50"/>
      <c r="M1319" s="50"/>
      <c r="N1319" s="50"/>
      <c r="O1319" s="50"/>
      <c r="P1319" s="50"/>
      <c r="Q1319" s="50"/>
      <c r="R1319" s="50"/>
    </row>
    <row r="1320" spans="1:18" x14ac:dyDescent="0.25">
      <c r="A1320" s="41" t="s">
        <v>171</v>
      </c>
      <c r="B1320" s="44"/>
      <c r="C1320" s="50"/>
      <c r="D1320" s="50"/>
      <c r="E1320" s="50"/>
      <c r="F1320" s="50"/>
      <c r="G1320" s="50"/>
      <c r="H1320" s="50"/>
      <c r="I1320" s="50"/>
      <c r="J1320" s="50"/>
      <c r="K1320" s="50"/>
      <c r="L1320" s="50"/>
      <c r="M1320" s="50"/>
      <c r="N1320" s="50"/>
      <c r="O1320" s="50"/>
      <c r="P1320" s="50"/>
      <c r="Q1320" s="50"/>
      <c r="R1320" s="50"/>
    </row>
    <row r="1321" spans="1:18" x14ac:dyDescent="0.25">
      <c r="C1321" s="50"/>
      <c r="D1321" s="50"/>
      <c r="E1321" s="50"/>
      <c r="F1321" s="50"/>
      <c r="G1321" s="50"/>
      <c r="H1321" s="50"/>
      <c r="I1321" s="50"/>
      <c r="J1321" s="50"/>
      <c r="K1321" s="50"/>
      <c r="L1321" s="50"/>
      <c r="M1321" s="50"/>
      <c r="N1321" s="50"/>
      <c r="O1321" s="50"/>
      <c r="P1321" s="50"/>
      <c r="Q1321" s="50"/>
      <c r="R1321" s="50"/>
    </row>
    <row r="1322" spans="1:18" x14ac:dyDescent="0.25">
      <c r="A1322" s="41" t="s">
        <v>833</v>
      </c>
      <c r="B1322" s="44"/>
      <c r="C1322" s="50"/>
      <c r="D1322" s="50"/>
      <c r="E1322" s="50"/>
      <c r="F1322" s="50"/>
      <c r="G1322" s="50"/>
      <c r="H1322" s="50"/>
      <c r="I1322" s="50"/>
      <c r="J1322" s="50"/>
      <c r="K1322" s="50"/>
      <c r="L1322" s="50"/>
      <c r="M1322" s="50"/>
      <c r="N1322" s="50"/>
      <c r="O1322" s="50"/>
      <c r="P1322" s="50"/>
      <c r="Q1322" s="50"/>
      <c r="R1322" s="50"/>
    </row>
    <row r="1323" spans="1:18" x14ac:dyDescent="0.25">
      <c r="A1323" s="43" t="s">
        <v>834</v>
      </c>
      <c r="C1323" s="50"/>
      <c r="D1323" s="50"/>
      <c r="E1323" s="50"/>
      <c r="F1323" s="50"/>
      <c r="G1323" s="50"/>
      <c r="H1323" s="50"/>
      <c r="I1323" s="50"/>
      <c r="J1323" s="50"/>
      <c r="K1323" s="50"/>
      <c r="L1323" s="50"/>
      <c r="M1323" s="50"/>
      <c r="N1323" s="50"/>
      <c r="O1323" s="50"/>
      <c r="P1323" s="50"/>
      <c r="Q1323" s="50"/>
      <c r="R1323" s="50"/>
    </row>
    <row r="1324" spans="1:18" x14ac:dyDescent="0.25">
      <c r="A1324" s="185" t="s">
        <v>835</v>
      </c>
      <c r="B1324" s="186" t="s">
        <v>832</v>
      </c>
      <c r="C1324" s="50">
        <v>0</v>
      </c>
      <c r="D1324" s="50">
        <v>0</v>
      </c>
      <c r="E1324" s="50">
        <v>0</v>
      </c>
      <c r="F1324" s="50">
        <v>0</v>
      </c>
      <c r="G1324" s="50">
        <v>0</v>
      </c>
      <c r="H1324" s="50">
        <v>0</v>
      </c>
      <c r="I1324" s="50">
        <v>0</v>
      </c>
      <c r="J1324" s="50">
        <v>0</v>
      </c>
      <c r="K1324" s="50">
        <v>0</v>
      </c>
      <c r="L1324" s="50">
        <v>0</v>
      </c>
      <c r="M1324" s="50">
        <v>0</v>
      </c>
      <c r="N1324" s="50">
        <v>0</v>
      </c>
      <c r="O1324" s="50">
        <v>0</v>
      </c>
      <c r="P1324" s="50">
        <v>0</v>
      </c>
      <c r="Q1324" s="50">
        <v>0</v>
      </c>
      <c r="R1324" s="50">
        <v>0</v>
      </c>
    </row>
    <row r="1325" spans="1:18" x14ac:dyDescent="0.25">
      <c r="A1325" s="185" t="s">
        <v>836</v>
      </c>
      <c r="B1325" s="186" t="s">
        <v>832</v>
      </c>
      <c r="C1325" s="50"/>
      <c r="D1325" s="50">
        <v>0</v>
      </c>
      <c r="E1325" s="50">
        <v>0</v>
      </c>
      <c r="F1325" s="50">
        <v>0</v>
      </c>
      <c r="G1325" s="50">
        <v>0</v>
      </c>
      <c r="H1325" s="50">
        <v>0</v>
      </c>
      <c r="I1325" s="50">
        <v>0</v>
      </c>
      <c r="J1325" s="50">
        <v>0</v>
      </c>
      <c r="K1325" s="50">
        <v>0</v>
      </c>
      <c r="L1325" s="50">
        <v>0</v>
      </c>
      <c r="M1325" s="50">
        <v>0</v>
      </c>
      <c r="N1325" s="50">
        <v>0</v>
      </c>
      <c r="O1325" s="50">
        <v>0</v>
      </c>
      <c r="P1325" s="50">
        <v>0</v>
      </c>
      <c r="Q1325" s="50">
        <v>0</v>
      </c>
      <c r="R1325" s="50">
        <v>0</v>
      </c>
    </row>
    <row r="1326" spans="1:18" x14ac:dyDescent="0.25">
      <c r="A1326" s="185" t="s">
        <v>837</v>
      </c>
      <c r="B1326" s="186" t="s">
        <v>832</v>
      </c>
      <c r="C1326" s="43">
        <v>0</v>
      </c>
      <c r="D1326" s="43">
        <v>0</v>
      </c>
      <c r="E1326" s="43">
        <v>0</v>
      </c>
      <c r="F1326" s="43">
        <v>0</v>
      </c>
      <c r="G1326" s="43">
        <v>0</v>
      </c>
      <c r="H1326" s="43">
        <v>0</v>
      </c>
      <c r="I1326" s="43">
        <v>0</v>
      </c>
      <c r="J1326" s="43">
        <v>0</v>
      </c>
      <c r="K1326" s="43">
        <v>0</v>
      </c>
      <c r="L1326" s="43">
        <v>0</v>
      </c>
      <c r="M1326" s="43">
        <v>0</v>
      </c>
      <c r="N1326" s="43">
        <v>0</v>
      </c>
      <c r="O1326" s="43">
        <v>0</v>
      </c>
      <c r="P1326" s="43">
        <v>0</v>
      </c>
      <c r="Q1326" s="43">
        <v>0</v>
      </c>
      <c r="R1326" s="43">
        <v>0</v>
      </c>
    </row>
    <row r="1327" spans="1:18" x14ac:dyDescent="0.25">
      <c r="A1327" s="187" t="s">
        <v>838</v>
      </c>
      <c r="B1327" s="188" t="s">
        <v>839</v>
      </c>
      <c r="D1327" s="50"/>
      <c r="E1327" s="189">
        <v>0</v>
      </c>
      <c r="F1327" s="50"/>
      <c r="G1327" s="189">
        <v>0</v>
      </c>
      <c r="H1327" s="50"/>
      <c r="I1327" s="189">
        <v>11563</v>
      </c>
      <c r="J1327" s="50"/>
      <c r="K1327" s="189">
        <v>12160</v>
      </c>
      <c r="L1327" s="50"/>
      <c r="M1327" s="190">
        <v>12763</v>
      </c>
    </row>
    <row r="1328" spans="1:18" x14ac:dyDescent="0.25">
      <c r="A1328" s="187" t="s">
        <v>840</v>
      </c>
      <c r="B1328" s="188" t="s">
        <v>839</v>
      </c>
      <c r="D1328" s="187">
        <v>0</v>
      </c>
      <c r="E1328" s="50"/>
      <c r="F1328" s="50"/>
      <c r="G1328" s="50"/>
      <c r="H1328" s="189">
        <v>11314</v>
      </c>
      <c r="I1328" s="50"/>
      <c r="J1328" s="50"/>
      <c r="K1328" s="50"/>
      <c r="L1328" s="189">
        <v>12537</v>
      </c>
      <c r="M1328" s="50"/>
    </row>
    <row r="1329" spans="1:18" x14ac:dyDescent="0.25">
      <c r="A1329" s="187" t="s">
        <v>841</v>
      </c>
      <c r="B1329" s="188" t="s">
        <v>839</v>
      </c>
      <c r="D1329" s="50">
        <v>0</v>
      </c>
      <c r="E1329" s="50"/>
      <c r="F1329" s="50"/>
      <c r="G1329" s="50"/>
      <c r="H1329" s="50"/>
      <c r="I1329" s="50"/>
      <c r="J1329" s="189">
        <v>35730</v>
      </c>
      <c r="K1329" s="50"/>
      <c r="L1329" s="50"/>
      <c r="M1329" s="50"/>
    </row>
    <row r="1330" spans="1:18" x14ac:dyDescent="0.25">
      <c r="A1330" s="187" t="s">
        <v>842</v>
      </c>
      <c r="B1330" s="188" t="s">
        <v>839</v>
      </c>
      <c r="D1330" s="187">
        <v>2823</v>
      </c>
      <c r="E1330" s="50"/>
      <c r="F1330" s="50"/>
      <c r="G1330" s="189">
        <v>0</v>
      </c>
      <c r="H1330" s="50"/>
      <c r="I1330" s="50"/>
      <c r="J1330" s="189">
        <v>11190</v>
      </c>
      <c r="K1330" s="50"/>
      <c r="L1330" s="50"/>
      <c r="M1330" s="190">
        <v>12813</v>
      </c>
    </row>
    <row r="1331" spans="1:18" x14ac:dyDescent="0.25">
      <c r="A1331" s="187" t="s">
        <v>843</v>
      </c>
      <c r="B1331" s="188" t="s">
        <v>839</v>
      </c>
      <c r="D1331" s="50"/>
      <c r="E1331" s="189">
        <v>10800</v>
      </c>
      <c r="F1331" s="50"/>
      <c r="G1331" s="50"/>
      <c r="H1331" s="189">
        <v>11314</v>
      </c>
      <c r="I1331" s="50"/>
      <c r="J1331" s="50"/>
      <c r="K1331" s="189">
        <v>12220</v>
      </c>
      <c r="L1331" s="50"/>
      <c r="M1331" s="50"/>
      <c r="N1331" s="191">
        <v>13134</v>
      </c>
      <c r="O1331" s="191">
        <v>13134</v>
      </c>
      <c r="P1331" s="191">
        <v>13134</v>
      </c>
      <c r="Q1331" s="191">
        <v>13134</v>
      </c>
      <c r="R1331" s="191">
        <v>13134</v>
      </c>
    </row>
    <row r="1332" spans="1:18" x14ac:dyDescent="0.25">
      <c r="A1332" s="187" t="s">
        <v>844</v>
      </c>
      <c r="B1332" s="188" t="s">
        <v>839</v>
      </c>
      <c r="D1332" s="50"/>
      <c r="E1332" s="50"/>
      <c r="F1332" s="192">
        <v>0</v>
      </c>
      <c r="G1332" s="50"/>
      <c r="H1332" s="50"/>
      <c r="I1332" s="189">
        <v>11586</v>
      </c>
      <c r="J1332" s="50"/>
      <c r="K1332" s="50"/>
      <c r="L1332" s="189">
        <v>12537</v>
      </c>
      <c r="M1332" s="50"/>
    </row>
    <row r="1333" spans="1:18" x14ac:dyDescent="0.25">
      <c r="A1333" s="187" t="s">
        <v>845</v>
      </c>
      <c r="B1333" s="188" t="s">
        <v>839</v>
      </c>
      <c r="D1333" s="50">
        <v>30000</v>
      </c>
      <c r="E1333" s="189">
        <v>0</v>
      </c>
      <c r="F1333" s="50">
        <v>11704</v>
      </c>
      <c r="G1333" s="189">
        <v>1582</v>
      </c>
      <c r="H1333" s="50"/>
      <c r="I1333" s="189">
        <v>34757</v>
      </c>
      <c r="J1333" s="50"/>
      <c r="K1333" s="189">
        <v>36659</v>
      </c>
      <c r="L1333" s="50"/>
      <c r="M1333" s="191">
        <v>38477</v>
      </c>
    </row>
    <row r="1334" spans="1:18" x14ac:dyDescent="0.25">
      <c r="A1334" s="187" t="s">
        <v>846</v>
      </c>
      <c r="B1334" s="188" t="s">
        <v>839</v>
      </c>
      <c r="C1334" s="43">
        <v>48770</v>
      </c>
      <c r="D1334" s="189">
        <v>30400</v>
      </c>
      <c r="E1334" s="189">
        <v>6841</v>
      </c>
      <c r="F1334" s="192">
        <v>17851</v>
      </c>
      <c r="G1334" s="189">
        <v>18987</v>
      </c>
      <c r="H1334" s="189">
        <v>23759</v>
      </c>
      <c r="I1334" s="189">
        <v>24330</v>
      </c>
      <c r="J1334" s="189">
        <v>28584</v>
      </c>
      <c r="K1334" s="189">
        <v>29327</v>
      </c>
      <c r="L1334" s="189">
        <v>33851</v>
      </c>
      <c r="M1334" s="191">
        <v>34662</v>
      </c>
      <c r="N1334" s="191">
        <v>35494</v>
      </c>
      <c r="O1334" s="191">
        <v>35494</v>
      </c>
      <c r="P1334" s="191">
        <v>35494</v>
      </c>
      <c r="Q1334" s="191">
        <v>35494</v>
      </c>
      <c r="R1334" s="191">
        <v>35494</v>
      </c>
    </row>
    <row r="1335" spans="1:18" x14ac:dyDescent="0.25">
      <c r="A1335" s="187" t="s">
        <v>846</v>
      </c>
      <c r="B1335" s="188"/>
      <c r="D1335" s="189">
        <v>12622</v>
      </c>
      <c r="E1335" s="189"/>
      <c r="F1335" s="192"/>
      <c r="G1335" s="189"/>
      <c r="H1335" s="189"/>
      <c r="I1335" s="189"/>
      <c r="J1335" s="189"/>
      <c r="K1335" s="189"/>
      <c r="L1335" s="189"/>
      <c r="M1335" s="191"/>
      <c r="N1335" s="191"/>
      <c r="O1335" s="191"/>
      <c r="P1335" s="191"/>
      <c r="Q1335" s="191"/>
      <c r="R1335" s="191"/>
    </row>
    <row r="1336" spans="1:18" x14ac:dyDescent="0.25">
      <c r="A1336" s="187" t="s">
        <v>847</v>
      </c>
      <c r="B1336" s="188" t="s">
        <v>839</v>
      </c>
      <c r="D1336" s="50">
        <v>31989</v>
      </c>
      <c r="E1336" s="189">
        <v>15899</v>
      </c>
      <c r="F1336" s="50"/>
      <c r="G1336" s="189">
        <v>21047</v>
      </c>
      <c r="H1336" s="50"/>
      <c r="I1336" s="189">
        <v>20854</v>
      </c>
      <c r="J1336" s="50"/>
      <c r="K1336" s="189">
        <v>21995</v>
      </c>
      <c r="L1336" s="50"/>
      <c r="M1336" s="191">
        <v>23085</v>
      </c>
    </row>
    <row r="1337" spans="1:18" x14ac:dyDescent="0.25">
      <c r="A1337" s="187" t="s">
        <v>848</v>
      </c>
      <c r="B1337" s="188" t="s">
        <v>839</v>
      </c>
      <c r="D1337" s="189"/>
      <c r="E1337" s="192">
        <v>79243</v>
      </c>
      <c r="F1337" s="192">
        <v>0</v>
      </c>
      <c r="G1337" s="50"/>
      <c r="H1337" s="50"/>
      <c r="I1337" s="50"/>
      <c r="J1337" s="50"/>
      <c r="K1337" s="50"/>
      <c r="L1337" s="50"/>
      <c r="M1337" s="50"/>
      <c r="N1337" s="50"/>
      <c r="O1337" s="50"/>
    </row>
    <row r="1338" spans="1:18" s="43" customFormat="1" x14ac:dyDescent="0.25">
      <c r="A1338" s="193" t="s">
        <v>849</v>
      </c>
      <c r="B1338" s="53"/>
      <c r="D1338" s="50"/>
      <c r="E1338" s="50"/>
      <c r="F1338" s="50"/>
      <c r="G1338" s="50"/>
      <c r="H1338" s="50"/>
      <c r="I1338" s="50"/>
      <c r="J1338" s="50"/>
      <c r="K1338" s="50"/>
      <c r="L1338" s="50"/>
      <c r="M1338" s="50"/>
      <c r="N1338" s="50"/>
      <c r="O1338" s="50"/>
      <c r="P1338" s="50"/>
      <c r="Q1338" s="50"/>
      <c r="R1338" s="50"/>
    </row>
    <row r="1339" spans="1:18" s="43" customFormat="1" x14ac:dyDescent="0.25">
      <c r="A1339" s="43" t="s">
        <v>850</v>
      </c>
      <c r="B1339" s="53"/>
      <c r="D1339" s="50">
        <v>2088</v>
      </c>
      <c r="E1339" s="50"/>
      <c r="F1339" s="50"/>
      <c r="G1339" s="50"/>
      <c r="H1339" s="50"/>
      <c r="I1339" s="50"/>
      <c r="J1339" s="50"/>
      <c r="K1339" s="50"/>
      <c r="L1339" s="50"/>
      <c r="M1339" s="50"/>
      <c r="N1339" s="50"/>
      <c r="O1339" s="50"/>
      <c r="P1339" s="50"/>
      <c r="Q1339" s="50"/>
      <c r="R1339" s="50"/>
    </row>
    <row r="1340" spans="1:18" s="43" customFormat="1" x14ac:dyDescent="0.25">
      <c r="B1340" s="53"/>
      <c r="D1340" s="50"/>
      <c r="E1340" s="50"/>
      <c r="F1340" s="50"/>
      <c r="G1340" s="50"/>
      <c r="H1340" s="50"/>
      <c r="I1340" s="50"/>
      <c r="J1340" s="50"/>
      <c r="K1340" s="50"/>
      <c r="L1340" s="50"/>
      <c r="M1340" s="50"/>
      <c r="N1340" s="50"/>
      <c r="O1340" s="50"/>
      <c r="P1340" s="50"/>
      <c r="Q1340" s="50"/>
      <c r="R1340" s="50"/>
    </row>
    <row r="1341" spans="1:18" x14ac:dyDescent="0.25">
      <c r="C1341" s="50"/>
      <c r="D1341" s="50"/>
      <c r="E1341" s="50"/>
      <c r="F1341" s="50"/>
      <c r="G1341" s="50"/>
      <c r="H1341" s="50"/>
      <c r="I1341" s="50"/>
      <c r="J1341" s="50"/>
      <c r="K1341" s="50"/>
      <c r="L1341" s="50"/>
      <c r="M1341" s="50"/>
      <c r="N1341" s="50"/>
      <c r="O1341" s="50"/>
      <c r="P1341" s="50"/>
      <c r="Q1341" s="50"/>
      <c r="R1341" s="50"/>
    </row>
    <row r="1342" spans="1:18" x14ac:dyDescent="0.25">
      <c r="A1342" s="41" t="s">
        <v>107</v>
      </c>
      <c r="B1342" s="44"/>
      <c r="C1342" s="51">
        <f t="shared" ref="C1342" si="758">SUM(C1322:C1341)</f>
        <v>48770</v>
      </c>
      <c r="D1342" s="51">
        <f>SUM(D1322:D1341)</f>
        <v>109922</v>
      </c>
      <c r="E1342" s="51">
        <f>SUM(E1322:E1341)</f>
        <v>112783</v>
      </c>
      <c r="F1342" s="51">
        <f t="shared" ref="F1342:R1342" si="759">SUM(F1322:F1341)</f>
        <v>29555</v>
      </c>
      <c r="G1342" s="51">
        <f t="shared" si="759"/>
        <v>41616</v>
      </c>
      <c r="H1342" s="51">
        <f t="shared" si="759"/>
        <v>46387</v>
      </c>
      <c r="I1342" s="51">
        <f t="shared" si="759"/>
        <v>103090</v>
      </c>
      <c r="J1342" s="51">
        <f t="shared" si="759"/>
        <v>75504</v>
      </c>
      <c r="K1342" s="51">
        <f t="shared" si="759"/>
        <v>112361</v>
      </c>
      <c r="L1342" s="51">
        <f t="shared" si="759"/>
        <v>58925</v>
      </c>
      <c r="M1342" s="51">
        <f t="shared" si="759"/>
        <v>121800</v>
      </c>
      <c r="N1342" s="51">
        <f t="shared" si="759"/>
        <v>48628</v>
      </c>
      <c r="O1342" s="51">
        <f t="shared" si="759"/>
        <v>48628</v>
      </c>
      <c r="P1342" s="51">
        <f t="shared" si="759"/>
        <v>48628</v>
      </c>
      <c r="Q1342" s="51">
        <f t="shared" si="759"/>
        <v>48628</v>
      </c>
      <c r="R1342" s="51">
        <f t="shared" si="759"/>
        <v>48628</v>
      </c>
    </row>
    <row r="1343" spans="1:18" x14ac:dyDescent="0.25">
      <c r="C1343" s="50"/>
      <c r="D1343" s="50"/>
      <c r="E1343" s="50"/>
      <c r="F1343" s="50"/>
      <c r="G1343" s="50"/>
      <c r="H1343" s="50"/>
      <c r="I1343" s="50"/>
      <c r="J1343" s="50"/>
      <c r="K1343" s="50"/>
      <c r="L1343" s="50"/>
      <c r="M1343" s="50"/>
      <c r="N1343" s="50"/>
      <c r="O1343" s="50"/>
      <c r="P1343" s="50"/>
      <c r="Q1343" s="50"/>
      <c r="R1343" s="50"/>
    </row>
    <row r="1344" spans="1:18" x14ac:dyDescent="0.25">
      <c r="A1344" s="41" t="s">
        <v>851</v>
      </c>
      <c r="B1344" s="44"/>
      <c r="C1344" s="51">
        <f t="shared" ref="C1344:R1344" si="760">C1342+C1312-C1267-C1318</f>
        <v>185917</v>
      </c>
      <c r="D1344" s="51">
        <f t="shared" si="760"/>
        <v>245873</v>
      </c>
      <c r="E1344" s="51">
        <f t="shared" si="760"/>
        <v>308044</v>
      </c>
      <c r="F1344" s="51">
        <f t="shared" si="760"/>
        <v>301609</v>
      </c>
      <c r="G1344" s="51">
        <f t="shared" si="760"/>
        <v>181947</v>
      </c>
      <c r="H1344" s="51">
        <f t="shared" si="760"/>
        <v>266487</v>
      </c>
      <c r="I1344" s="51">
        <f t="shared" si="760"/>
        <v>328415.59999999998</v>
      </c>
      <c r="J1344" s="51">
        <f t="shared" si="760"/>
        <v>306486.63939999999</v>
      </c>
      <c r="K1344" s="51">
        <f t="shared" si="760"/>
        <v>349288.92572059995</v>
      </c>
      <c r="L1344" s="51">
        <f t="shared" si="760"/>
        <v>301842.70139392378</v>
      </c>
      <c r="M1344" s="51">
        <f t="shared" si="760"/>
        <v>370683.04320793785</v>
      </c>
      <c r="N1344" s="51">
        <f t="shared" si="760"/>
        <v>303700.73576345085</v>
      </c>
      <c r="O1344" s="51">
        <f t="shared" si="760"/>
        <v>310523.03919611941</v>
      </c>
      <c r="P1344" s="51">
        <f t="shared" si="760"/>
        <v>317578.19303864421</v>
      </c>
      <c r="Q1344" s="51">
        <f t="shared" si="760"/>
        <v>324784.28912707273</v>
      </c>
      <c r="R1344" s="51">
        <f t="shared" si="760"/>
        <v>328704.69143111055</v>
      </c>
    </row>
    <row r="1345" spans="1:18" x14ac:dyDescent="0.25">
      <c r="C1345" s="50"/>
      <c r="D1345" s="50"/>
      <c r="E1345" s="50"/>
      <c r="F1345" s="50"/>
      <c r="G1345" s="50"/>
      <c r="H1345" s="50"/>
      <c r="I1345" s="50"/>
      <c r="J1345" s="50"/>
      <c r="K1345" s="50"/>
      <c r="L1345" s="50"/>
      <c r="M1345" s="50"/>
      <c r="N1345" s="50"/>
      <c r="O1345" s="50"/>
      <c r="P1345" s="50"/>
      <c r="Q1345" s="50"/>
      <c r="R1345" s="50"/>
    </row>
    <row r="1346" spans="1:18" x14ac:dyDescent="0.25">
      <c r="A1346" s="41" t="s">
        <v>416</v>
      </c>
      <c r="B1346" s="44"/>
      <c r="C1346" s="50"/>
      <c r="D1346" s="50"/>
      <c r="E1346" s="50"/>
      <c r="F1346" s="50"/>
      <c r="G1346" s="50"/>
      <c r="H1346" s="50"/>
      <c r="I1346" s="50"/>
      <c r="J1346" s="50"/>
      <c r="K1346" s="50"/>
      <c r="L1346" s="50"/>
      <c r="M1346" s="50"/>
      <c r="N1346" s="50"/>
      <c r="O1346" s="50"/>
      <c r="P1346" s="50"/>
      <c r="Q1346" s="50"/>
      <c r="R1346" s="50"/>
    </row>
    <row r="1347" spans="1:18" x14ac:dyDescent="0.25">
      <c r="A1347" s="41"/>
      <c r="B1347" s="44"/>
      <c r="C1347" s="50"/>
      <c r="D1347" s="50"/>
      <c r="E1347" s="50"/>
      <c r="F1347" s="50"/>
      <c r="G1347" s="50"/>
      <c r="H1347" s="50"/>
      <c r="I1347" s="50"/>
      <c r="J1347" s="50"/>
      <c r="K1347" s="50"/>
      <c r="L1347" s="50"/>
      <c r="M1347" s="50"/>
      <c r="N1347" s="50"/>
      <c r="O1347" s="50"/>
      <c r="P1347" s="50"/>
      <c r="Q1347" s="50"/>
      <c r="R1347" s="50"/>
    </row>
    <row r="1348" spans="1:18" x14ac:dyDescent="0.25">
      <c r="A1348" s="41" t="s">
        <v>202</v>
      </c>
      <c r="B1348" s="44"/>
      <c r="C1348" s="50"/>
      <c r="D1348" s="50"/>
      <c r="E1348" s="50"/>
      <c r="F1348" s="50"/>
      <c r="G1348" s="50"/>
      <c r="H1348" s="50"/>
      <c r="I1348" s="50"/>
      <c r="J1348" s="50"/>
      <c r="K1348" s="50"/>
      <c r="L1348" s="50"/>
      <c r="M1348" s="50"/>
      <c r="N1348" s="50"/>
      <c r="O1348" s="50"/>
      <c r="P1348" s="50"/>
      <c r="Q1348" s="50"/>
      <c r="R1348" s="50"/>
    </row>
    <row r="1349" spans="1:18" x14ac:dyDescent="0.25">
      <c r="C1349" s="50"/>
      <c r="D1349" s="50"/>
      <c r="E1349" s="50"/>
      <c r="F1349" s="50"/>
      <c r="G1349" s="50"/>
      <c r="H1349" s="50"/>
      <c r="I1349" s="50"/>
      <c r="J1349" s="50"/>
      <c r="K1349" s="50"/>
      <c r="L1349" s="50"/>
      <c r="M1349" s="50"/>
      <c r="N1349" s="50"/>
      <c r="O1349" s="50"/>
      <c r="P1349" s="50"/>
      <c r="Q1349" s="50"/>
      <c r="R1349" s="50"/>
    </row>
    <row r="1350" spans="1:18" x14ac:dyDescent="0.25">
      <c r="A1350" s="52" t="s">
        <v>422</v>
      </c>
      <c r="B1350" s="53"/>
      <c r="C1350" s="50"/>
      <c r="D1350" s="50"/>
      <c r="E1350" s="50"/>
      <c r="F1350" s="50"/>
      <c r="G1350" s="50"/>
      <c r="H1350" s="50"/>
      <c r="I1350" s="50"/>
      <c r="J1350" s="50"/>
      <c r="K1350" s="50"/>
      <c r="L1350" s="50"/>
      <c r="M1350" s="50"/>
      <c r="N1350" s="50"/>
      <c r="O1350" s="50"/>
      <c r="P1350" s="50"/>
      <c r="Q1350" s="50"/>
      <c r="R1350" s="50"/>
    </row>
    <row r="1351" spans="1:18" s="43" customFormat="1" x14ac:dyDescent="0.25">
      <c r="A1351" s="43" t="s">
        <v>852</v>
      </c>
      <c r="B1351" s="42"/>
      <c r="C1351" s="50">
        <v>0</v>
      </c>
      <c r="D1351" s="54"/>
      <c r="E1351" s="54"/>
      <c r="F1351" s="54"/>
      <c r="G1351" s="54"/>
      <c r="H1351" s="54">
        <v>22500</v>
      </c>
      <c r="I1351" s="54">
        <f>H1351*1.023</f>
        <v>23017.499999999996</v>
      </c>
      <c r="J1351" s="54">
        <f>I1351*1.024</f>
        <v>23569.919999999998</v>
      </c>
      <c r="K1351" s="54">
        <f>J1351*1.024</f>
        <v>24135.59808</v>
      </c>
      <c r="L1351" s="54">
        <f>K1351*1.023</f>
        <v>24690.716835839998</v>
      </c>
      <c r="M1351" s="54">
        <f>L1351*1.022</f>
        <v>25233.912606228478</v>
      </c>
      <c r="N1351" s="54">
        <f>M1351*1.023</f>
        <v>25814.29259617173</v>
      </c>
      <c r="O1351" s="54">
        <f>N1351*1.025</f>
        <v>26459.64991107602</v>
      </c>
      <c r="P1351" s="54">
        <f>O1351*1.025</f>
        <v>27121.141158852919</v>
      </c>
      <c r="Q1351" s="54">
        <f>P1351*1.024</f>
        <v>27772.048546665388</v>
      </c>
      <c r="R1351" s="54">
        <f>Q1351*1.024</f>
        <v>28438.577711785358</v>
      </c>
    </row>
    <row r="1352" spans="1:18" x14ac:dyDescent="0.25">
      <c r="A1352" s="41"/>
      <c r="B1352" s="44"/>
      <c r="C1352" s="50"/>
      <c r="D1352" s="50"/>
      <c r="E1352" s="50"/>
      <c r="F1352" s="50"/>
      <c r="G1352" s="50"/>
      <c r="H1352" s="50"/>
      <c r="I1352" s="50"/>
      <c r="J1352" s="50"/>
      <c r="K1352" s="50"/>
      <c r="L1352" s="50"/>
      <c r="M1352" s="50"/>
      <c r="N1352" s="50"/>
      <c r="O1352" s="50"/>
      <c r="P1352" s="50"/>
      <c r="Q1352" s="50"/>
      <c r="R1352" s="50"/>
    </row>
    <row r="1353" spans="1:18" x14ac:dyDescent="0.25">
      <c r="A1353" s="41" t="s">
        <v>216</v>
      </c>
      <c r="B1353" s="44"/>
      <c r="C1353" s="51">
        <f t="shared" ref="C1353" si="761">SUM(C1350:C1352)</f>
        <v>0</v>
      </c>
      <c r="D1353" s="51">
        <f t="shared" ref="D1353:E1353" si="762">SUM(D1350:D1352)</f>
        <v>0</v>
      </c>
      <c r="E1353" s="51">
        <f t="shared" si="762"/>
        <v>0</v>
      </c>
      <c r="F1353" s="51">
        <v>0</v>
      </c>
      <c r="G1353" s="51">
        <v>0</v>
      </c>
      <c r="H1353" s="51">
        <f t="shared" ref="H1353:P1353" si="763">SUM(H1350:H1352)</f>
        <v>22500</v>
      </c>
      <c r="I1353" s="51">
        <f t="shared" si="763"/>
        <v>23017.499999999996</v>
      </c>
      <c r="J1353" s="51">
        <f t="shared" si="763"/>
        <v>23569.919999999998</v>
      </c>
      <c r="K1353" s="51">
        <f t="shared" si="763"/>
        <v>24135.59808</v>
      </c>
      <c r="L1353" s="51">
        <f t="shared" si="763"/>
        <v>24690.716835839998</v>
      </c>
      <c r="M1353" s="51">
        <f t="shared" si="763"/>
        <v>25233.912606228478</v>
      </c>
      <c r="N1353" s="51">
        <f t="shared" si="763"/>
        <v>25814.29259617173</v>
      </c>
      <c r="O1353" s="51">
        <f t="shared" si="763"/>
        <v>26459.64991107602</v>
      </c>
      <c r="P1353" s="51">
        <f t="shared" si="763"/>
        <v>27121.141158852919</v>
      </c>
      <c r="Q1353" s="51">
        <f>SUM(Q1350:Q1352)</f>
        <v>27772.048546665388</v>
      </c>
      <c r="R1353" s="51">
        <f>SUM(R1350:R1352)</f>
        <v>28438.577711785358</v>
      </c>
    </row>
    <row r="1354" spans="1:18" x14ac:dyDescent="0.25">
      <c r="C1354" s="50"/>
      <c r="D1354" s="50"/>
      <c r="E1354" s="50"/>
      <c r="F1354" s="50"/>
      <c r="G1354" s="50"/>
      <c r="H1354" s="50"/>
      <c r="I1354" s="50"/>
      <c r="J1354" s="50"/>
      <c r="K1354" s="50"/>
      <c r="L1354" s="50"/>
      <c r="M1354" s="50"/>
      <c r="N1354" s="50"/>
      <c r="O1354" s="50"/>
      <c r="P1354" s="50"/>
      <c r="Q1354" s="50"/>
      <c r="R1354" s="50"/>
    </row>
    <row r="1355" spans="1:18" x14ac:dyDescent="0.25">
      <c r="A1355" s="41" t="s">
        <v>165</v>
      </c>
      <c r="B1355" s="44"/>
      <c r="C1355" s="50"/>
      <c r="D1355" s="50"/>
      <c r="E1355" s="50"/>
      <c r="F1355" s="50"/>
      <c r="G1355" s="50"/>
      <c r="H1355" s="50"/>
      <c r="I1355" s="50"/>
      <c r="J1355" s="50"/>
      <c r="K1355" s="50"/>
      <c r="L1355" s="50"/>
      <c r="M1355" s="50"/>
      <c r="N1355" s="50"/>
      <c r="O1355" s="50"/>
      <c r="P1355" s="50"/>
      <c r="Q1355" s="50"/>
      <c r="R1355" s="50"/>
    </row>
    <row r="1356" spans="1:18" x14ac:dyDescent="0.25">
      <c r="C1356" s="50"/>
      <c r="D1356" s="50"/>
      <c r="E1356" s="50"/>
      <c r="F1356" s="50"/>
      <c r="G1356" s="50"/>
      <c r="H1356" s="50"/>
      <c r="I1356" s="50"/>
      <c r="J1356" s="50"/>
      <c r="K1356" s="50"/>
      <c r="L1356" s="50"/>
      <c r="M1356" s="50"/>
      <c r="N1356" s="50"/>
      <c r="O1356" s="50"/>
      <c r="P1356" s="50"/>
      <c r="Q1356" s="50"/>
      <c r="R1356" s="50"/>
    </row>
    <row r="1357" spans="1:18" x14ac:dyDescent="0.25">
      <c r="A1357" s="52" t="s">
        <v>451</v>
      </c>
      <c r="B1357" s="53"/>
      <c r="C1357" s="50"/>
      <c r="D1357" s="50"/>
      <c r="E1357" s="50"/>
      <c r="F1357" s="50"/>
      <c r="G1357" s="50"/>
      <c r="H1357" s="50"/>
      <c r="I1357" s="50"/>
      <c r="J1357" s="50"/>
      <c r="K1357" s="50"/>
      <c r="L1357" s="50"/>
      <c r="M1357" s="50"/>
      <c r="N1357" s="50"/>
      <c r="O1357" s="50"/>
      <c r="P1357" s="50"/>
      <c r="Q1357" s="50"/>
      <c r="R1357" s="50"/>
    </row>
    <row r="1358" spans="1:18" x14ac:dyDescent="0.25">
      <c r="A1358" s="43" t="s">
        <v>853</v>
      </c>
      <c r="B1358" s="53"/>
      <c r="C1358" s="50"/>
      <c r="D1358" s="50"/>
      <c r="E1358" s="50"/>
      <c r="F1358" s="50"/>
      <c r="G1358" s="50"/>
      <c r="H1358" s="50"/>
      <c r="I1358" s="50"/>
      <c r="J1358" s="50"/>
      <c r="K1358" s="50"/>
      <c r="L1358" s="50"/>
      <c r="M1358" s="50"/>
      <c r="N1358" s="50"/>
      <c r="O1358" s="50"/>
      <c r="P1358" s="50"/>
      <c r="Q1358" s="50"/>
      <c r="R1358" s="50"/>
    </row>
    <row r="1359" spans="1:18" x14ac:dyDescent="0.25">
      <c r="A1359" s="52" t="s">
        <v>854</v>
      </c>
      <c r="B1359" s="53"/>
      <c r="C1359" s="54">
        <v>95093</v>
      </c>
      <c r="D1359" s="43">
        <v>92106</v>
      </c>
      <c r="E1359" s="43">
        <v>89696</v>
      </c>
      <c r="F1359" s="43">
        <v>91485</v>
      </c>
      <c r="G1359" s="43">
        <v>93961</v>
      </c>
      <c r="H1359" s="43">
        <v>96900</v>
      </c>
      <c r="I1359" s="50">
        <f>H1359*1.025</f>
        <v>99322.499999999985</v>
      </c>
      <c r="J1359" s="50">
        <f>I1359*1.029</f>
        <v>102202.85249999998</v>
      </c>
      <c r="K1359" s="54">
        <f>J1359*1.031</f>
        <v>105371.14092749998</v>
      </c>
      <c r="L1359" s="54">
        <f>K1359*1.033</f>
        <v>108848.38857810746</v>
      </c>
      <c r="M1359" s="54">
        <f>L1359*1.032</f>
        <v>112331.5370126069</v>
      </c>
      <c r="N1359" s="54">
        <f>M1359*1.03</f>
        <v>115701.48312298511</v>
      </c>
      <c r="O1359" s="54">
        <f>N1359*1.032</f>
        <v>119403.93058292064</v>
      </c>
      <c r="P1359" s="54">
        <f t="shared" ref="P1359:R1360" si="764">O1359*1.034</f>
        <v>123463.66422273994</v>
      </c>
      <c r="Q1359" s="54">
        <f t="shared" si="764"/>
        <v>127661.42880631311</v>
      </c>
      <c r="R1359" s="54">
        <f t="shared" si="764"/>
        <v>132001.91738572775</v>
      </c>
    </row>
    <row r="1360" spans="1:18" x14ac:dyDescent="0.25">
      <c r="A1360" s="43" t="s">
        <v>220</v>
      </c>
      <c r="C1360" s="50">
        <v>5723</v>
      </c>
      <c r="D1360" s="54">
        <v>12699</v>
      </c>
      <c r="E1360" s="43">
        <v>7684</v>
      </c>
      <c r="F1360" s="54">
        <v>8111</v>
      </c>
      <c r="G1360" s="54">
        <v>8983</v>
      </c>
      <c r="H1360" s="54">
        <v>9200</v>
      </c>
      <c r="I1360" s="50">
        <f>H1360*1.025</f>
        <v>9430</v>
      </c>
      <c r="J1360" s="50">
        <f>I1360*1.029</f>
        <v>9703.4699999999993</v>
      </c>
      <c r="K1360" s="54">
        <f>J1360*1.031</f>
        <v>10004.277569999998</v>
      </c>
      <c r="L1360" s="54">
        <f>K1360*1.033</f>
        <v>10334.418729809997</v>
      </c>
      <c r="M1360" s="54">
        <f>L1360*1.032</f>
        <v>10665.120129163917</v>
      </c>
      <c r="N1360" s="54">
        <f>M1360*1.03</f>
        <v>10985.073733038835</v>
      </c>
      <c r="O1360" s="54">
        <f>N1360*1.032</f>
        <v>11336.596092496078</v>
      </c>
      <c r="P1360" s="54">
        <f t="shared" si="764"/>
        <v>11722.040359640945</v>
      </c>
      <c r="Q1360" s="54">
        <f t="shared" si="764"/>
        <v>12120.589731868738</v>
      </c>
      <c r="R1360" s="54">
        <f t="shared" si="764"/>
        <v>12532.689782752275</v>
      </c>
    </row>
    <row r="1361" spans="1:18" x14ac:dyDescent="0.25">
      <c r="A1361" s="52" t="s">
        <v>855</v>
      </c>
      <c r="B1361" s="53"/>
      <c r="C1361" s="59"/>
      <c r="D1361" s="50">
        <v>34030</v>
      </c>
      <c r="E1361" s="64">
        <v>34802</v>
      </c>
      <c r="F1361" s="50"/>
      <c r="G1361" s="50"/>
      <c r="H1361" s="50"/>
      <c r="I1361" s="50"/>
      <c r="J1361" s="50"/>
      <c r="K1361" s="50"/>
      <c r="L1361" s="50"/>
      <c r="M1361" s="50"/>
      <c r="N1361" s="50"/>
      <c r="O1361" s="50"/>
      <c r="P1361" s="50"/>
      <c r="Q1361" s="50"/>
      <c r="R1361" s="50"/>
    </row>
    <row r="1362" spans="1:18" x14ac:dyDescent="0.25">
      <c r="A1362" s="150" t="s">
        <v>856</v>
      </c>
      <c r="B1362" s="127" t="s">
        <v>468</v>
      </c>
      <c r="C1362" s="194">
        <v>46045</v>
      </c>
      <c r="D1362" s="133">
        <v>46794</v>
      </c>
      <c r="E1362" s="133">
        <v>47968</v>
      </c>
      <c r="F1362" s="133">
        <v>48279</v>
      </c>
      <c r="G1362" s="133">
        <v>50641</v>
      </c>
      <c r="H1362" s="133">
        <v>52045</v>
      </c>
      <c r="I1362" s="133">
        <v>53294</v>
      </c>
      <c r="J1362" s="133">
        <v>54786</v>
      </c>
      <c r="K1362" s="133">
        <v>56210</v>
      </c>
      <c r="L1362" s="133">
        <v>57672</v>
      </c>
      <c r="M1362" s="195">
        <v>58653</v>
      </c>
      <c r="N1362" s="195">
        <v>60061</v>
      </c>
      <c r="O1362" s="195">
        <v>61562.524999999994</v>
      </c>
      <c r="P1362" s="195">
        <v>63101.588124999987</v>
      </c>
      <c r="Q1362" s="195">
        <v>63101.588124999987</v>
      </c>
      <c r="R1362" s="195">
        <v>63101.588124999987</v>
      </c>
    </row>
    <row r="1363" spans="1:18" x14ac:dyDescent="0.25">
      <c r="A1363" s="196" t="s">
        <v>857</v>
      </c>
      <c r="B1363" s="132" t="s">
        <v>487</v>
      </c>
      <c r="C1363" s="50"/>
      <c r="D1363" s="50"/>
      <c r="E1363" s="50"/>
      <c r="F1363" s="50"/>
      <c r="G1363" s="50">
        <v>0</v>
      </c>
      <c r="H1363" s="50"/>
      <c r="I1363" s="50"/>
      <c r="J1363" s="50"/>
      <c r="K1363" s="50"/>
      <c r="L1363" s="50"/>
      <c r="M1363" s="50"/>
    </row>
    <row r="1364" spans="1:18" x14ac:dyDescent="0.25">
      <c r="A1364" s="196" t="s">
        <v>858</v>
      </c>
      <c r="B1364" s="132" t="s">
        <v>487</v>
      </c>
      <c r="C1364" s="50"/>
      <c r="D1364" s="133">
        <v>4834</v>
      </c>
      <c r="E1364" s="133">
        <v>6600</v>
      </c>
      <c r="F1364" s="133">
        <v>0</v>
      </c>
      <c r="G1364" s="50">
        <v>1152</v>
      </c>
      <c r="H1364" s="50"/>
      <c r="I1364" s="134">
        <v>5793</v>
      </c>
      <c r="J1364" s="50"/>
      <c r="K1364" s="50"/>
      <c r="L1364" s="134">
        <v>6269</v>
      </c>
      <c r="M1364" s="50"/>
      <c r="O1364" s="195">
        <v>6705</v>
      </c>
    </row>
    <row r="1365" spans="1:18" x14ac:dyDescent="0.25">
      <c r="A1365" s="196" t="s">
        <v>859</v>
      </c>
      <c r="B1365" s="132" t="s">
        <v>487</v>
      </c>
      <c r="C1365" s="50"/>
      <c r="D1365" s="133">
        <v>0</v>
      </c>
      <c r="E1365" s="50"/>
      <c r="F1365" s="50"/>
      <c r="G1365" s="134">
        <v>1920</v>
      </c>
      <c r="H1365" s="50"/>
      <c r="I1365" s="50"/>
      <c r="J1365" s="134">
        <v>5995</v>
      </c>
      <c r="K1365" s="50"/>
      <c r="L1365" s="50"/>
      <c r="M1365" s="195">
        <v>6375</v>
      </c>
      <c r="P1365" s="195">
        <v>6845</v>
      </c>
      <c r="Q1365" s="195">
        <v>6845</v>
      </c>
      <c r="R1365" s="195">
        <v>6845</v>
      </c>
    </row>
    <row r="1366" spans="1:18" x14ac:dyDescent="0.25">
      <c r="A1366" s="196" t="s">
        <v>860</v>
      </c>
      <c r="B1366" s="132" t="s">
        <v>487</v>
      </c>
      <c r="C1366" s="50"/>
      <c r="D1366" s="50"/>
      <c r="E1366" s="50"/>
      <c r="F1366" s="133">
        <v>0</v>
      </c>
      <c r="G1366" s="50">
        <v>1920</v>
      </c>
      <c r="H1366" s="50"/>
      <c r="I1366" s="50"/>
      <c r="J1366" s="50"/>
      <c r="K1366" s="134">
        <v>6110</v>
      </c>
      <c r="L1366" s="50"/>
      <c r="M1366" s="50"/>
      <c r="P1366" s="195">
        <v>6852</v>
      </c>
      <c r="Q1366" s="195">
        <v>6852</v>
      </c>
      <c r="R1366" s="195">
        <v>6852</v>
      </c>
    </row>
    <row r="1367" spans="1:18" x14ac:dyDescent="0.25">
      <c r="A1367" s="196" t="s">
        <v>861</v>
      </c>
      <c r="B1367" s="132" t="s">
        <v>487</v>
      </c>
      <c r="C1367" s="50"/>
      <c r="D1367" s="50"/>
      <c r="E1367" s="134">
        <v>7279</v>
      </c>
      <c r="F1367" s="50"/>
      <c r="G1367" s="50">
        <v>0</v>
      </c>
      <c r="H1367" s="134">
        <v>5657</v>
      </c>
      <c r="I1367" s="50"/>
      <c r="J1367" s="50"/>
      <c r="K1367" s="134">
        <v>6110</v>
      </c>
      <c r="L1367" s="50"/>
      <c r="M1367" s="50"/>
      <c r="N1367" s="197">
        <v>6535</v>
      </c>
    </row>
    <row r="1368" spans="1:18" x14ac:dyDescent="0.25">
      <c r="A1368" s="196" t="s">
        <v>862</v>
      </c>
      <c r="B1368" s="132" t="s">
        <v>487</v>
      </c>
      <c r="C1368" s="50"/>
      <c r="D1368" s="50"/>
      <c r="E1368" s="134">
        <v>0</v>
      </c>
      <c r="F1368" s="50"/>
      <c r="G1368" s="50">
        <v>1920</v>
      </c>
      <c r="H1368" s="134">
        <v>5657</v>
      </c>
      <c r="I1368" s="50"/>
      <c r="J1368" s="50"/>
      <c r="K1368" s="134">
        <v>6110</v>
      </c>
      <c r="L1368" s="50"/>
      <c r="M1368" s="50"/>
      <c r="N1368" s="197">
        <v>6535</v>
      </c>
    </row>
    <row r="1369" spans="1:18" x14ac:dyDescent="0.25">
      <c r="A1369" s="196" t="s">
        <v>863</v>
      </c>
      <c r="B1369" s="132" t="s">
        <v>487</v>
      </c>
      <c r="C1369" s="50"/>
      <c r="D1369" s="133">
        <v>6370</v>
      </c>
      <c r="E1369" s="50"/>
      <c r="F1369" s="50"/>
      <c r="G1369" s="134">
        <v>1920</v>
      </c>
      <c r="H1369" s="50"/>
      <c r="I1369" s="50"/>
      <c r="J1369" s="134">
        <v>5995</v>
      </c>
      <c r="K1369" s="50"/>
      <c r="L1369" s="50"/>
      <c r="M1369" s="195">
        <v>6375</v>
      </c>
      <c r="P1369" s="195">
        <v>6845</v>
      </c>
      <c r="Q1369" s="195">
        <v>6845</v>
      </c>
      <c r="R1369" s="195">
        <v>6845</v>
      </c>
    </row>
    <row r="1370" spans="1:18" x14ac:dyDescent="0.25">
      <c r="A1370" s="196" t="s">
        <v>864</v>
      </c>
      <c r="B1370" s="132" t="s">
        <v>487</v>
      </c>
      <c r="C1370" s="50"/>
      <c r="D1370" s="50"/>
      <c r="E1370" s="134">
        <v>3827</v>
      </c>
      <c r="F1370" s="50"/>
      <c r="G1370" s="50">
        <v>0</v>
      </c>
      <c r="H1370" s="134">
        <v>5657</v>
      </c>
      <c r="I1370" s="50"/>
      <c r="J1370" s="50"/>
      <c r="K1370" s="134">
        <v>6110</v>
      </c>
      <c r="L1370" s="50"/>
      <c r="M1370" s="50"/>
      <c r="N1370" s="197">
        <v>6535</v>
      </c>
    </row>
    <row r="1371" spans="1:18" x14ac:dyDescent="0.25">
      <c r="A1371" s="150" t="s">
        <v>865</v>
      </c>
      <c r="B1371" s="127" t="s">
        <v>468</v>
      </c>
      <c r="C1371" s="194">
        <v>27213</v>
      </c>
      <c r="D1371" s="133">
        <v>27372</v>
      </c>
      <c r="E1371" s="133">
        <v>28767</v>
      </c>
      <c r="F1371" s="133">
        <v>30631</v>
      </c>
      <c r="G1371" s="133">
        <v>29661</v>
      </c>
      <c r="H1371" s="133">
        <v>31114</v>
      </c>
      <c r="I1371" s="133">
        <v>31860</v>
      </c>
      <c r="J1371" s="133">
        <v>32752</v>
      </c>
      <c r="K1371" s="133">
        <v>33604</v>
      </c>
      <c r="L1371" s="133">
        <v>34478</v>
      </c>
      <c r="M1371" s="195">
        <v>35065</v>
      </c>
      <c r="N1371" s="195">
        <v>35907</v>
      </c>
      <c r="O1371" s="195">
        <v>36805</v>
      </c>
      <c r="P1371" s="195">
        <v>37725</v>
      </c>
      <c r="Q1371" s="195">
        <v>37725</v>
      </c>
      <c r="R1371" s="195">
        <v>37725</v>
      </c>
    </row>
    <row r="1372" spans="1:18" x14ac:dyDescent="0.25">
      <c r="A1372" s="43" t="s">
        <v>866</v>
      </c>
      <c r="B1372" s="42" t="s">
        <v>867</v>
      </c>
      <c r="C1372" s="59"/>
      <c r="D1372" s="50">
        <v>3090</v>
      </c>
      <c r="E1372" s="50">
        <v>3165</v>
      </c>
      <c r="F1372" s="43">
        <v>3165</v>
      </c>
      <c r="G1372" s="43">
        <v>3730</v>
      </c>
      <c r="H1372" s="43">
        <v>5000</v>
      </c>
      <c r="I1372" s="54">
        <f>H1372*1.023</f>
        <v>5115</v>
      </c>
      <c r="J1372" s="54">
        <f>I1372*1.024</f>
        <v>5237.76</v>
      </c>
      <c r="K1372" s="54">
        <f>J1372*1.024</f>
        <v>5363.4662400000007</v>
      </c>
      <c r="L1372" s="54">
        <f>K1372*1.023</f>
        <v>5486.8259635200002</v>
      </c>
      <c r="M1372" s="54">
        <f>L1372*1.022</f>
        <v>5607.5361347174403</v>
      </c>
      <c r="N1372" s="54">
        <f>M1372*1.023</f>
        <v>5736.5094658159405</v>
      </c>
      <c r="O1372" s="54">
        <f>N1372*1.025</f>
        <v>5879.9222024613382</v>
      </c>
      <c r="P1372" s="54">
        <f>O1372*1.025</f>
        <v>6026.920257522871</v>
      </c>
      <c r="Q1372" s="54">
        <f>P1372*1.024</f>
        <v>6171.56634370342</v>
      </c>
      <c r="R1372" s="54">
        <f>Q1372*1.024</f>
        <v>6319.6839359523019</v>
      </c>
    </row>
    <row r="1373" spans="1:18" x14ac:dyDescent="0.25">
      <c r="A1373" s="43" t="s">
        <v>868</v>
      </c>
      <c r="B1373" s="42" t="s">
        <v>867</v>
      </c>
    </row>
    <row r="1374" spans="1:18" x14ac:dyDescent="0.25">
      <c r="A1374" s="43" t="s">
        <v>869</v>
      </c>
      <c r="B1374" s="42" t="s">
        <v>867</v>
      </c>
    </row>
    <row r="1375" spans="1:18" x14ac:dyDescent="0.25">
      <c r="A1375" s="43" t="s">
        <v>870</v>
      </c>
      <c r="B1375" s="198"/>
      <c r="D1375" s="43">
        <v>52828</v>
      </c>
      <c r="E1375" s="43">
        <v>19029</v>
      </c>
      <c r="F1375" s="43">
        <v>0</v>
      </c>
      <c r="G1375" s="43">
        <v>0</v>
      </c>
      <c r="H1375" s="54">
        <v>45000</v>
      </c>
      <c r="I1375" s="54">
        <f>H1375*1.023</f>
        <v>46034.999999999993</v>
      </c>
      <c r="J1375" s="54">
        <f>I1375*1.024</f>
        <v>47139.839999999997</v>
      </c>
      <c r="K1375" s="54">
        <f>J1375*1.024</f>
        <v>48271.19616</v>
      </c>
      <c r="L1375" s="54">
        <f>K1375*1.023</f>
        <v>49381.433671679995</v>
      </c>
      <c r="M1375" s="54">
        <f>L1375*1.022</f>
        <v>50467.825212456955</v>
      </c>
      <c r="N1375" s="54">
        <f>M1375*1.023</f>
        <v>51628.58519234346</v>
      </c>
      <c r="O1375" s="54">
        <f>N1375*1.025</f>
        <v>52919.299822152039</v>
      </c>
      <c r="P1375" s="54">
        <f>O1375*1.025</f>
        <v>54242.282317705838</v>
      </c>
      <c r="Q1375" s="54">
        <f>P1375*1.024</f>
        <v>55544.097093330776</v>
      </c>
      <c r="R1375" s="54">
        <f>Q1375*1.024</f>
        <v>56877.155423570715</v>
      </c>
    </row>
    <row r="1376" spans="1:18" x14ac:dyDescent="0.25">
      <c r="A1376" s="59" t="s">
        <v>871</v>
      </c>
      <c r="B1376" s="198"/>
      <c r="I1376" s="54"/>
      <c r="J1376" s="54"/>
      <c r="K1376" s="54"/>
      <c r="L1376" s="54"/>
      <c r="M1376" s="54"/>
      <c r="N1376" s="54"/>
      <c r="O1376" s="54"/>
      <c r="P1376" s="54"/>
      <c r="Q1376" s="54"/>
      <c r="R1376" s="54"/>
    </row>
    <row r="1377" spans="1:18" x14ac:dyDescent="0.25">
      <c r="A1377" s="59" t="s">
        <v>872</v>
      </c>
      <c r="B1377" s="198"/>
      <c r="E1377" s="68"/>
      <c r="I1377" s="54"/>
      <c r="J1377" s="54"/>
      <c r="K1377" s="54"/>
      <c r="L1377" s="54"/>
      <c r="M1377" s="54"/>
      <c r="N1377" s="54"/>
      <c r="O1377" s="54"/>
      <c r="P1377" s="54"/>
      <c r="Q1377" s="54"/>
      <c r="R1377" s="54"/>
    </row>
    <row r="1378" spans="1:18" x14ac:dyDescent="0.25">
      <c r="A1378" s="181" t="s">
        <v>806</v>
      </c>
      <c r="B1378" s="198"/>
      <c r="E1378" s="68"/>
      <c r="I1378" s="54"/>
      <c r="J1378" s="54"/>
      <c r="K1378" s="54"/>
      <c r="L1378" s="54"/>
      <c r="M1378" s="54"/>
      <c r="N1378" s="54"/>
      <c r="O1378" s="54"/>
      <c r="P1378" s="54"/>
      <c r="Q1378" s="54"/>
      <c r="R1378" s="54"/>
    </row>
    <row r="1379" spans="1:18" x14ac:dyDescent="0.25">
      <c r="A1379" s="59" t="s">
        <v>808</v>
      </c>
      <c r="B1379" s="198"/>
      <c r="E1379" s="68"/>
      <c r="I1379" s="54"/>
      <c r="J1379" s="54"/>
      <c r="K1379" s="54"/>
      <c r="L1379" s="54"/>
      <c r="M1379" s="54"/>
      <c r="N1379" s="54"/>
      <c r="O1379" s="54"/>
      <c r="P1379" s="54"/>
      <c r="Q1379" s="54"/>
      <c r="R1379" s="54"/>
    </row>
    <row r="1380" spans="1:18" x14ac:dyDescent="0.25">
      <c r="C1380" s="50"/>
      <c r="D1380" s="50"/>
      <c r="E1380" s="50"/>
      <c r="F1380" s="50"/>
      <c r="G1380" s="50"/>
      <c r="H1380" s="50"/>
      <c r="I1380" s="50"/>
      <c r="J1380" s="50"/>
      <c r="K1380" s="50"/>
      <c r="L1380" s="50"/>
      <c r="M1380" s="50"/>
      <c r="N1380" s="50"/>
      <c r="O1380" s="50"/>
      <c r="P1380" s="50"/>
      <c r="Q1380" s="50"/>
      <c r="R1380" s="50"/>
    </row>
    <row r="1381" spans="1:18" x14ac:dyDescent="0.25">
      <c r="A1381" s="41" t="s">
        <v>230</v>
      </c>
      <c r="B1381" s="44"/>
      <c r="C1381" s="51">
        <f t="shared" ref="C1381:Q1381" si="765">SUM(C1357:C1380)</f>
        <v>174074</v>
      </c>
      <c r="D1381" s="51">
        <f t="shared" si="765"/>
        <v>280123</v>
      </c>
      <c r="E1381" s="51">
        <f t="shared" si="765"/>
        <v>248817</v>
      </c>
      <c r="F1381" s="51">
        <f t="shared" ref="F1381:G1381" si="766">SUM(F1357:F1380)</f>
        <v>181671</v>
      </c>
      <c r="G1381" s="51">
        <f t="shared" si="766"/>
        <v>195808</v>
      </c>
      <c r="H1381" s="51">
        <f t="shared" si="765"/>
        <v>256230</v>
      </c>
      <c r="I1381" s="51">
        <f t="shared" si="765"/>
        <v>250849.5</v>
      </c>
      <c r="J1381" s="51">
        <f t="shared" si="765"/>
        <v>263811.92249999999</v>
      </c>
      <c r="K1381" s="51">
        <f t="shared" si="765"/>
        <v>283264.08089749998</v>
      </c>
      <c r="L1381" s="51">
        <f t="shared" si="765"/>
        <v>272470.06694311748</v>
      </c>
      <c r="M1381" s="51">
        <f t="shared" si="765"/>
        <v>285540.01848894521</v>
      </c>
      <c r="N1381" s="51">
        <f t="shared" si="765"/>
        <v>299624.65151418338</v>
      </c>
      <c r="O1381" s="51">
        <f t="shared" si="765"/>
        <v>294612.27370003005</v>
      </c>
      <c r="P1381" s="51">
        <f t="shared" si="765"/>
        <v>316823.4952826096</v>
      </c>
      <c r="Q1381" s="51">
        <f t="shared" si="765"/>
        <v>322866.27010021597</v>
      </c>
      <c r="R1381" s="51">
        <f t="shared" ref="R1381" si="767">SUM(R1357:R1380)</f>
        <v>329100.03465300304</v>
      </c>
    </row>
    <row r="1382" spans="1:18" x14ac:dyDescent="0.25">
      <c r="A1382" s="41"/>
      <c r="B1382" s="44"/>
      <c r="C1382" s="51"/>
      <c r="D1382" s="51"/>
      <c r="E1382" s="51"/>
      <c r="F1382" s="51"/>
      <c r="G1382" s="51"/>
      <c r="H1382" s="51"/>
      <c r="I1382" s="51"/>
      <c r="J1382" s="51"/>
      <c r="K1382" s="51"/>
      <c r="L1382" s="51"/>
      <c r="M1382" s="51"/>
      <c r="N1382" s="51"/>
      <c r="O1382" s="51"/>
      <c r="P1382" s="51"/>
      <c r="Q1382" s="51"/>
      <c r="R1382" s="51"/>
    </row>
    <row r="1383" spans="1:18" x14ac:dyDescent="0.25">
      <c r="A1383" s="41" t="s">
        <v>251</v>
      </c>
      <c r="B1383" s="44"/>
      <c r="C1383" s="51"/>
      <c r="D1383" s="51"/>
      <c r="E1383" s="51"/>
      <c r="F1383" s="51"/>
      <c r="G1383" s="51"/>
      <c r="H1383" s="51"/>
      <c r="I1383" s="51"/>
      <c r="J1383" s="51"/>
      <c r="K1383" s="51"/>
      <c r="L1383" s="51"/>
      <c r="M1383" s="51"/>
      <c r="N1383" s="51"/>
      <c r="O1383" s="51"/>
      <c r="P1383" s="51"/>
      <c r="Q1383" s="51"/>
      <c r="R1383" s="51"/>
    </row>
    <row r="1384" spans="1:18" x14ac:dyDescent="0.25">
      <c r="B1384" s="44"/>
      <c r="C1384" s="51"/>
      <c r="D1384" s="51"/>
      <c r="E1384" s="51"/>
      <c r="F1384" s="51"/>
      <c r="G1384" s="51"/>
      <c r="H1384" s="51"/>
      <c r="I1384" s="51"/>
      <c r="J1384" s="51"/>
      <c r="K1384" s="51"/>
      <c r="L1384" s="51"/>
      <c r="M1384" s="51"/>
      <c r="N1384" s="51"/>
      <c r="O1384" s="51"/>
      <c r="P1384" s="51"/>
      <c r="Q1384" s="51"/>
      <c r="R1384" s="51"/>
    </row>
    <row r="1385" spans="1:18" x14ac:dyDescent="0.25">
      <c r="A1385" s="61" t="s">
        <v>873</v>
      </c>
      <c r="B1385" s="129" t="s">
        <v>245</v>
      </c>
      <c r="C1385" s="51"/>
      <c r="D1385" s="61">
        <v>34030</v>
      </c>
      <c r="E1385" s="61">
        <v>34802</v>
      </c>
      <c r="F1385" s="52"/>
      <c r="G1385" s="52"/>
      <c r="H1385" s="52"/>
      <c r="I1385" s="51"/>
      <c r="J1385" s="51"/>
      <c r="K1385" s="51"/>
      <c r="L1385" s="51"/>
      <c r="M1385" s="51"/>
      <c r="N1385" s="51"/>
      <c r="O1385" s="51"/>
      <c r="P1385" s="51"/>
      <c r="Q1385" s="51"/>
      <c r="R1385" s="51"/>
    </row>
    <row r="1386" spans="1:18" x14ac:dyDescent="0.25">
      <c r="B1386" s="44"/>
      <c r="C1386" s="51"/>
      <c r="D1386" s="51"/>
      <c r="E1386" s="51"/>
      <c r="F1386" s="51"/>
      <c r="G1386" s="51"/>
      <c r="H1386" s="51"/>
      <c r="I1386" s="51"/>
      <c r="J1386" s="51"/>
      <c r="K1386" s="51"/>
      <c r="L1386" s="51"/>
      <c r="M1386" s="51"/>
      <c r="N1386" s="51"/>
      <c r="O1386" s="51"/>
      <c r="P1386" s="51"/>
      <c r="Q1386" s="51"/>
      <c r="R1386" s="51"/>
    </row>
    <row r="1387" spans="1:18" x14ac:dyDescent="0.25">
      <c r="A1387" s="41" t="s">
        <v>254</v>
      </c>
      <c r="B1387" s="44"/>
      <c r="C1387" s="51"/>
      <c r="D1387" s="51">
        <f t="shared" ref="D1387" si="768">SUM(D1384:D1386)</f>
        <v>34030</v>
      </c>
      <c r="E1387" s="51">
        <f>SUM(E1384:E1386)</f>
        <v>34802</v>
      </c>
      <c r="F1387" s="51">
        <v>0</v>
      </c>
      <c r="G1387" s="51">
        <v>0</v>
      </c>
      <c r="H1387" s="51">
        <v>0</v>
      </c>
      <c r="I1387" s="51">
        <v>0</v>
      </c>
      <c r="J1387" s="51">
        <v>0</v>
      </c>
      <c r="K1387" s="51">
        <v>0</v>
      </c>
      <c r="L1387" s="51">
        <v>0</v>
      </c>
      <c r="M1387" s="51">
        <v>0</v>
      </c>
      <c r="N1387" s="51">
        <v>0</v>
      </c>
      <c r="O1387" s="51">
        <v>0</v>
      </c>
      <c r="P1387" s="51">
        <v>0</v>
      </c>
      <c r="Q1387" s="51">
        <f t="shared" ref="Q1387:R1387" si="769">SUM(Q1384:Q1386)</f>
        <v>0</v>
      </c>
      <c r="R1387" s="51">
        <f t="shared" si="769"/>
        <v>0</v>
      </c>
    </row>
    <row r="1388" spans="1:18" x14ac:dyDescent="0.25">
      <c r="B1388" s="44"/>
      <c r="C1388" s="51"/>
      <c r="D1388" s="51"/>
      <c r="E1388" s="51"/>
      <c r="F1388" s="51"/>
      <c r="G1388" s="51"/>
      <c r="H1388" s="51"/>
      <c r="I1388" s="51"/>
      <c r="J1388" s="51"/>
      <c r="K1388" s="51"/>
      <c r="L1388" s="51"/>
      <c r="M1388" s="51"/>
      <c r="N1388" s="51"/>
      <c r="O1388" s="51"/>
      <c r="P1388" s="51"/>
      <c r="Q1388" s="51"/>
      <c r="R1388" s="51"/>
    </row>
    <row r="1389" spans="1:18" x14ac:dyDescent="0.25">
      <c r="A1389" s="41" t="s">
        <v>171</v>
      </c>
      <c r="B1389" s="44"/>
      <c r="C1389" s="51"/>
      <c r="D1389" s="51"/>
      <c r="E1389" s="51"/>
      <c r="F1389" s="51"/>
      <c r="G1389" s="51"/>
      <c r="H1389" s="51"/>
      <c r="I1389" s="51"/>
      <c r="J1389" s="51"/>
      <c r="K1389" s="51"/>
      <c r="L1389" s="51"/>
      <c r="M1389" s="51"/>
      <c r="N1389" s="51"/>
      <c r="O1389" s="51"/>
      <c r="P1389" s="51"/>
      <c r="Q1389" s="51"/>
      <c r="R1389" s="51"/>
    </row>
    <row r="1390" spans="1:18" x14ac:dyDescent="0.25">
      <c r="B1390" s="44"/>
      <c r="C1390" s="51"/>
      <c r="D1390" s="51"/>
      <c r="E1390" s="51"/>
      <c r="F1390" s="51"/>
      <c r="G1390" s="51"/>
      <c r="H1390" s="51"/>
      <c r="I1390" s="51"/>
      <c r="J1390" s="51"/>
      <c r="K1390" s="51"/>
      <c r="L1390" s="51"/>
      <c r="M1390" s="51"/>
      <c r="N1390" s="51"/>
      <c r="O1390" s="51"/>
      <c r="P1390" s="51"/>
      <c r="Q1390" s="51"/>
      <c r="R1390" s="51"/>
    </row>
    <row r="1391" spans="1:18" x14ac:dyDescent="0.25">
      <c r="A1391" s="61" t="s">
        <v>874</v>
      </c>
      <c r="B1391" s="129" t="s">
        <v>245</v>
      </c>
      <c r="C1391" s="51"/>
      <c r="D1391" s="61"/>
      <c r="E1391" s="61"/>
      <c r="F1391" s="52"/>
      <c r="G1391" s="52"/>
      <c r="H1391" s="52"/>
      <c r="I1391" s="51"/>
      <c r="J1391" s="51"/>
      <c r="K1391" s="51"/>
      <c r="L1391" s="51"/>
      <c r="M1391" s="51"/>
      <c r="N1391" s="51"/>
      <c r="O1391" s="51"/>
      <c r="P1391" s="51"/>
      <c r="Q1391" s="51"/>
      <c r="R1391" s="51"/>
    </row>
    <row r="1392" spans="1:18" x14ac:dyDescent="0.25">
      <c r="A1392" s="41"/>
      <c r="B1392" s="44"/>
      <c r="C1392" s="51"/>
      <c r="D1392" s="51"/>
      <c r="E1392" s="51"/>
      <c r="F1392" s="51"/>
      <c r="G1392" s="51"/>
      <c r="H1392" s="51"/>
      <c r="I1392" s="51"/>
      <c r="J1392" s="51"/>
      <c r="K1392" s="51"/>
      <c r="L1392" s="51"/>
      <c r="M1392" s="51"/>
      <c r="N1392" s="51"/>
      <c r="O1392" s="51"/>
      <c r="P1392" s="51"/>
      <c r="Q1392" s="51"/>
      <c r="R1392" s="51"/>
    </row>
    <row r="1393" spans="1:18" x14ac:dyDescent="0.25">
      <c r="A1393" s="41" t="s">
        <v>107</v>
      </c>
      <c r="B1393" s="44"/>
      <c r="C1393" s="51"/>
      <c r="D1393" s="51">
        <f t="shared" ref="D1393" si="770">SUM(D1390:D1392)</f>
        <v>0</v>
      </c>
      <c r="E1393" s="51">
        <f>SUM(E1390:E1392)</f>
        <v>0</v>
      </c>
      <c r="F1393" s="51">
        <v>0</v>
      </c>
      <c r="G1393" s="51">
        <v>0</v>
      </c>
      <c r="H1393" s="51">
        <v>0</v>
      </c>
      <c r="I1393" s="51">
        <v>0</v>
      </c>
      <c r="J1393" s="51">
        <v>0</v>
      </c>
      <c r="K1393" s="51">
        <v>0</v>
      </c>
      <c r="L1393" s="51">
        <v>0</v>
      </c>
      <c r="M1393" s="51">
        <v>0</v>
      </c>
      <c r="N1393" s="51">
        <v>0</v>
      </c>
      <c r="O1393" s="51">
        <v>0</v>
      </c>
      <c r="P1393" s="51">
        <v>0</v>
      </c>
      <c r="Q1393" s="51">
        <f t="shared" ref="Q1393:R1393" si="771">SUM(Q1390:Q1392)</f>
        <v>0</v>
      </c>
      <c r="R1393" s="51">
        <f t="shared" si="771"/>
        <v>0</v>
      </c>
    </row>
    <row r="1394" spans="1:18" x14ac:dyDescent="0.25">
      <c r="A1394" s="41"/>
      <c r="B1394" s="44"/>
      <c r="C1394" s="51"/>
      <c r="D1394" s="51"/>
      <c r="E1394" s="51"/>
      <c r="F1394" s="51"/>
      <c r="G1394" s="51"/>
      <c r="H1394" s="51"/>
      <c r="I1394" s="51"/>
      <c r="J1394" s="51"/>
      <c r="K1394" s="51"/>
      <c r="L1394" s="51"/>
      <c r="M1394" s="51"/>
      <c r="N1394" s="51"/>
      <c r="O1394" s="51"/>
      <c r="P1394" s="51"/>
      <c r="Q1394" s="51"/>
      <c r="R1394" s="51"/>
    </row>
    <row r="1395" spans="1:18" x14ac:dyDescent="0.25">
      <c r="C1395" s="50"/>
      <c r="D1395" s="50"/>
      <c r="E1395" s="50"/>
      <c r="F1395" s="50"/>
      <c r="G1395" s="50"/>
      <c r="H1395" s="50"/>
      <c r="I1395" s="50"/>
      <c r="J1395" s="50"/>
      <c r="K1395" s="50"/>
      <c r="L1395" s="50"/>
      <c r="M1395" s="50"/>
      <c r="N1395" s="50"/>
      <c r="O1395" s="50"/>
      <c r="P1395" s="50"/>
      <c r="Q1395" s="50"/>
      <c r="R1395" s="50"/>
    </row>
    <row r="1396" spans="1:18" x14ac:dyDescent="0.25">
      <c r="A1396" s="41" t="s">
        <v>637</v>
      </c>
      <c r="B1396" s="44"/>
      <c r="C1396" s="51">
        <f>C1381-C1353</f>
        <v>174074</v>
      </c>
      <c r="D1396" s="51">
        <f>D1381-D1353+D1391-D1387</f>
        <v>246093</v>
      </c>
      <c r="E1396" s="51">
        <f t="shared" ref="E1396:R1396" si="772">E1381-E1353+E1391-E1387</f>
        <v>214015</v>
      </c>
      <c r="F1396" s="51">
        <f t="shared" si="772"/>
        <v>181671</v>
      </c>
      <c r="G1396" s="51">
        <f t="shared" si="772"/>
        <v>195808</v>
      </c>
      <c r="H1396" s="51">
        <f t="shared" si="772"/>
        <v>233730</v>
      </c>
      <c r="I1396" s="51">
        <f t="shared" si="772"/>
        <v>227832</v>
      </c>
      <c r="J1396" s="51">
        <f t="shared" si="772"/>
        <v>240242.0025</v>
      </c>
      <c r="K1396" s="51">
        <f t="shared" si="772"/>
        <v>259128.48281749999</v>
      </c>
      <c r="L1396" s="51">
        <f t="shared" si="772"/>
        <v>247779.35010727748</v>
      </c>
      <c r="M1396" s="51">
        <f t="shared" si="772"/>
        <v>260306.10588271671</v>
      </c>
      <c r="N1396" s="51">
        <f t="shared" si="772"/>
        <v>273810.35891801165</v>
      </c>
      <c r="O1396" s="51">
        <f t="shared" si="772"/>
        <v>268152.62378895405</v>
      </c>
      <c r="P1396" s="51">
        <f t="shared" si="772"/>
        <v>289702.3541237567</v>
      </c>
      <c r="Q1396" s="51">
        <f t="shared" si="772"/>
        <v>295094.22155355057</v>
      </c>
      <c r="R1396" s="51">
        <f t="shared" si="772"/>
        <v>300661.45694121765</v>
      </c>
    </row>
    <row r="1397" spans="1:18" x14ac:dyDescent="0.25">
      <c r="A1397" s="41"/>
      <c r="B1397" s="44"/>
      <c r="C1397" s="51"/>
      <c r="D1397" s="51"/>
      <c r="E1397" s="51"/>
      <c r="F1397" s="51"/>
      <c r="G1397" s="51"/>
      <c r="H1397" s="51"/>
      <c r="I1397" s="51"/>
      <c r="J1397" s="51"/>
      <c r="K1397" s="51"/>
      <c r="L1397" s="51"/>
      <c r="M1397" s="51"/>
      <c r="N1397" s="51"/>
      <c r="O1397" s="51"/>
      <c r="P1397" s="51"/>
      <c r="Q1397" s="51"/>
      <c r="R1397" s="51"/>
    </row>
    <row r="1398" spans="1:18" x14ac:dyDescent="0.25">
      <c r="C1398" s="50"/>
      <c r="D1398" s="50"/>
      <c r="E1398" s="50"/>
      <c r="F1398" s="50"/>
      <c r="G1398" s="50"/>
      <c r="H1398" s="50"/>
      <c r="I1398" s="50"/>
      <c r="J1398" s="50"/>
      <c r="K1398" s="50"/>
      <c r="L1398" s="50"/>
      <c r="M1398" s="50"/>
      <c r="N1398" s="50"/>
      <c r="O1398" s="50"/>
      <c r="P1398" s="50"/>
      <c r="Q1398" s="50"/>
      <c r="R1398" s="50"/>
    </row>
    <row r="1399" spans="1:18" x14ac:dyDescent="0.25">
      <c r="A1399" s="41" t="s">
        <v>875</v>
      </c>
      <c r="C1399" s="51">
        <f t="shared" ref="C1399:R1399" si="773">C1396+C1344+C1231+C1155</f>
        <v>530306.43000000017</v>
      </c>
      <c r="D1399" s="51">
        <f t="shared" si="773"/>
        <v>748135</v>
      </c>
      <c r="E1399" s="51">
        <f t="shared" si="773"/>
        <v>729489</v>
      </c>
      <c r="F1399" s="51">
        <f t="shared" si="773"/>
        <v>635785</v>
      </c>
      <c r="G1399" s="51">
        <f t="shared" si="773"/>
        <v>450263</v>
      </c>
      <c r="H1399" s="51">
        <f t="shared" si="773"/>
        <v>720752</v>
      </c>
      <c r="I1399" s="51">
        <f t="shared" si="773"/>
        <v>786194.80000000063</v>
      </c>
      <c r="J1399" s="51">
        <f t="shared" si="773"/>
        <v>783894.80919999979</v>
      </c>
      <c r="K1399" s="51">
        <f t="shared" si="773"/>
        <v>854498.86987079936</v>
      </c>
      <c r="L1399" s="51">
        <f t="shared" si="773"/>
        <v>805919.38517032843</v>
      </c>
      <c r="M1399" s="51">
        <f t="shared" si="773"/>
        <v>899317.75786122901</v>
      </c>
      <c r="N1399" s="51">
        <f t="shared" si="773"/>
        <v>855675.42644090741</v>
      </c>
      <c r="O1399" s="51">
        <f t="shared" si="773"/>
        <v>867002.7833152673</v>
      </c>
      <c r="P1399" s="51">
        <f t="shared" si="773"/>
        <v>907309.72135950299</v>
      </c>
      <c r="Q1399" s="51">
        <f t="shared" si="773"/>
        <v>932459.9819338402</v>
      </c>
      <c r="R1399" s="51">
        <f t="shared" si="773"/>
        <v>954447.08844077308</v>
      </c>
    </row>
    <row r="1400" spans="1:18" x14ac:dyDescent="0.25">
      <c r="C1400" s="50"/>
      <c r="D1400" s="50"/>
      <c r="E1400" s="50"/>
      <c r="F1400" s="50"/>
      <c r="G1400" s="50"/>
      <c r="H1400" s="50"/>
      <c r="I1400" s="50"/>
      <c r="J1400" s="50"/>
      <c r="K1400" s="50"/>
      <c r="L1400" s="50"/>
      <c r="M1400" s="50"/>
      <c r="N1400" s="50"/>
      <c r="O1400" s="50"/>
      <c r="P1400" s="50"/>
      <c r="Q1400" s="50"/>
      <c r="R1400" s="50"/>
    </row>
    <row r="1401" spans="1:18" x14ac:dyDescent="0.25">
      <c r="C1401" s="50"/>
      <c r="D1401" s="50"/>
      <c r="E1401" s="50"/>
      <c r="F1401" s="50"/>
      <c r="G1401" s="50"/>
      <c r="H1401" s="50"/>
      <c r="I1401" s="50"/>
      <c r="J1401" s="50"/>
      <c r="K1401" s="50"/>
      <c r="L1401" s="50"/>
      <c r="M1401" s="50"/>
      <c r="N1401" s="50"/>
      <c r="O1401" s="50"/>
      <c r="P1401" s="50"/>
      <c r="Q1401" s="50"/>
      <c r="R1401" s="50"/>
    </row>
    <row r="1402" spans="1:18" x14ac:dyDescent="0.25">
      <c r="A1402" s="41" t="s">
        <v>162</v>
      </c>
      <c r="B1402" s="44"/>
      <c r="C1402" s="50"/>
      <c r="D1402" s="50"/>
      <c r="E1402" s="50"/>
      <c r="F1402" s="50"/>
      <c r="G1402" s="50"/>
      <c r="H1402" s="50"/>
      <c r="I1402" s="50"/>
      <c r="J1402" s="50"/>
      <c r="K1402" s="50"/>
      <c r="L1402" s="50"/>
      <c r="M1402" s="50"/>
      <c r="N1402" s="50"/>
      <c r="O1402" s="50"/>
      <c r="P1402" s="50"/>
      <c r="Q1402" s="50"/>
      <c r="R1402" s="50"/>
    </row>
    <row r="1403" spans="1:18" x14ac:dyDescent="0.25">
      <c r="C1403" s="50"/>
      <c r="D1403" s="50"/>
      <c r="E1403" s="50"/>
      <c r="F1403" s="50"/>
      <c r="G1403" s="50"/>
      <c r="H1403" s="50"/>
      <c r="I1403" s="50"/>
      <c r="J1403" s="50"/>
      <c r="K1403" s="50"/>
      <c r="L1403" s="50"/>
      <c r="M1403" s="50"/>
      <c r="N1403" s="50"/>
      <c r="O1403" s="50"/>
      <c r="P1403" s="50"/>
      <c r="Q1403" s="50"/>
      <c r="R1403" s="50"/>
    </row>
    <row r="1404" spans="1:18" x14ac:dyDescent="0.25">
      <c r="A1404" s="41" t="s">
        <v>790</v>
      </c>
      <c r="B1404" s="44"/>
      <c r="C1404" s="50"/>
      <c r="D1404" s="50"/>
      <c r="E1404" s="50"/>
      <c r="F1404" s="50"/>
      <c r="G1404" s="50"/>
      <c r="H1404" s="50"/>
      <c r="I1404" s="50"/>
      <c r="J1404" s="50"/>
      <c r="K1404" s="50"/>
      <c r="L1404" s="50"/>
      <c r="M1404" s="50"/>
      <c r="N1404" s="50"/>
      <c r="O1404" s="50"/>
      <c r="P1404" s="50"/>
      <c r="Q1404" s="50"/>
      <c r="R1404" s="50"/>
    </row>
    <row r="1405" spans="1:18" x14ac:dyDescent="0.25">
      <c r="A1405" s="41"/>
      <c r="B1405" s="44"/>
      <c r="C1405" s="50"/>
      <c r="D1405" s="50"/>
      <c r="E1405" s="50"/>
      <c r="F1405" s="50"/>
      <c r="G1405" s="50"/>
      <c r="H1405" s="50"/>
      <c r="I1405" s="50"/>
      <c r="J1405" s="50"/>
      <c r="K1405" s="50"/>
      <c r="L1405" s="50"/>
      <c r="M1405" s="50"/>
      <c r="N1405" s="50"/>
      <c r="O1405" s="50"/>
      <c r="P1405" s="50"/>
      <c r="Q1405" s="50"/>
      <c r="R1405" s="50"/>
    </row>
    <row r="1406" spans="1:18" x14ac:dyDescent="0.25">
      <c r="A1406" s="41" t="s">
        <v>202</v>
      </c>
      <c r="B1406" s="44"/>
      <c r="C1406" s="50"/>
      <c r="D1406" s="50"/>
      <c r="E1406" s="50"/>
      <c r="F1406" s="50"/>
      <c r="G1406" s="50"/>
      <c r="H1406" s="50"/>
      <c r="I1406" s="50"/>
      <c r="J1406" s="50"/>
      <c r="K1406" s="50"/>
      <c r="L1406" s="50"/>
      <c r="M1406" s="50"/>
      <c r="N1406" s="50"/>
      <c r="O1406" s="50"/>
      <c r="P1406" s="50"/>
      <c r="Q1406" s="50"/>
      <c r="R1406" s="50"/>
    </row>
    <row r="1407" spans="1:18" x14ac:dyDescent="0.25">
      <c r="C1407" s="50"/>
      <c r="D1407" s="50"/>
      <c r="E1407" s="50"/>
      <c r="F1407" s="50"/>
      <c r="G1407" s="50"/>
      <c r="H1407" s="50"/>
      <c r="I1407" s="50"/>
      <c r="J1407" s="50"/>
      <c r="K1407" s="50"/>
      <c r="L1407" s="50"/>
      <c r="M1407" s="50"/>
      <c r="N1407" s="50"/>
      <c r="O1407" s="50"/>
      <c r="P1407" s="50"/>
      <c r="Q1407" s="50"/>
      <c r="R1407" s="50"/>
    </row>
    <row r="1408" spans="1:18" x14ac:dyDescent="0.25">
      <c r="A1408" s="52" t="s">
        <v>876</v>
      </c>
      <c r="B1408" s="53"/>
      <c r="C1408" s="50"/>
      <c r="D1408" s="50"/>
      <c r="E1408" s="50"/>
      <c r="F1408" s="50"/>
      <c r="G1408" s="50"/>
      <c r="H1408" s="50"/>
      <c r="I1408" s="50"/>
      <c r="J1408" s="50"/>
      <c r="K1408" s="50"/>
      <c r="L1408" s="50"/>
      <c r="M1408" s="50"/>
      <c r="N1408" s="50"/>
      <c r="O1408" s="50"/>
      <c r="P1408" s="50"/>
      <c r="Q1408" s="50"/>
      <c r="R1408" s="50"/>
    </row>
    <row r="1409" spans="1:18" x14ac:dyDescent="0.25">
      <c r="A1409" s="52" t="s">
        <v>877</v>
      </c>
      <c r="B1409" s="53"/>
      <c r="C1409" s="54">
        <v>15849</v>
      </c>
      <c r="D1409" s="54">
        <v>17600</v>
      </c>
      <c r="E1409" s="43">
        <v>19618</v>
      </c>
      <c r="F1409" s="54">
        <v>17616</v>
      </c>
      <c r="G1409" s="54">
        <v>13402</v>
      </c>
      <c r="H1409" s="54">
        <v>18700</v>
      </c>
      <c r="I1409" s="54">
        <f>H1409*1.023</f>
        <v>19130.099999999999</v>
      </c>
      <c r="J1409" s="54">
        <f>I1409*1.024</f>
        <v>19589.222399999999</v>
      </c>
      <c r="K1409" s="54">
        <f>J1409*1.024</f>
        <v>20059.363737600001</v>
      </c>
      <c r="L1409" s="54">
        <f>K1409*1.023</f>
        <v>20520.729103564798</v>
      </c>
      <c r="M1409" s="54">
        <f>L1409*1.022</f>
        <v>20972.185143843224</v>
      </c>
      <c r="N1409" s="54">
        <f>M1409*1.023</f>
        <v>21454.545402151616</v>
      </c>
      <c r="O1409" s="54">
        <f>N1409*1.025</f>
        <v>21990.909037205405</v>
      </c>
      <c r="P1409" s="54">
        <f>O1409*1.025</f>
        <v>22540.681763135537</v>
      </c>
      <c r="Q1409" s="54">
        <f>P1409*1.024</f>
        <v>23081.658125450791</v>
      </c>
      <c r="R1409" s="54">
        <f>Q1409*1.024</f>
        <v>23635.617920461609</v>
      </c>
    </row>
    <row r="1410" spans="1:18" x14ac:dyDescent="0.25">
      <c r="A1410" s="52" t="s">
        <v>878</v>
      </c>
      <c r="B1410" s="53"/>
      <c r="C1410" s="54">
        <v>200</v>
      </c>
      <c r="D1410" s="54">
        <v>35</v>
      </c>
      <c r="E1410" s="43">
        <v>0</v>
      </c>
      <c r="F1410" s="54">
        <v>105</v>
      </c>
      <c r="G1410" s="54">
        <v>0</v>
      </c>
      <c r="H1410" s="54"/>
      <c r="I1410" s="54"/>
      <c r="J1410" s="54"/>
      <c r="K1410" s="54"/>
      <c r="L1410" s="54"/>
      <c r="M1410" s="54"/>
      <c r="N1410" s="54"/>
      <c r="O1410" s="54"/>
      <c r="P1410" s="54"/>
      <c r="Q1410" s="54"/>
      <c r="R1410" s="54"/>
    </row>
    <row r="1411" spans="1:18" x14ac:dyDescent="0.25">
      <c r="A1411" s="43" t="s">
        <v>879</v>
      </c>
      <c r="C1411" s="54">
        <v>1545</v>
      </c>
      <c r="D1411" s="54">
        <v>4532</v>
      </c>
      <c r="E1411" s="43">
        <v>8767</v>
      </c>
      <c r="F1411" s="54">
        <v>55212</v>
      </c>
      <c r="G1411" s="54">
        <v>22100</v>
      </c>
      <c r="H1411" s="54">
        <v>40000</v>
      </c>
      <c r="I1411" s="54">
        <f t="shared" ref="I1411:I1422" si="774">H1411*1.023</f>
        <v>40920</v>
      </c>
      <c r="J1411" s="54">
        <f t="shared" ref="J1411:K1412" si="775">I1411*1.024</f>
        <v>41902.080000000002</v>
      </c>
      <c r="K1411" s="54">
        <f t="shared" si="775"/>
        <v>42907.729920000005</v>
      </c>
      <c r="L1411" s="54">
        <f t="shared" ref="L1411:L1422" si="776">K1411*1.023</f>
        <v>43894.607708160001</v>
      </c>
      <c r="M1411" s="54">
        <f t="shared" ref="M1411:M1422" si="777">L1411*1.022</f>
        <v>44860.289077739522</v>
      </c>
      <c r="N1411" s="54">
        <f t="shared" ref="N1411:N1422" si="778">M1411*1.023</f>
        <v>45892.075726527524</v>
      </c>
      <c r="O1411" s="54">
        <f t="shared" ref="O1411:P1412" si="779">N1411*1.025</f>
        <v>47039.377619690706</v>
      </c>
      <c r="P1411" s="54">
        <f t="shared" si="779"/>
        <v>48215.362060182968</v>
      </c>
      <c r="Q1411" s="54">
        <f t="shared" ref="Q1411:R1422" si="780">P1411*1.024</f>
        <v>49372.53074962736</v>
      </c>
      <c r="R1411" s="54">
        <f t="shared" si="780"/>
        <v>50557.471487618415</v>
      </c>
    </row>
    <row r="1412" spans="1:18" x14ac:dyDescent="0.25">
      <c r="A1412" s="43" t="s">
        <v>880</v>
      </c>
      <c r="C1412" s="54">
        <v>17257</v>
      </c>
      <c r="D1412" s="54">
        <v>0</v>
      </c>
      <c r="E1412" s="43">
        <v>166</v>
      </c>
      <c r="F1412" s="54">
        <v>105</v>
      </c>
      <c r="G1412" s="54">
        <v>4723</v>
      </c>
      <c r="H1412" s="54">
        <v>2000</v>
      </c>
      <c r="I1412" s="54">
        <f t="shared" si="774"/>
        <v>2045.9999999999998</v>
      </c>
      <c r="J1412" s="54">
        <f t="shared" si="775"/>
        <v>2095.1039999999998</v>
      </c>
      <c r="K1412" s="54">
        <f t="shared" si="775"/>
        <v>2145.3864960000001</v>
      </c>
      <c r="L1412" s="54">
        <f t="shared" si="776"/>
        <v>2194.7303854080001</v>
      </c>
      <c r="M1412" s="54">
        <f t="shared" si="777"/>
        <v>2243.0144538869763</v>
      </c>
      <c r="N1412" s="54">
        <f t="shared" si="778"/>
        <v>2294.6037863263764</v>
      </c>
      <c r="O1412" s="54">
        <f t="shared" si="779"/>
        <v>2351.9688809845356</v>
      </c>
      <c r="P1412" s="54">
        <f t="shared" si="779"/>
        <v>2410.7681030091489</v>
      </c>
      <c r="Q1412" s="54">
        <f t="shared" si="780"/>
        <v>2468.6265374813684</v>
      </c>
      <c r="R1412" s="54">
        <f t="shared" si="780"/>
        <v>2527.8735743809211</v>
      </c>
    </row>
    <row r="1413" spans="1:18" x14ac:dyDescent="0.25">
      <c r="A1413" s="52" t="s">
        <v>881</v>
      </c>
      <c r="B1413" s="53"/>
      <c r="C1413" s="54"/>
      <c r="D1413" s="54"/>
      <c r="E1413" s="43">
        <v>0</v>
      </c>
      <c r="F1413" s="54"/>
      <c r="G1413" s="54">
        <v>0</v>
      </c>
      <c r="H1413" s="54"/>
      <c r="I1413" s="54"/>
      <c r="J1413" s="54"/>
      <c r="K1413" s="54"/>
      <c r="L1413" s="54"/>
      <c r="M1413" s="54"/>
      <c r="N1413" s="54"/>
      <c r="O1413" s="54"/>
      <c r="P1413" s="54"/>
      <c r="Q1413" s="54"/>
      <c r="R1413" s="54"/>
    </row>
    <row r="1414" spans="1:18" x14ac:dyDescent="0.25">
      <c r="A1414" s="52" t="s">
        <v>882</v>
      </c>
      <c r="B1414" s="53"/>
      <c r="C1414" s="59">
        <v>27000</v>
      </c>
      <c r="D1414" s="54">
        <v>28000</v>
      </c>
      <c r="E1414" s="43">
        <v>29000</v>
      </c>
      <c r="F1414" s="54">
        <v>30000</v>
      </c>
      <c r="G1414" s="54">
        <v>30000</v>
      </c>
      <c r="H1414" s="54">
        <v>31000</v>
      </c>
      <c r="I1414" s="54">
        <f t="shared" si="774"/>
        <v>31712.999999999996</v>
      </c>
      <c r="J1414" s="54">
        <f t="shared" ref="J1414:K1414" si="781">I1414*1.024</f>
        <v>32474.111999999997</v>
      </c>
      <c r="K1414" s="54">
        <f t="shared" si="781"/>
        <v>33253.490687999998</v>
      </c>
      <c r="L1414" s="54">
        <f t="shared" si="776"/>
        <v>34018.320973823997</v>
      </c>
      <c r="M1414" s="54">
        <f t="shared" si="777"/>
        <v>34766.724035248124</v>
      </c>
      <c r="N1414" s="54">
        <f t="shared" si="778"/>
        <v>35566.358688058826</v>
      </c>
      <c r="O1414" s="54">
        <f t="shared" ref="O1414:P1414" si="782">N1414*1.025</f>
        <v>36455.517655260293</v>
      </c>
      <c r="P1414" s="54">
        <f t="shared" si="782"/>
        <v>37366.905596641795</v>
      </c>
      <c r="Q1414" s="54">
        <f t="shared" si="780"/>
        <v>38263.711330961196</v>
      </c>
      <c r="R1414" s="54">
        <f t="shared" si="780"/>
        <v>39182.040402904262</v>
      </c>
    </row>
    <row r="1415" spans="1:18" x14ac:dyDescent="0.25">
      <c r="A1415" s="43" t="s">
        <v>883</v>
      </c>
      <c r="C1415" s="59">
        <v>15000</v>
      </c>
      <c r="D1415" s="50">
        <v>15000</v>
      </c>
      <c r="E1415" s="43">
        <v>15000</v>
      </c>
      <c r="F1415" s="50">
        <v>15000</v>
      </c>
      <c r="G1415" s="50">
        <v>15000</v>
      </c>
      <c r="H1415" s="50">
        <v>15000</v>
      </c>
      <c r="I1415" s="50">
        <v>15000</v>
      </c>
      <c r="J1415" s="50">
        <v>15000</v>
      </c>
      <c r="K1415" s="50">
        <v>15000</v>
      </c>
      <c r="L1415" s="50">
        <v>15000</v>
      </c>
      <c r="M1415" s="50">
        <v>15000</v>
      </c>
      <c r="N1415" s="50">
        <v>15000</v>
      </c>
      <c r="O1415" s="50">
        <v>15000</v>
      </c>
      <c r="P1415" s="50">
        <v>15000</v>
      </c>
      <c r="Q1415" s="50">
        <v>15000</v>
      </c>
      <c r="R1415" s="50">
        <v>15000</v>
      </c>
    </row>
    <row r="1416" spans="1:18" x14ac:dyDescent="0.25">
      <c r="A1416" s="43" t="s">
        <v>884</v>
      </c>
      <c r="C1416" s="54">
        <v>69067</v>
      </c>
      <c r="D1416" s="50">
        <v>143517</v>
      </c>
      <c r="E1416" s="43">
        <v>142038</v>
      </c>
      <c r="F1416">
        <v>212759</v>
      </c>
      <c r="G1416" s="43">
        <v>146135</v>
      </c>
      <c r="H1416" s="43">
        <v>146700</v>
      </c>
      <c r="I1416" s="54">
        <f t="shared" si="774"/>
        <v>150074.09999999998</v>
      </c>
      <c r="J1416" s="54">
        <f t="shared" ref="J1416:K1422" si="783">I1416*1.024</f>
        <v>153675.87839999999</v>
      </c>
      <c r="K1416" s="54">
        <f t="shared" si="783"/>
        <v>157364.09948159999</v>
      </c>
      <c r="L1416" s="54">
        <f t="shared" si="776"/>
        <v>160983.47376967678</v>
      </c>
      <c r="M1416" s="54">
        <f t="shared" si="777"/>
        <v>164525.11019260969</v>
      </c>
      <c r="N1416" s="54">
        <f t="shared" si="778"/>
        <v>168309.18772703971</v>
      </c>
      <c r="O1416" s="54">
        <f t="shared" ref="O1416:P1422" si="784">N1416*1.025</f>
        <v>172516.9174202157</v>
      </c>
      <c r="P1416" s="54">
        <f t="shared" si="784"/>
        <v>176829.84035572107</v>
      </c>
      <c r="Q1416" s="54">
        <f t="shared" si="780"/>
        <v>181073.75652425838</v>
      </c>
      <c r="R1416" s="54">
        <f t="shared" si="780"/>
        <v>185419.52668084059</v>
      </c>
    </row>
    <row r="1417" spans="1:18" x14ac:dyDescent="0.25">
      <c r="A1417" s="43" t="s">
        <v>885</v>
      </c>
      <c r="C1417" s="54">
        <v>0</v>
      </c>
      <c r="D1417" s="50">
        <v>406159</v>
      </c>
      <c r="E1417" s="43">
        <v>193386</v>
      </c>
      <c r="F1417" s="50">
        <v>20253</v>
      </c>
      <c r="G1417" s="50">
        <v>0</v>
      </c>
      <c r="H1417" s="50">
        <v>0</v>
      </c>
      <c r="I1417" s="54">
        <f t="shared" si="774"/>
        <v>0</v>
      </c>
      <c r="J1417" s="54">
        <f t="shared" si="783"/>
        <v>0</v>
      </c>
      <c r="K1417" s="54">
        <f t="shared" si="783"/>
        <v>0</v>
      </c>
      <c r="L1417" s="54">
        <f t="shared" si="776"/>
        <v>0</v>
      </c>
      <c r="M1417" s="54">
        <f t="shared" si="777"/>
        <v>0</v>
      </c>
      <c r="N1417" s="54">
        <f t="shared" si="778"/>
        <v>0</v>
      </c>
      <c r="O1417" s="54">
        <f t="shared" si="784"/>
        <v>0</v>
      </c>
      <c r="P1417" s="54">
        <f t="shared" si="784"/>
        <v>0</v>
      </c>
      <c r="Q1417" s="54">
        <f t="shared" si="780"/>
        <v>0</v>
      </c>
      <c r="R1417" s="54">
        <f t="shared" si="780"/>
        <v>0</v>
      </c>
    </row>
    <row r="1418" spans="1:18" x14ac:dyDescent="0.25">
      <c r="A1418" s="43" t="s">
        <v>886</v>
      </c>
      <c r="C1418" s="54">
        <v>5891</v>
      </c>
      <c r="D1418" s="54">
        <v>5547</v>
      </c>
      <c r="E1418" s="43">
        <v>5968</v>
      </c>
      <c r="F1418" s="54">
        <v>5331</v>
      </c>
      <c r="G1418" s="54">
        <v>5500</v>
      </c>
      <c r="H1418" s="54">
        <v>5500</v>
      </c>
      <c r="I1418" s="54">
        <f t="shared" si="774"/>
        <v>5626.4999999999991</v>
      </c>
      <c r="J1418" s="54">
        <f t="shared" si="783"/>
        <v>5761.5359999999991</v>
      </c>
      <c r="K1418" s="54">
        <f t="shared" si="783"/>
        <v>5899.8128639999995</v>
      </c>
      <c r="L1418" s="54">
        <f t="shared" si="776"/>
        <v>6035.5085598719988</v>
      </c>
      <c r="M1418" s="54">
        <f t="shared" si="777"/>
        <v>6168.2897481891832</v>
      </c>
      <c r="N1418" s="54">
        <f t="shared" si="778"/>
        <v>6310.1604123975339</v>
      </c>
      <c r="O1418" s="54">
        <f t="shared" si="784"/>
        <v>6467.9144227074721</v>
      </c>
      <c r="P1418" s="54">
        <f t="shared" si="784"/>
        <v>6629.612283275158</v>
      </c>
      <c r="Q1418" s="54">
        <f t="shared" si="780"/>
        <v>6788.7229780737616</v>
      </c>
      <c r="R1418" s="54">
        <f t="shared" si="780"/>
        <v>6951.6523295475317</v>
      </c>
    </row>
    <row r="1419" spans="1:18" x14ac:dyDescent="0.25">
      <c r="A1419" s="43" t="s">
        <v>887</v>
      </c>
      <c r="C1419" s="54">
        <v>16379</v>
      </c>
      <c r="D1419" s="54">
        <v>14755</v>
      </c>
      <c r="E1419" s="43">
        <v>7544</v>
      </c>
      <c r="F1419" s="54">
        <v>14385</v>
      </c>
      <c r="G1419" s="54">
        <v>5400</v>
      </c>
      <c r="H1419" s="54">
        <v>15000</v>
      </c>
      <c r="I1419" s="54">
        <f t="shared" si="774"/>
        <v>15344.999999999998</v>
      </c>
      <c r="J1419" s="54">
        <f t="shared" si="783"/>
        <v>15713.279999999999</v>
      </c>
      <c r="K1419" s="54">
        <f t="shared" si="783"/>
        <v>16090.398719999999</v>
      </c>
      <c r="L1419" s="54">
        <f t="shared" si="776"/>
        <v>16460.477890559996</v>
      </c>
      <c r="M1419" s="54">
        <f t="shared" si="777"/>
        <v>16822.608404152317</v>
      </c>
      <c r="N1419" s="54">
        <f t="shared" si="778"/>
        <v>17209.528397447819</v>
      </c>
      <c r="O1419" s="54">
        <f t="shared" si="784"/>
        <v>17639.766607384012</v>
      </c>
      <c r="P1419" s="54">
        <f t="shared" si="784"/>
        <v>18080.76077256861</v>
      </c>
      <c r="Q1419" s="54">
        <f t="shared" si="780"/>
        <v>18514.699031110256</v>
      </c>
      <c r="R1419" s="54">
        <f t="shared" si="780"/>
        <v>18959.051807856904</v>
      </c>
    </row>
    <row r="1420" spans="1:18" x14ac:dyDescent="0.25">
      <c r="A1420" s="43" t="s">
        <v>888</v>
      </c>
      <c r="C1420" s="54">
        <v>455185</v>
      </c>
      <c r="D1420" s="54">
        <v>341858</v>
      </c>
      <c r="E1420" s="43">
        <v>97196</v>
      </c>
      <c r="F1420" s="54">
        <v>171644</v>
      </c>
      <c r="G1420" s="50">
        <v>293759</v>
      </c>
      <c r="H1420" s="50">
        <v>200000</v>
      </c>
      <c r="I1420" s="54">
        <f t="shared" si="774"/>
        <v>204599.99999999997</v>
      </c>
      <c r="J1420" s="54">
        <f t="shared" si="783"/>
        <v>209510.39999999997</v>
      </c>
      <c r="K1420" s="54">
        <f t="shared" si="783"/>
        <v>214538.64959999998</v>
      </c>
      <c r="L1420" s="54">
        <f t="shared" si="776"/>
        <v>219473.03854079996</v>
      </c>
      <c r="M1420" s="54">
        <f t="shared" si="777"/>
        <v>224301.44538869755</v>
      </c>
      <c r="N1420" s="54">
        <f t="shared" si="778"/>
        <v>229460.37863263758</v>
      </c>
      <c r="O1420" s="54">
        <f t="shared" si="784"/>
        <v>235196.88809845349</v>
      </c>
      <c r="P1420" s="54">
        <f t="shared" si="784"/>
        <v>241076.8103009148</v>
      </c>
      <c r="Q1420" s="54">
        <f t="shared" si="780"/>
        <v>246862.65374813677</v>
      </c>
      <c r="R1420" s="54">
        <f t="shared" si="780"/>
        <v>252787.35743809206</v>
      </c>
    </row>
    <row r="1421" spans="1:18" x14ac:dyDescent="0.25">
      <c r="A1421" s="43" t="s">
        <v>889</v>
      </c>
      <c r="C1421" s="54"/>
      <c r="D1421" s="54"/>
      <c r="F1421" s="50">
        <v>0</v>
      </c>
      <c r="G1421" s="50">
        <v>0</v>
      </c>
      <c r="H1421" s="50">
        <v>11000</v>
      </c>
      <c r="I1421" s="54">
        <f t="shared" si="774"/>
        <v>11252.999999999998</v>
      </c>
      <c r="J1421" s="54">
        <f t="shared" si="783"/>
        <v>11523.071999999998</v>
      </c>
      <c r="K1421" s="54">
        <f t="shared" si="783"/>
        <v>11799.625727999999</v>
      </c>
      <c r="L1421" s="54">
        <f t="shared" si="776"/>
        <v>12071.017119743998</v>
      </c>
      <c r="M1421" s="54">
        <f t="shared" si="777"/>
        <v>12336.579496378366</v>
      </c>
      <c r="N1421" s="54">
        <f t="shared" si="778"/>
        <v>12620.320824795068</v>
      </c>
      <c r="O1421" s="54">
        <f t="shared" si="784"/>
        <v>12935.828845414944</v>
      </c>
      <c r="P1421" s="54">
        <f t="shared" si="784"/>
        <v>13259.224566550316</v>
      </c>
      <c r="Q1421" s="54">
        <f t="shared" si="780"/>
        <v>13577.445956147523</v>
      </c>
      <c r="R1421" s="54">
        <f t="shared" si="780"/>
        <v>13903.304659095063</v>
      </c>
    </row>
    <row r="1422" spans="1:18" x14ac:dyDescent="0.25">
      <c r="A1422" s="43" t="s">
        <v>890</v>
      </c>
      <c r="C1422" s="54">
        <v>41000</v>
      </c>
      <c r="D1422" s="54">
        <v>42000</v>
      </c>
      <c r="E1422" s="43">
        <v>43000</v>
      </c>
      <c r="F1422" s="54">
        <v>44000</v>
      </c>
      <c r="G1422" s="54">
        <v>45000</v>
      </c>
      <c r="H1422" s="54">
        <v>45000</v>
      </c>
      <c r="I1422" s="54">
        <f t="shared" si="774"/>
        <v>46034.999999999993</v>
      </c>
      <c r="J1422" s="54">
        <f t="shared" si="783"/>
        <v>47139.839999999997</v>
      </c>
      <c r="K1422" s="54">
        <f t="shared" si="783"/>
        <v>48271.19616</v>
      </c>
      <c r="L1422" s="54">
        <f t="shared" si="776"/>
        <v>49381.433671679995</v>
      </c>
      <c r="M1422" s="54">
        <f t="shared" si="777"/>
        <v>50467.825212456955</v>
      </c>
      <c r="N1422" s="54">
        <f t="shared" si="778"/>
        <v>51628.58519234346</v>
      </c>
      <c r="O1422" s="54">
        <f t="shared" si="784"/>
        <v>52919.299822152039</v>
      </c>
      <c r="P1422" s="54">
        <f t="shared" si="784"/>
        <v>54242.282317705838</v>
      </c>
      <c r="Q1422" s="54">
        <f t="shared" si="780"/>
        <v>55544.097093330776</v>
      </c>
      <c r="R1422" s="54">
        <f t="shared" si="780"/>
        <v>56877.155423570715</v>
      </c>
    </row>
    <row r="1423" spans="1:18" x14ac:dyDescent="0.25">
      <c r="A1423" s="43" t="s">
        <v>891</v>
      </c>
      <c r="B1423" s="53"/>
      <c r="C1423" s="43">
        <v>0</v>
      </c>
      <c r="D1423" s="50">
        <f>C1423*1.038</f>
        <v>0</v>
      </c>
      <c r="E1423" s="43">
        <v>0</v>
      </c>
      <c r="F1423" s="50">
        <v>0</v>
      </c>
      <c r="G1423" s="50">
        <v>0</v>
      </c>
      <c r="H1423" s="50">
        <v>0</v>
      </c>
      <c r="I1423" s="50">
        <v>0</v>
      </c>
      <c r="J1423" s="50">
        <v>0</v>
      </c>
      <c r="K1423" s="50">
        <v>0</v>
      </c>
      <c r="L1423" s="50">
        <v>0</v>
      </c>
      <c r="M1423" s="50">
        <v>0</v>
      </c>
      <c r="N1423" s="50">
        <v>0</v>
      </c>
      <c r="O1423" s="50">
        <v>0</v>
      </c>
      <c r="P1423" s="50">
        <v>0</v>
      </c>
      <c r="Q1423" s="50">
        <f>P1423*1.042</f>
        <v>0</v>
      </c>
      <c r="R1423" s="50">
        <f>Q1423*1.042</f>
        <v>0</v>
      </c>
    </row>
    <row r="1424" spans="1:18" x14ac:dyDescent="0.25">
      <c r="A1424" s="52" t="s">
        <v>892</v>
      </c>
      <c r="B1424" s="53"/>
      <c r="C1424" s="50"/>
      <c r="D1424" s="50"/>
      <c r="E1424" s="43">
        <v>0</v>
      </c>
      <c r="F1424" s="50"/>
      <c r="G1424" s="50"/>
      <c r="H1424" s="50"/>
      <c r="I1424" s="50"/>
      <c r="J1424" s="50"/>
      <c r="K1424" s="50"/>
      <c r="L1424" s="50"/>
      <c r="M1424" s="50"/>
      <c r="N1424" s="50"/>
      <c r="O1424" s="50"/>
      <c r="P1424" s="50"/>
      <c r="Q1424" s="50"/>
      <c r="R1424" s="50"/>
    </row>
    <row r="1425" spans="1:18" x14ac:dyDescent="0.25">
      <c r="A1425" s="43" t="s">
        <v>893</v>
      </c>
      <c r="C1425" s="54">
        <v>5514</v>
      </c>
      <c r="D1425" s="54">
        <v>11610</v>
      </c>
      <c r="E1425" s="43">
        <v>5619</v>
      </c>
      <c r="F1425" s="54">
        <v>6005</v>
      </c>
      <c r="G1425" s="54">
        <v>14743</v>
      </c>
      <c r="H1425" s="54">
        <v>11000</v>
      </c>
      <c r="I1425" s="54">
        <f t="shared" ref="I1425:I1426" si="785">H1425*1.023</f>
        <v>11252.999999999998</v>
      </c>
      <c r="J1425" s="54">
        <f t="shared" ref="J1425:K1426" si="786">I1425*1.024</f>
        <v>11523.071999999998</v>
      </c>
      <c r="K1425" s="54">
        <f t="shared" si="786"/>
        <v>11799.625727999999</v>
      </c>
      <c r="L1425" s="54">
        <f t="shared" ref="L1425:L1426" si="787">K1425*1.023</f>
        <v>12071.017119743998</v>
      </c>
      <c r="M1425" s="54">
        <f t="shared" ref="M1425:M1426" si="788">L1425*1.022</f>
        <v>12336.579496378366</v>
      </c>
      <c r="N1425" s="54">
        <f t="shared" ref="N1425:N1426" si="789">M1425*1.023</f>
        <v>12620.320824795068</v>
      </c>
      <c r="O1425" s="54">
        <f t="shared" ref="O1425:P1426" si="790">N1425*1.025</f>
        <v>12935.828845414944</v>
      </c>
      <c r="P1425" s="54">
        <f t="shared" si="790"/>
        <v>13259.224566550316</v>
      </c>
      <c r="Q1425" s="54">
        <f t="shared" ref="Q1425:R1426" si="791">P1425*1.024</f>
        <v>13577.445956147523</v>
      </c>
      <c r="R1425" s="54">
        <f t="shared" si="791"/>
        <v>13903.304659095063</v>
      </c>
    </row>
    <row r="1426" spans="1:18" x14ac:dyDescent="0.25">
      <c r="A1426" s="43" t="s">
        <v>894</v>
      </c>
      <c r="C1426" s="54">
        <v>8673</v>
      </c>
      <c r="D1426" s="54">
        <v>7047</v>
      </c>
      <c r="E1426" s="43">
        <v>6364</v>
      </c>
      <c r="F1426" s="54">
        <v>6126</v>
      </c>
      <c r="G1426" s="54">
        <v>7740</v>
      </c>
      <c r="H1426" s="54">
        <v>8500</v>
      </c>
      <c r="I1426" s="54">
        <f t="shared" si="785"/>
        <v>8695.5</v>
      </c>
      <c r="J1426" s="54">
        <f t="shared" si="786"/>
        <v>8904.1920000000009</v>
      </c>
      <c r="K1426" s="54">
        <f t="shared" si="786"/>
        <v>9117.8926080000019</v>
      </c>
      <c r="L1426" s="54">
        <f t="shared" si="787"/>
        <v>9327.6041379840008</v>
      </c>
      <c r="M1426" s="54">
        <f t="shared" si="788"/>
        <v>9532.8114290196481</v>
      </c>
      <c r="N1426" s="54">
        <f t="shared" si="789"/>
        <v>9752.0660918870999</v>
      </c>
      <c r="O1426" s="54">
        <f t="shared" si="790"/>
        <v>9995.8677441842774</v>
      </c>
      <c r="P1426" s="54">
        <f t="shared" si="790"/>
        <v>10245.764437788883</v>
      </c>
      <c r="Q1426" s="54">
        <f t="shared" si="791"/>
        <v>10491.662784295817</v>
      </c>
      <c r="R1426" s="54">
        <f t="shared" si="791"/>
        <v>10743.462691118917</v>
      </c>
    </row>
    <row r="1427" spans="1:18" x14ac:dyDescent="0.25">
      <c r="A1427" s="52" t="s">
        <v>895</v>
      </c>
      <c r="B1427" s="53"/>
      <c r="C1427" s="50"/>
      <c r="D1427" s="50"/>
      <c r="E1427" s="43">
        <v>0</v>
      </c>
      <c r="F1427" s="50"/>
      <c r="G1427" s="50"/>
      <c r="H1427" s="50"/>
      <c r="I1427" s="50"/>
      <c r="J1427" s="50"/>
      <c r="K1427" s="50"/>
      <c r="L1427" s="50"/>
      <c r="M1427" s="50"/>
      <c r="N1427" s="50"/>
      <c r="O1427" s="50"/>
      <c r="P1427" s="50"/>
      <c r="Q1427" s="50"/>
      <c r="R1427" s="50"/>
    </row>
    <row r="1428" spans="1:18" x14ac:dyDescent="0.25">
      <c r="A1428" s="43" t="s">
        <v>896</v>
      </c>
      <c r="C1428" s="59">
        <v>34000</v>
      </c>
      <c r="D1428" s="50">
        <v>34000</v>
      </c>
      <c r="E1428" s="43">
        <v>34000</v>
      </c>
      <c r="F1428" s="50">
        <v>34000</v>
      </c>
      <c r="G1428" s="50">
        <v>34000</v>
      </c>
      <c r="H1428" s="50">
        <v>34000</v>
      </c>
      <c r="I1428" s="54">
        <f t="shared" ref="I1428" si="792">H1428*1.023</f>
        <v>34782</v>
      </c>
      <c r="J1428" s="54">
        <f t="shared" ref="J1428:K1428" si="793">I1428*1.024</f>
        <v>35616.768000000004</v>
      </c>
      <c r="K1428" s="54">
        <f t="shared" si="793"/>
        <v>36471.570432000008</v>
      </c>
      <c r="L1428" s="54">
        <f t="shared" ref="L1428" si="794">K1428*1.023</f>
        <v>37310.416551936003</v>
      </c>
      <c r="M1428" s="54">
        <f t="shared" ref="M1428" si="795">L1428*1.022</f>
        <v>38131.245716078593</v>
      </c>
      <c r="N1428" s="54">
        <f t="shared" ref="N1428" si="796">M1428*1.023</f>
        <v>39008.2643675484</v>
      </c>
      <c r="O1428" s="54">
        <f t="shared" ref="O1428:P1428" si="797">N1428*1.025</f>
        <v>39983.47097673711</v>
      </c>
      <c r="P1428" s="54">
        <f t="shared" si="797"/>
        <v>40983.057751155531</v>
      </c>
      <c r="Q1428" s="54">
        <f t="shared" ref="Q1428:R1428" si="798">P1428*1.024</f>
        <v>41966.651137183268</v>
      </c>
      <c r="R1428" s="54">
        <f t="shared" si="798"/>
        <v>42973.850764475668</v>
      </c>
    </row>
    <row r="1429" spans="1:18" x14ac:dyDescent="0.25">
      <c r="A1429" s="52" t="s">
        <v>897</v>
      </c>
      <c r="B1429" s="53"/>
      <c r="C1429" s="50"/>
      <c r="D1429" s="50"/>
      <c r="E1429" s="43">
        <v>0</v>
      </c>
      <c r="F1429" s="50"/>
      <c r="G1429" s="50"/>
      <c r="H1429" s="50"/>
      <c r="I1429" s="50"/>
      <c r="J1429" s="50"/>
      <c r="K1429" s="50"/>
      <c r="L1429" s="50"/>
      <c r="M1429" s="50"/>
      <c r="N1429" s="50"/>
      <c r="O1429" s="50"/>
      <c r="P1429" s="50"/>
      <c r="Q1429" s="50"/>
      <c r="R1429" s="50"/>
    </row>
    <row r="1430" spans="1:18" x14ac:dyDescent="0.25">
      <c r="A1430" s="52" t="s">
        <v>898</v>
      </c>
      <c r="B1430" s="53"/>
      <c r="C1430" s="54">
        <v>132797</v>
      </c>
      <c r="D1430" s="54">
        <v>135040</v>
      </c>
      <c r="E1430" s="43">
        <v>137657</v>
      </c>
      <c r="F1430" s="54">
        <v>140148</v>
      </c>
      <c r="G1430" s="54">
        <v>143138</v>
      </c>
      <c r="H1430" s="54">
        <v>136000</v>
      </c>
      <c r="I1430" s="54">
        <v>250000</v>
      </c>
      <c r="J1430" s="54">
        <f t="shared" ref="J1430:K1430" si="799">I1430*1.024</f>
        <v>256000</v>
      </c>
      <c r="K1430" s="54">
        <f t="shared" si="799"/>
        <v>262144</v>
      </c>
      <c r="L1430" s="54">
        <f t="shared" ref="L1430" si="800">K1430*1.023</f>
        <v>268173.31199999998</v>
      </c>
      <c r="M1430" s="54">
        <f t="shared" ref="M1430" si="801">L1430*1.022</f>
        <v>274073.12486399995</v>
      </c>
      <c r="N1430" s="54">
        <f t="shared" ref="N1430" si="802">M1430*1.023</f>
        <v>280376.80673587194</v>
      </c>
      <c r="O1430" s="54">
        <f t="shared" ref="O1430:P1430" si="803">N1430*1.025</f>
        <v>287386.22690426873</v>
      </c>
      <c r="P1430" s="54">
        <f t="shared" si="803"/>
        <v>294570.88257687545</v>
      </c>
      <c r="Q1430" s="54">
        <f t="shared" ref="Q1430:R1430" si="804">P1430*1.024</f>
        <v>301640.58375872049</v>
      </c>
      <c r="R1430" s="54">
        <f t="shared" si="804"/>
        <v>308879.95776892977</v>
      </c>
    </row>
    <row r="1431" spans="1:18" x14ac:dyDescent="0.25">
      <c r="A1431" s="52" t="s">
        <v>898</v>
      </c>
      <c r="B1431" s="53"/>
      <c r="C1431" s="54"/>
      <c r="D1431" s="54"/>
      <c r="F1431" s="54"/>
      <c r="G1431" s="54"/>
      <c r="H1431" s="54">
        <v>1000000</v>
      </c>
      <c r="I1431" s="54"/>
      <c r="J1431" s="54"/>
      <c r="K1431" s="54"/>
      <c r="L1431" s="54"/>
      <c r="M1431" s="54"/>
      <c r="N1431" s="54"/>
      <c r="O1431" s="54"/>
      <c r="P1431" s="54"/>
      <c r="Q1431" s="54"/>
      <c r="R1431" s="54"/>
    </row>
    <row r="1432" spans="1:18" x14ac:dyDescent="0.25">
      <c r="C1432" s="50"/>
      <c r="D1432" s="50"/>
      <c r="F1432" s="50"/>
      <c r="G1432" s="50"/>
      <c r="H1432" s="50"/>
      <c r="I1432" s="50"/>
      <c r="J1432" s="50"/>
      <c r="K1432" s="50"/>
      <c r="L1432" s="50"/>
      <c r="M1432" s="50"/>
      <c r="N1432" s="50"/>
      <c r="O1432" s="50"/>
      <c r="P1432" s="50"/>
      <c r="Q1432" s="50"/>
      <c r="R1432" s="50"/>
    </row>
    <row r="1433" spans="1:18" x14ac:dyDescent="0.25">
      <c r="A1433" s="41" t="s">
        <v>216</v>
      </c>
      <c r="B1433" s="44"/>
      <c r="C1433" s="51">
        <f t="shared" ref="C1433" si="805">SUM(C1409:C1432)</f>
        <v>845357</v>
      </c>
      <c r="D1433" s="51">
        <f t="shared" ref="D1433:R1433" si="806">SUM(D1409:D1432)</f>
        <v>1206700</v>
      </c>
      <c r="E1433" s="51">
        <f t="shared" si="806"/>
        <v>745323</v>
      </c>
      <c r="F1433" s="51">
        <f t="shared" si="806"/>
        <v>772689</v>
      </c>
      <c r="G1433" s="51">
        <f t="shared" si="806"/>
        <v>780640</v>
      </c>
      <c r="H1433" s="51">
        <f t="shared" si="806"/>
        <v>1719400</v>
      </c>
      <c r="I1433" s="51">
        <f t="shared" si="806"/>
        <v>846473.2</v>
      </c>
      <c r="J1433" s="51">
        <f t="shared" si="806"/>
        <v>866428.55680000002</v>
      </c>
      <c r="K1433" s="51">
        <f t="shared" si="806"/>
        <v>886862.84216319979</v>
      </c>
      <c r="L1433" s="51">
        <f t="shared" si="806"/>
        <v>906915.68753295345</v>
      </c>
      <c r="M1433" s="51">
        <f t="shared" si="806"/>
        <v>926537.83265867829</v>
      </c>
      <c r="N1433" s="51">
        <f t="shared" si="806"/>
        <v>947503.20280982798</v>
      </c>
      <c r="O1433" s="51">
        <f t="shared" si="806"/>
        <v>970815.78288007365</v>
      </c>
      <c r="P1433" s="51">
        <f t="shared" si="806"/>
        <v>994711.17745207553</v>
      </c>
      <c r="Q1433" s="51">
        <f t="shared" si="806"/>
        <v>1018224.2457109254</v>
      </c>
      <c r="R1433" s="51">
        <f t="shared" si="806"/>
        <v>1042301.6276079874</v>
      </c>
    </row>
    <row r="1434" spans="1:18" x14ac:dyDescent="0.25">
      <c r="C1434" s="50"/>
      <c r="D1434" s="50"/>
      <c r="E1434" s="50"/>
      <c r="F1434" s="50"/>
      <c r="G1434" s="50"/>
      <c r="H1434" s="50"/>
      <c r="I1434" s="50"/>
      <c r="J1434" s="50"/>
      <c r="K1434" s="50"/>
      <c r="L1434" s="50"/>
      <c r="M1434" s="50"/>
      <c r="N1434" s="50"/>
      <c r="O1434" s="50"/>
      <c r="P1434" s="50"/>
      <c r="Q1434" s="50"/>
      <c r="R1434" s="50"/>
    </row>
    <row r="1435" spans="1:18" x14ac:dyDescent="0.25">
      <c r="A1435" s="41" t="s">
        <v>165</v>
      </c>
      <c r="B1435" s="44"/>
      <c r="C1435" s="50"/>
      <c r="D1435" s="50"/>
      <c r="E1435" s="50"/>
      <c r="F1435" s="50"/>
      <c r="G1435" s="50"/>
      <c r="H1435" s="50"/>
      <c r="I1435" s="50"/>
      <c r="J1435" s="50"/>
      <c r="K1435" s="50"/>
      <c r="L1435" s="50"/>
      <c r="M1435" s="50"/>
      <c r="N1435" s="50"/>
      <c r="O1435" s="50"/>
      <c r="P1435" s="50"/>
      <c r="Q1435" s="50"/>
      <c r="R1435" s="50"/>
    </row>
    <row r="1436" spans="1:18" x14ac:dyDescent="0.25">
      <c r="C1436" s="50"/>
      <c r="D1436" s="50"/>
      <c r="E1436" s="50"/>
      <c r="F1436" s="50"/>
      <c r="G1436" s="50"/>
      <c r="H1436" s="50"/>
      <c r="I1436" s="50"/>
      <c r="J1436" s="50"/>
      <c r="K1436" s="50"/>
      <c r="L1436" s="50"/>
      <c r="M1436" s="50"/>
      <c r="N1436" s="50"/>
      <c r="O1436" s="50"/>
      <c r="P1436" s="50"/>
      <c r="Q1436" s="50"/>
      <c r="R1436" s="50"/>
    </row>
    <row r="1437" spans="1:18" x14ac:dyDescent="0.25">
      <c r="A1437" s="52" t="s">
        <v>899</v>
      </c>
      <c r="B1437" s="53"/>
      <c r="C1437" s="50"/>
      <c r="D1437" s="50"/>
      <c r="E1437" s="50"/>
      <c r="F1437" s="50"/>
      <c r="G1437" s="50"/>
      <c r="H1437" s="50"/>
      <c r="I1437" s="50"/>
      <c r="J1437" s="50"/>
      <c r="K1437" s="50"/>
      <c r="L1437" s="50"/>
      <c r="M1437" s="50"/>
      <c r="N1437" s="50"/>
      <c r="O1437" s="50"/>
      <c r="P1437" s="50"/>
      <c r="Q1437" s="50"/>
      <c r="R1437" s="50"/>
    </row>
    <row r="1438" spans="1:18" x14ac:dyDescent="0.25">
      <c r="A1438" s="43" t="s">
        <v>217</v>
      </c>
      <c r="C1438" s="50">
        <f>374170+76009+47740+833</f>
        <v>498752</v>
      </c>
      <c r="D1438" s="54">
        <f>465100+42322+66275</f>
        <v>573697</v>
      </c>
      <c r="E1438" s="67">
        <v>513384</v>
      </c>
      <c r="F1438" s="67">
        <f>479339+9924</f>
        <v>489263</v>
      </c>
      <c r="G1438" s="67">
        <v>562625</v>
      </c>
      <c r="H1438" s="67">
        <v>476000</v>
      </c>
      <c r="I1438" s="50">
        <f>H1438*1.025</f>
        <v>487899.99999999994</v>
      </c>
      <c r="J1438" s="50">
        <f>I1438*1.029</f>
        <v>502049.09999999992</v>
      </c>
      <c r="K1438" s="54">
        <f>J1438*1.031</f>
        <v>517612.62209999986</v>
      </c>
      <c r="L1438" s="54">
        <f>K1438*1.033</f>
        <v>534693.83862929977</v>
      </c>
      <c r="M1438" s="54">
        <f>L1438*1.032</f>
        <v>551804.04146543739</v>
      </c>
      <c r="N1438" s="54">
        <f>M1438*1.03</f>
        <v>568358.16270940052</v>
      </c>
      <c r="O1438" s="54">
        <f>N1438*1.032</f>
        <v>586545.62391610141</v>
      </c>
      <c r="P1438" s="54">
        <f>O1438*1.034</f>
        <v>606488.17512924888</v>
      </c>
      <c r="Q1438" s="54">
        <f>P1438*1.034</f>
        <v>627108.77308364341</v>
      </c>
      <c r="R1438" s="54">
        <f>Q1438*1.034</f>
        <v>648430.47136848734</v>
      </c>
    </row>
    <row r="1439" spans="1:18" x14ac:dyDescent="0.25">
      <c r="A1439" s="43" t="s">
        <v>219</v>
      </c>
      <c r="C1439" s="50">
        <v>38102</v>
      </c>
      <c r="D1439" s="54">
        <f>26837+1330</f>
        <v>28167</v>
      </c>
      <c r="E1439" s="54">
        <v>27110</v>
      </c>
      <c r="F1439" s="54">
        <v>20823</v>
      </c>
      <c r="G1439" s="50">
        <v>19681</v>
      </c>
      <c r="H1439" s="50">
        <f>19000+9000</f>
        <v>28000</v>
      </c>
      <c r="I1439" s="54">
        <f t="shared" ref="I1439" si="807">H1439*1.023</f>
        <v>28643.999999999996</v>
      </c>
      <c r="J1439" s="54">
        <f t="shared" ref="J1439:K1439" si="808">I1439*1.024</f>
        <v>29331.455999999998</v>
      </c>
      <c r="K1439" s="54">
        <f t="shared" si="808"/>
        <v>30035.410943999999</v>
      </c>
      <c r="L1439" s="54">
        <f t="shared" ref="L1439" si="809">K1439*1.023</f>
        <v>30726.225395711997</v>
      </c>
      <c r="M1439" s="54">
        <f t="shared" ref="M1439" si="810">L1439*1.022</f>
        <v>31402.202354417663</v>
      </c>
      <c r="N1439" s="54">
        <f t="shared" ref="N1439" si="811">M1439*1.023</f>
        <v>32124.453008569268</v>
      </c>
      <c r="O1439" s="54">
        <f t="shared" ref="O1439:P1439" si="812">N1439*1.025</f>
        <v>32927.564333783499</v>
      </c>
      <c r="P1439" s="54">
        <f t="shared" si="812"/>
        <v>33750.753442128087</v>
      </c>
      <c r="Q1439" s="54">
        <f t="shared" ref="Q1439:R1439" si="813">P1439*1.024</f>
        <v>34560.771524739161</v>
      </c>
      <c r="R1439" s="54">
        <f t="shared" si="813"/>
        <v>35390.230041332899</v>
      </c>
    </row>
    <row r="1440" spans="1:18" x14ac:dyDescent="0.25">
      <c r="A1440" s="43" t="s">
        <v>220</v>
      </c>
      <c r="C1440" s="50">
        <v>108691</v>
      </c>
      <c r="D1440" s="54">
        <v>61908</v>
      </c>
      <c r="E1440" s="54">
        <v>80595</v>
      </c>
      <c r="F1440" s="54">
        <v>107028</v>
      </c>
      <c r="G1440" s="54">
        <v>-55315</v>
      </c>
      <c r="H1440" s="54">
        <v>60300</v>
      </c>
      <c r="I1440" s="50">
        <f>H1440*1.025</f>
        <v>61807.499999999993</v>
      </c>
      <c r="J1440" s="50">
        <f>I1440*1.029</f>
        <v>63599.917499999989</v>
      </c>
      <c r="K1440" s="54">
        <f>J1440*1.031</f>
        <v>65571.514942499984</v>
      </c>
      <c r="L1440" s="54">
        <f>K1440*1.033</f>
        <v>67735.374935602478</v>
      </c>
      <c r="M1440" s="54">
        <f>L1440*1.032</f>
        <v>69902.906933541759</v>
      </c>
      <c r="N1440" s="54">
        <f>M1440*1.03</f>
        <v>71999.994141548013</v>
      </c>
      <c r="O1440" s="54">
        <f>N1440*1.032</f>
        <v>74303.993954077552</v>
      </c>
      <c r="P1440" s="54">
        <f>O1440*1.034</f>
        <v>76830.329748516189</v>
      </c>
      <c r="Q1440" s="54">
        <f>P1440*1.034</f>
        <v>79442.560959965747</v>
      </c>
      <c r="R1440" s="54">
        <f>Q1440*1.034</f>
        <v>82143.608032604592</v>
      </c>
    </row>
    <row r="1441" spans="1:18" x14ac:dyDescent="0.25">
      <c r="A1441" s="43" t="s">
        <v>221</v>
      </c>
      <c r="C1441" s="57">
        <v>23916</v>
      </c>
      <c r="D1441" s="180">
        <v>22498</v>
      </c>
      <c r="E1441" s="180">
        <v>26515</v>
      </c>
      <c r="F1441" s="98">
        <v>23092</v>
      </c>
      <c r="G1441" s="180">
        <v>19234</v>
      </c>
      <c r="H1441" s="180">
        <v>11560</v>
      </c>
      <c r="I1441" s="180">
        <v>11560</v>
      </c>
      <c r="J1441" s="180">
        <v>16660</v>
      </c>
      <c r="K1441" s="180">
        <v>17060</v>
      </c>
      <c r="L1441" s="180">
        <v>17700</v>
      </c>
      <c r="M1441" s="180">
        <v>17700</v>
      </c>
      <c r="N1441" s="180">
        <v>18500</v>
      </c>
      <c r="O1441" s="180">
        <v>18500</v>
      </c>
      <c r="P1441" s="180">
        <v>19000</v>
      </c>
      <c r="Q1441" s="180">
        <v>19740</v>
      </c>
      <c r="R1441" s="180">
        <v>19740</v>
      </c>
    </row>
    <row r="1442" spans="1:18" x14ac:dyDescent="0.25">
      <c r="A1442" s="43" t="s">
        <v>900</v>
      </c>
      <c r="C1442" s="50">
        <v>65246</v>
      </c>
      <c r="D1442" s="50">
        <v>63000</v>
      </c>
      <c r="E1442" s="50">
        <v>58548</v>
      </c>
      <c r="F1442" s="50">
        <v>89000</v>
      </c>
      <c r="G1442" s="50">
        <v>83000</v>
      </c>
      <c r="H1442" s="50">
        <v>86000</v>
      </c>
      <c r="I1442" s="54">
        <v>91000</v>
      </c>
      <c r="J1442" s="54">
        <f>I1442*1.05</f>
        <v>95550</v>
      </c>
      <c r="K1442" s="54">
        <f t="shared" ref="K1442:R1442" si="814">J1442*1.05</f>
        <v>100327.5</v>
      </c>
      <c r="L1442" s="54">
        <f t="shared" si="814"/>
        <v>105343.875</v>
      </c>
      <c r="M1442" s="54">
        <f t="shared" si="814"/>
        <v>110611.06875000001</v>
      </c>
      <c r="N1442" s="54">
        <f t="shared" si="814"/>
        <v>116141.6221875</v>
      </c>
      <c r="O1442" s="54">
        <f t="shared" si="814"/>
        <v>121948.70329687501</v>
      </c>
      <c r="P1442" s="54">
        <f t="shared" si="814"/>
        <v>128046.13846171877</v>
      </c>
      <c r="Q1442" s="54">
        <f t="shared" si="814"/>
        <v>134448.44538480471</v>
      </c>
      <c r="R1442" s="54">
        <f t="shared" si="814"/>
        <v>141170.86765404497</v>
      </c>
    </row>
    <row r="1443" spans="1:18" x14ac:dyDescent="0.25">
      <c r="A1443" s="43" t="s">
        <v>901</v>
      </c>
      <c r="C1443" s="50"/>
      <c r="D1443" s="50">
        <v>50000</v>
      </c>
      <c r="E1443" s="50"/>
      <c r="F1443" s="50"/>
      <c r="G1443" s="50">
        <v>0</v>
      </c>
      <c r="H1443" s="50"/>
      <c r="I1443" s="54"/>
      <c r="J1443" s="54"/>
      <c r="K1443" s="54"/>
      <c r="L1443" s="54"/>
      <c r="M1443" s="54"/>
      <c r="N1443" s="54"/>
      <c r="O1443" s="54"/>
      <c r="P1443" s="54"/>
      <c r="Q1443" s="54"/>
      <c r="R1443" s="54"/>
    </row>
    <row r="1444" spans="1:18" x14ac:dyDescent="0.25">
      <c r="A1444" s="43" t="s">
        <v>902</v>
      </c>
      <c r="C1444" s="50"/>
      <c r="D1444" s="50"/>
      <c r="E1444" s="50"/>
      <c r="F1444" s="50">
        <v>59455</v>
      </c>
      <c r="G1444" s="50">
        <v>44140</v>
      </c>
      <c r="H1444" s="50">
        <v>0</v>
      </c>
      <c r="I1444" s="54">
        <f>H1444*1.02</f>
        <v>0</v>
      </c>
      <c r="J1444" s="54">
        <f>I1444*1.021</f>
        <v>0</v>
      </c>
      <c r="K1444" s="54">
        <f>J1444*1.023</f>
        <v>0</v>
      </c>
      <c r="L1444" s="54">
        <f>K1444*1.024</f>
        <v>0</v>
      </c>
      <c r="M1444" s="54">
        <f>L1444*1.023</f>
        <v>0</v>
      </c>
      <c r="N1444" s="54">
        <f>M1444*1.021</f>
        <v>0</v>
      </c>
      <c r="O1444" s="54">
        <f>N1444*1.022</f>
        <v>0</v>
      </c>
      <c r="P1444" s="54">
        <f>O1444*1.025</f>
        <v>0</v>
      </c>
      <c r="Q1444" s="54">
        <f>P1444*1.025</f>
        <v>0</v>
      </c>
      <c r="R1444" s="54">
        <f>Q1444*1.025</f>
        <v>0</v>
      </c>
    </row>
    <row r="1445" spans="1:18" x14ac:dyDescent="0.25">
      <c r="A1445" s="43" t="s">
        <v>903</v>
      </c>
      <c r="C1445" s="50">
        <v>0</v>
      </c>
      <c r="D1445" s="68">
        <v>0</v>
      </c>
      <c r="E1445" s="68"/>
      <c r="F1445" s="68">
        <v>1400</v>
      </c>
      <c r="G1445" s="68">
        <v>780</v>
      </c>
      <c r="H1445" s="68">
        <v>5000</v>
      </c>
      <c r="I1445" s="54">
        <f t="shared" ref="I1445:I1448" si="815">H1445*1.023</f>
        <v>5115</v>
      </c>
      <c r="J1445" s="54">
        <f t="shared" ref="J1445:K1448" si="816">I1445*1.024</f>
        <v>5237.76</v>
      </c>
      <c r="K1445" s="54">
        <f t="shared" si="816"/>
        <v>5363.4662400000007</v>
      </c>
      <c r="L1445" s="54">
        <f t="shared" ref="L1445:L1448" si="817">K1445*1.023</f>
        <v>5486.8259635200002</v>
      </c>
      <c r="M1445" s="54">
        <f t="shared" ref="M1445:M1448" si="818">L1445*1.022</f>
        <v>5607.5361347174403</v>
      </c>
      <c r="N1445" s="54">
        <f t="shared" ref="N1445:N1448" si="819">M1445*1.023</f>
        <v>5736.5094658159405</v>
      </c>
      <c r="O1445" s="54">
        <f t="shared" ref="O1445:P1448" si="820">N1445*1.025</f>
        <v>5879.9222024613382</v>
      </c>
      <c r="P1445" s="54">
        <f t="shared" si="820"/>
        <v>6026.920257522871</v>
      </c>
      <c r="Q1445" s="54">
        <f t="shared" ref="Q1445:R1448" si="821">P1445*1.024</f>
        <v>6171.56634370342</v>
      </c>
      <c r="R1445" s="54">
        <f t="shared" si="821"/>
        <v>6319.6839359523019</v>
      </c>
    </row>
    <row r="1446" spans="1:18" x14ac:dyDescent="0.25">
      <c r="A1446" s="43" t="s">
        <v>904</v>
      </c>
      <c r="C1446" s="50">
        <v>12818</v>
      </c>
      <c r="D1446" s="54">
        <v>26167</v>
      </c>
      <c r="E1446">
        <v>27392</v>
      </c>
      <c r="F1446" s="54">
        <v>12895</v>
      </c>
      <c r="G1446" s="50">
        <v>3279</v>
      </c>
      <c r="H1446" s="50">
        <f>28000-3000</f>
        <v>25000</v>
      </c>
      <c r="I1446" s="54">
        <f t="shared" si="815"/>
        <v>25574.999999999996</v>
      </c>
      <c r="J1446" s="54">
        <f t="shared" si="816"/>
        <v>26188.799999999996</v>
      </c>
      <c r="K1446" s="54">
        <f t="shared" si="816"/>
        <v>26817.331199999997</v>
      </c>
      <c r="L1446" s="54">
        <f t="shared" si="817"/>
        <v>27434.129817599995</v>
      </c>
      <c r="M1446" s="54">
        <f t="shared" si="818"/>
        <v>28037.680673587194</v>
      </c>
      <c r="N1446" s="54">
        <f t="shared" si="819"/>
        <v>28682.547329079698</v>
      </c>
      <c r="O1446" s="54">
        <f t="shared" si="820"/>
        <v>29399.611012306686</v>
      </c>
      <c r="P1446" s="54">
        <f t="shared" si="820"/>
        <v>30134.60128761435</v>
      </c>
      <c r="Q1446" s="54">
        <f t="shared" si="821"/>
        <v>30857.831718517096</v>
      </c>
      <c r="R1446" s="54">
        <f t="shared" si="821"/>
        <v>31598.419679761508</v>
      </c>
    </row>
    <row r="1447" spans="1:18" x14ac:dyDescent="0.25">
      <c r="A1447" s="52" t="s">
        <v>905</v>
      </c>
      <c r="B1447" s="53"/>
      <c r="C1447" s="50">
        <v>13030</v>
      </c>
      <c r="D1447" s="54">
        <v>12924</v>
      </c>
      <c r="E1447" s="54">
        <v>6881</v>
      </c>
      <c r="F1447" s="54">
        <v>6915</v>
      </c>
      <c r="G1447" s="50">
        <v>3692</v>
      </c>
      <c r="H1447" s="50">
        <v>8700</v>
      </c>
      <c r="I1447" s="54">
        <f t="shared" si="815"/>
        <v>8900.0999999999985</v>
      </c>
      <c r="J1447" s="54">
        <f t="shared" si="816"/>
        <v>9113.7023999999983</v>
      </c>
      <c r="K1447" s="54">
        <f t="shared" si="816"/>
        <v>9332.4312575999993</v>
      </c>
      <c r="L1447" s="54">
        <f t="shared" si="817"/>
        <v>9547.0771765247991</v>
      </c>
      <c r="M1447" s="54">
        <f t="shared" si="818"/>
        <v>9757.1128744083453</v>
      </c>
      <c r="N1447" s="54">
        <f t="shared" si="819"/>
        <v>9981.5264705197369</v>
      </c>
      <c r="O1447" s="54">
        <f t="shared" si="820"/>
        <v>10231.064632282729</v>
      </c>
      <c r="P1447" s="54">
        <f t="shared" si="820"/>
        <v>10486.841248089797</v>
      </c>
      <c r="Q1447" s="54">
        <f t="shared" si="821"/>
        <v>10738.525438043953</v>
      </c>
      <c r="R1447" s="54">
        <f t="shared" si="821"/>
        <v>10996.250048557007</v>
      </c>
    </row>
    <row r="1448" spans="1:18" x14ac:dyDescent="0.25">
      <c r="A1448" s="43" t="s">
        <v>906</v>
      </c>
      <c r="C1448" s="50">
        <v>129</v>
      </c>
      <c r="D1448" s="54">
        <v>1307</v>
      </c>
      <c r="E1448">
        <v>422</v>
      </c>
      <c r="F1448" s="54">
        <v>263</v>
      </c>
      <c r="G1448" s="54">
        <v>448</v>
      </c>
      <c r="H1448" s="54">
        <v>500</v>
      </c>
      <c r="I1448" s="54">
        <f t="shared" si="815"/>
        <v>511.49999999999994</v>
      </c>
      <c r="J1448" s="54">
        <f t="shared" si="816"/>
        <v>523.77599999999995</v>
      </c>
      <c r="K1448" s="54">
        <f t="shared" si="816"/>
        <v>536.34662400000002</v>
      </c>
      <c r="L1448" s="54">
        <f t="shared" si="817"/>
        <v>548.68259635200002</v>
      </c>
      <c r="M1448" s="54">
        <f t="shared" si="818"/>
        <v>560.75361347174407</v>
      </c>
      <c r="N1448" s="54">
        <f t="shared" si="819"/>
        <v>573.6509465815941</v>
      </c>
      <c r="O1448" s="54">
        <f t="shared" si="820"/>
        <v>587.99222024613391</v>
      </c>
      <c r="P1448" s="54">
        <f t="shared" si="820"/>
        <v>602.69202575228724</v>
      </c>
      <c r="Q1448" s="54">
        <f t="shared" si="821"/>
        <v>617.15663437034209</v>
      </c>
      <c r="R1448" s="54">
        <f t="shared" si="821"/>
        <v>631.96839359523028</v>
      </c>
    </row>
    <row r="1449" spans="1:18" x14ac:dyDescent="0.25">
      <c r="A1449" s="52" t="s">
        <v>907</v>
      </c>
      <c r="B1449" s="53"/>
      <c r="C1449" s="50">
        <v>83110</v>
      </c>
      <c r="D1449" s="54">
        <v>39861</v>
      </c>
      <c r="E1449">
        <f>53677-10400</f>
        <v>43277</v>
      </c>
      <c r="F1449" s="54">
        <f>52542-6226</f>
        <v>46316</v>
      </c>
      <c r="G1449" s="50">
        <v>55642</v>
      </c>
      <c r="H1449" s="50">
        <v>57000</v>
      </c>
      <c r="I1449" s="54">
        <v>58392.599999999991</v>
      </c>
      <c r="J1449" s="54">
        <v>59899.57680000001</v>
      </c>
      <c r="K1449" s="54">
        <v>61472.020663200004</v>
      </c>
      <c r="L1449" s="54">
        <v>63066.805767453581</v>
      </c>
      <c r="M1449" s="54">
        <v>64643.993694778575</v>
      </c>
      <c r="N1449" s="54">
        <v>66283.790685876491</v>
      </c>
      <c r="O1449" s="54">
        <v>68095.247239312564</v>
      </c>
      <c r="P1449" s="54">
        <v>69987.476651848512</v>
      </c>
      <c r="Q1449" s="54">
        <v>71882.061234956753</v>
      </c>
      <c r="R1449" s="54">
        <v>73830.413766375117</v>
      </c>
    </row>
    <row r="1450" spans="1:18" x14ac:dyDescent="0.25">
      <c r="A1450" s="43" t="s">
        <v>908</v>
      </c>
      <c r="C1450" s="71">
        <v>10400</v>
      </c>
      <c r="D1450" s="71">
        <v>10400</v>
      </c>
      <c r="E1450" s="71">
        <v>10400</v>
      </c>
      <c r="F1450" s="71">
        <v>10400</v>
      </c>
      <c r="G1450" s="71">
        <v>10400</v>
      </c>
      <c r="H1450" s="73">
        <v>13210</v>
      </c>
      <c r="I1450" s="73">
        <v>13520</v>
      </c>
      <c r="J1450" s="73">
        <v>13830</v>
      </c>
      <c r="K1450" s="73">
        <v>14170</v>
      </c>
      <c r="L1450" s="73">
        <v>14500</v>
      </c>
      <c r="M1450" s="73">
        <v>14810</v>
      </c>
      <c r="N1450" s="73">
        <v>15160</v>
      </c>
      <c r="O1450" s="73">
        <v>15530</v>
      </c>
      <c r="P1450" s="73">
        <v>15930</v>
      </c>
      <c r="Q1450" s="73">
        <v>16310</v>
      </c>
      <c r="R1450" s="73">
        <v>16310</v>
      </c>
    </row>
    <row r="1451" spans="1:18" x14ac:dyDescent="0.25">
      <c r="A1451" s="52" t="s">
        <v>36</v>
      </c>
      <c r="B1451" s="53"/>
      <c r="C1451" s="50">
        <v>3463</v>
      </c>
      <c r="D1451" s="54">
        <v>4795</v>
      </c>
      <c r="E1451" s="54">
        <v>6890</v>
      </c>
      <c r="F1451" s="54">
        <v>4286</v>
      </c>
      <c r="G1451" s="50">
        <v>3614</v>
      </c>
      <c r="H1451" s="50">
        <f>6200-500</f>
        <v>5700</v>
      </c>
      <c r="I1451" s="54">
        <f t="shared" ref="I1451:I1452" si="822">H1451*1.023</f>
        <v>5831.0999999999995</v>
      </c>
      <c r="J1451" s="54">
        <f t="shared" ref="J1451:K1452" si="823">I1451*1.024</f>
        <v>5971.0463999999993</v>
      </c>
      <c r="K1451" s="54">
        <f t="shared" si="823"/>
        <v>6114.3515135999996</v>
      </c>
      <c r="L1451" s="54">
        <f t="shared" ref="L1451:L1452" si="824">K1451*1.023</f>
        <v>6254.981598412799</v>
      </c>
      <c r="M1451" s="54">
        <f t="shared" ref="M1451:M1452" si="825">L1451*1.022</f>
        <v>6392.5911935778804</v>
      </c>
      <c r="N1451" s="54">
        <f t="shared" ref="N1451:N1452" si="826">M1451*1.023</f>
        <v>6539.6207910301709</v>
      </c>
      <c r="O1451" s="54">
        <f t="shared" ref="O1451:P1452" si="827">N1451*1.025</f>
        <v>6703.1113108059244</v>
      </c>
      <c r="P1451" s="54">
        <f t="shared" si="827"/>
        <v>6870.6890935760721</v>
      </c>
      <c r="Q1451" s="54">
        <f t="shared" ref="Q1451:R1452" si="828">P1451*1.024</f>
        <v>7035.5856318218976</v>
      </c>
      <c r="R1451" s="54">
        <f t="shared" si="828"/>
        <v>7204.4396869856237</v>
      </c>
    </row>
    <row r="1452" spans="1:18" x14ac:dyDescent="0.25">
      <c r="A1452" s="52" t="s">
        <v>909</v>
      </c>
      <c r="B1452" s="53"/>
      <c r="C1452" s="54">
        <v>5195</v>
      </c>
      <c r="D1452" s="54">
        <v>3244</v>
      </c>
      <c r="E1452">
        <v>4279</v>
      </c>
      <c r="F1452" s="54">
        <v>0</v>
      </c>
      <c r="G1452" s="54">
        <v>6292</v>
      </c>
      <c r="H1452" s="54">
        <v>5000</v>
      </c>
      <c r="I1452" s="54">
        <f t="shared" si="822"/>
        <v>5115</v>
      </c>
      <c r="J1452" s="54">
        <f t="shared" si="823"/>
        <v>5237.76</v>
      </c>
      <c r="K1452" s="54">
        <f t="shared" si="823"/>
        <v>5363.4662400000007</v>
      </c>
      <c r="L1452" s="54">
        <f t="shared" si="824"/>
        <v>5486.8259635200002</v>
      </c>
      <c r="M1452" s="54">
        <f t="shared" si="825"/>
        <v>5607.5361347174403</v>
      </c>
      <c r="N1452" s="54">
        <f t="shared" si="826"/>
        <v>5736.5094658159405</v>
      </c>
      <c r="O1452" s="54">
        <f t="shared" si="827"/>
        <v>5879.9222024613382</v>
      </c>
      <c r="P1452" s="54">
        <f t="shared" si="827"/>
        <v>6026.920257522871</v>
      </c>
      <c r="Q1452" s="54">
        <f t="shared" si="828"/>
        <v>6171.56634370342</v>
      </c>
      <c r="R1452" s="54">
        <f t="shared" si="828"/>
        <v>6319.6839359523019</v>
      </c>
    </row>
    <row r="1453" spans="1:18" x14ac:dyDescent="0.25">
      <c r="A1453" s="52" t="s">
        <v>910</v>
      </c>
      <c r="B1453" s="53"/>
      <c r="C1453" s="50"/>
      <c r="D1453" s="50"/>
      <c r="E1453" s="50"/>
      <c r="F1453" s="50"/>
      <c r="G1453" s="50"/>
      <c r="H1453" s="50"/>
      <c r="I1453" s="50"/>
      <c r="J1453" s="50"/>
      <c r="K1453" s="50"/>
      <c r="L1453" s="50"/>
      <c r="M1453" s="50"/>
      <c r="N1453" s="50"/>
      <c r="O1453" s="50"/>
      <c r="P1453" s="50"/>
      <c r="Q1453" s="50"/>
      <c r="R1453" s="50"/>
    </row>
    <row r="1454" spans="1:18" x14ac:dyDescent="0.25">
      <c r="A1454" s="52" t="s">
        <v>911</v>
      </c>
      <c r="B1454" s="53"/>
      <c r="C1454" s="50"/>
      <c r="D1454" s="50"/>
      <c r="E1454" s="50"/>
      <c r="F1454" s="50"/>
      <c r="G1454" s="50"/>
      <c r="H1454" s="50"/>
      <c r="I1454" s="50"/>
      <c r="J1454" s="50"/>
      <c r="K1454" s="50"/>
      <c r="L1454" s="50"/>
      <c r="M1454" s="50"/>
      <c r="N1454" s="50"/>
      <c r="O1454" s="50"/>
      <c r="P1454" s="50"/>
      <c r="Q1454" s="50"/>
      <c r="R1454" s="50"/>
    </row>
    <row r="1455" spans="1:18" x14ac:dyDescent="0.25">
      <c r="A1455" s="52" t="s">
        <v>912</v>
      </c>
      <c r="B1455" s="53"/>
      <c r="C1455" s="50">
        <v>26999</v>
      </c>
      <c r="D1455" s="54">
        <v>19866</v>
      </c>
      <c r="E1455" s="43">
        <v>25995</v>
      </c>
      <c r="F1455" s="54">
        <v>30000</v>
      </c>
      <c r="G1455" s="54">
        <v>23000</v>
      </c>
      <c r="H1455" s="54">
        <v>31000</v>
      </c>
      <c r="I1455" s="54">
        <f t="shared" ref="I1455" si="829">H1455*1.023</f>
        <v>31712.999999999996</v>
      </c>
      <c r="J1455" s="54">
        <f t="shared" ref="J1455:K1455" si="830">I1455*1.024</f>
        <v>32474.111999999997</v>
      </c>
      <c r="K1455" s="54">
        <f t="shared" si="830"/>
        <v>33253.490687999998</v>
      </c>
      <c r="L1455" s="54">
        <f t="shared" ref="L1455" si="831">K1455*1.023</f>
        <v>34018.320973823997</v>
      </c>
      <c r="M1455" s="54">
        <f t="shared" ref="M1455" si="832">L1455*1.022</f>
        <v>34766.724035248124</v>
      </c>
      <c r="N1455" s="54">
        <f t="shared" ref="N1455" si="833">M1455*1.023</f>
        <v>35566.358688058826</v>
      </c>
      <c r="O1455" s="54">
        <f t="shared" ref="O1455:P1455" si="834">N1455*1.025</f>
        <v>36455.517655260293</v>
      </c>
      <c r="P1455" s="54">
        <f t="shared" si="834"/>
        <v>37366.905596641795</v>
      </c>
      <c r="Q1455" s="54">
        <f t="shared" ref="Q1455:R1455" si="835">P1455*1.024</f>
        <v>38263.711330961196</v>
      </c>
      <c r="R1455" s="54">
        <f t="shared" si="835"/>
        <v>39182.040402904262</v>
      </c>
    </row>
    <row r="1456" spans="1:18" x14ac:dyDescent="0.25">
      <c r="A1456" s="52" t="s">
        <v>913</v>
      </c>
      <c r="B1456" s="53"/>
      <c r="C1456" s="50">
        <v>130041</v>
      </c>
      <c r="D1456" s="54">
        <v>158017</v>
      </c>
      <c r="E1456" s="43">
        <f>186728-10417-89</f>
        <v>176222</v>
      </c>
      <c r="F1456" s="54">
        <v>125004</v>
      </c>
      <c r="G1456" s="50">
        <v>105236</v>
      </c>
      <c r="H1456" s="50">
        <v>157800</v>
      </c>
      <c r="I1456" s="54">
        <v>161589</v>
      </c>
      <c r="J1456" s="54">
        <v>165876.111</v>
      </c>
      <c r="K1456" s="54">
        <v>170446.30704900002</v>
      </c>
      <c r="L1456" s="54">
        <v>175234.33444817696</v>
      </c>
      <c r="M1456" s="54">
        <v>179985.88830020948</v>
      </c>
      <c r="N1456" s="54">
        <v>184773.12200330466</v>
      </c>
      <c r="O1456" s="50">
        <v>190059.43507374331</v>
      </c>
      <c r="P1456" s="54">
        <v>195695.91478902497</v>
      </c>
      <c r="Q1456" s="54">
        <v>201409.3763316783</v>
      </c>
      <c r="R1456" s="54">
        <v>207294.53077733764</v>
      </c>
    </row>
    <row r="1457" spans="1:18" x14ac:dyDescent="0.25">
      <c r="A1457" s="43" t="s">
        <v>220</v>
      </c>
      <c r="C1457" s="50">
        <v>10500</v>
      </c>
      <c r="D1457" s="54">
        <v>9650</v>
      </c>
      <c r="E1457" s="43">
        <v>10417</v>
      </c>
      <c r="F1457" s="54">
        <v>9525</v>
      </c>
      <c r="G1457" s="54">
        <v>8091</v>
      </c>
      <c r="H1457" s="54">
        <v>15800</v>
      </c>
      <c r="I1457" s="50">
        <f>H1457*1.025</f>
        <v>16194.999999999998</v>
      </c>
      <c r="J1457" s="50">
        <f>I1457*1.029</f>
        <v>16664.654999999995</v>
      </c>
      <c r="K1457" s="54">
        <f>J1457*1.031</f>
        <v>17181.259304999992</v>
      </c>
      <c r="L1457" s="54">
        <f>K1457*1.033</f>
        <v>17748.240862064991</v>
      </c>
      <c r="M1457" s="54">
        <f>L1457*1.032</f>
        <v>18316.184569651072</v>
      </c>
      <c r="N1457" s="54">
        <f>M1457*1.03</f>
        <v>18865.670106740603</v>
      </c>
      <c r="O1457" s="54">
        <f>N1457*1.032</f>
        <v>19469.371550156302</v>
      </c>
      <c r="P1457" s="54">
        <f>O1457*1.034</f>
        <v>20131.330182861617</v>
      </c>
      <c r="Q1457" s="54">
        <f>P1457*1.034</f>
        <v>20815.795409078914</v>
      </c>
      <c r="R1457" s="54">
        <f>Q1457*1.034</f>
        <v>21523.532452987598</v>
      </c>
    </row>
    <row r="1458" spans="1:18" x14ac:dyDescent="0.25">
      <c r="A1458" s="52" t="s">
        <v>914</v>
      </c>
      <c r="B1458" s="53"/>
      <c r="C1458" s="50">
        <v>11660</v>
      </c>
      <c r="D1458" s="54">
        <v>0</v>
      </c>
      <c r="E1458" s="43">
        <v>8030</v>
      </c>
      <c r="F1458" s="54">
        <v>613</v>
      </c>
      <c r="G1458" s="54">
        <v>3000</v>
      </c>
      <c r="H1458" s="54">
        <v>10000</v>
      </c>
      <c r="I1458" s="54">
        <v>10233</v>
      </c>
      <c r="J1458" s="54">
        <v>10486.279500000001</v>
      </c>
      <c r="K1458" s="54">
        <v>10749.024820500001</v>
      </c>
      <c r="L1458" s="54">
        <v>11012.5637134965</v>
      </c>
      <c r="M1458" s="54">
        <v>11271.689710948547</v>
      </c>
      <c r="N1458" s="54">
        <v>11543.110722273866</v>
      </c>
      <c r="O1458" s="54">
        <v>11844.225802743418</v>
      </c>
      <c r="P1458" s="54">
        <v>12156.966670339034</v>
      </c>
      <c r="Q1458" s="54">
        <v>12467.845892752675</v>
      </c>
      <c r="R1458" s="54">
        <v>12786.836025263307</v>
      </c>
    </row>
    <row r="1459" spans="1:18" x14ac:dyDescent="0.25">
      <c r="A1459" s="43" t="s">
        <v>915</v>
      </c>
      <c r="C1459" s="199">
        <v>1117509</v>
      </c>
      <c r="D1459" s="199">
        <v>1136688</v>
      </c>
      <c r="E1459" s="199">
        <v>1359118</v>
      </c>
      <c r="F1459" s="199">
        <v>1365401</v>
      </c>
      <c r="G1459" s="199"/>
      <c r="H1459" s="199"/>
      <c r="I1459" s="199"/>
      <c r="J1459" s="199"/>
      <c r="K1459" s="199"/>
      <c r="L1459" s="199"/>
      <c r="M1459" s="199"/>
      <c r="N1459" s="199"/>
      <c r="O1459" s="199"/>
      <c r="P1459" s="199"/>
      <c r="Q1459" s="199"/>
      <c r="R1459" s="199"/>
    </row>
    <row r="1460" spans="1:18" x14ac:dyDescent="0.25">
      <c r="A1460" s="52" t="s">
        <v>916</v>
      </c>
      <c r="C1460" s="199"/>
      <c r="D1460" s="199"/>
      <c r="E1460" s="199"/>
      <c r="F1460" s="199"/>
      <c r="G1460" s="199">
        <v>948387</v>
      </c>
      <c r="H1460" s="199">
        <v>938567</v>
      </c>
      <c r="I1460" s="199">
        <v>946359</v>
      </c>
      <c r="J1460" s="199">
        <v>954915</v>
      </c>
      <c r="K1460" s="199">
        <v>957495</v>
      </c>
      <c r="L1460" s="200">
        <v>963853</v>
      </c>
      <c r="M1460" s="201">
        <f t="shared" ref="M1460" si="836">L1460*1.022</f>
        <v>985057.76600000006</v>
      </c>
      <c r="N1460" s="201">
        <f t="shared" ref="N1460" si="837">M1460*1.023</f>
        <v>1007714.094618</v>
      </c>
      <c r="O1460" s="201">
        <f t="shared" ref="O1460:P1460" si="838">N1460*1.025</f>
        <v>1032906.9469834499</v>
      </c>
      <c r="P1460" s="201">
        <f t="shared" si="838"/>
        <v>1058729.6206580361</v>
      </c>
      <c r="Q1460" s="201">
        <f t="shared" ref="Q1460:R1460" si="839">P1460*1.024</f>
        <v>1084139.1315538289</v>
      </c>
      <c r="R1460" s="201">
        <f t="shared" si="839"/>
        <v>1110158.4707111209</v>
      </c>
    </row>
    <row r="1461" spans="1:18" x14ac:dyDescent="0.25">
      <c r="A1461" s="52" t="s">
        <v>917</v>
      </c>
      <c r="C1461" s="199"/>
      <c r="D1461" s="199"/>
      <c r="E1461" s="199"/>
      <c r="F1461" s="199"/>
      <c r="G1461" s="199">
        <v>32509</v>
      </c>
      <c r="H1461" s="199">
        <v>31500</v>
      </c>
      <c r="I1461" s="199">
        <v>32200</v>
      </c>
      <c r="J1461" s="199">
        <v>33000</v>
      </c>
      <c r="K1461" s="199">
        <v>33800</v>
      </c>
      <c r="L1461" s="200">
        <v>34600</v>
      </c>
      <c r="M1461" s="201">
        <v>35400</v>
      </c>
      <c r="N1461" s="201">
        <v>36200</v>
      </c>
      <c r="O1461" s="201">
        <v>37100</v>
      </c>
      <c r="P1461" s="201">
        <v>38000</v>
      </c>
      <c r="Q1461" s="201">
        <v>38900</v>
      </c>
      <c r="R1461" s="201">
        <v>38900</v>
      </c>
    </row>
    <row r="1462" spans="1:18" x14ac:dyDescent="0.25">
      <c r="A1462" s="52" t="s">
        <v>918</v>
      </c>
      <c r="C1462" s="199"/>
      <c r="D1462" s="199"/>
      <c r="E1462" s="199"/>
      <c r="F1462" s="199"/>
      <c r="G1462" s="199">
        <v>271632</v>
      </c>
      <c r="H1462" s="199">
        <v>273100</v>
      </c>
      <c r="I1462" s="199">
        <v>279400</v>
      </c>
      <c r="J1462" s="199">
        <v>286100</v>
      </c>
      <c r="K1462" s="199">
        <v>293000</v>
      </c>
      <c r="L1462" s="199">
        <v>299700</v>
      </c>
      <c r="M1462" s="199">
        <v>306300</v>
      </c>
      <c r="N1462" s="199">
        <v>313300</v>
      </c>
      <c r="O1462" s="199">
        <v>321100</v>
      </c>
      <c r="P1462" s="199">
        <v>329100</v>
      </c>
      <c r="Q1462" s="199">
        <v>337000</v>
      </c>
      <c r="R1462" s="199">
        <v>337000</v>
      </c>
    </row>
    <row r="1463" spans="1:18" x14ac:dyDescent="0.25">
      <c r="A1463" s="52" t="s">
        <v>919</v>
      </c>
      <c r="C1463" s="199"/>
      <c r="D1463" s="199"/>
      <c r="E1463" s="199"/>
      <c r="F1463" s="199"/>
      <c r="G1463" s="199">
        <v>121620</v>
      </c>
      <c r="H1463" s="199">
        <v>124200</v>
      </c>
      <c r="I1463" s="199">
        <v>127100</v>
      </c>
      <c r="J1463" s="199">
        <v>130200</v>
      </c>
      <c r="K1463" s="199">
        <v>133300</v>
      </c>
      <c r="L1463" s="199">
        <v>136400</v>
      </c>
      <c r="M1463" s="199">
        <v>139400</v>
      </c>
      <c r="N1463" s="199">
        <v>142600</v>
      </c>
      <c r="O1463" s="199">
        <v>146200</v>
      </c>
      <c r="P1463" s="199">
        <v>149900</v>
      </c>
      <c r="Q1463" s="199">
        <v>153500</v>
      </c>
      <c r="R1463" s="199">
        <v>153500</v>
      </c>
    </row>
    <row r="1464" spans="1:18" x14ac:dyDescent="0.25">
      <c r="A1464" s="59" t="s">
        <v>920</v>
      </c>
      <c r="C1464" s="199"/>
      <c r="D1464" s="199"/>
      <c r="E1464" s="199"/>
      <c r="F1464" s="122">
        <v>208387</v>
      </c>
      <c r="G1464" s="122">
        <v>0</v>
      </c>
      <c r="H1464" s="52"/>
      <c r="I1464" s="52"/>
      <c r="J1464" s="52"/>
      <c r="K1464" s="52"/>
      <c r="L1464" s="52"/>
      <c r="M1464" s="52"/>
      <c r="N1464" s="52"/>
      <c r="O1464" s="52"/>
      <c r="P1464" s="52"/>
      <c r="Q1464" s="52"/>
      <c r="R1464" s="52"/>
    </row>
    <row r="1465" spans="1:18" x14ac:dyDescent="0.25">
      <c r="A1465" s="52" t="s">
        <v>916</v>
      </c>
      <c r="C1465" s="199"/>
      <c r="D1465" s="199"/>
      <c r="E1465" s="199"/>
      <c r="F1465" s="122"/>
      <c r="G1465" s="122">
        <v>84545</v>
      </c>
      <c r="H1465" s="52">
        <v>82721</v>
      </c>
      <c r="I1465" s="52">
        <v>95454</v>
      </c>
      <c r="J1465" s="52">
        <v>112487</v>
      </c>
      <c r="K1465" s="52">
        <v>85069</v>
      </c>
      <c r="L1465" s="52">
        <v>96172</v>
      </c>
      <c r="M1465" s="50">
        <f t="shared" ref="M1465:M1467" si="840">L1465*1.022</f>
        <v>98287.784</v>
      </c>
      <c r="N1465" s="50">
        <f t="shared" ref="N1465:N1467" si="841">M1465*1.023</f>
        <v>100548.40303199999</v>
      </c>
      <c r="O1465" s="50">
        <f t="shared" ref="O1465:P1467" si="842">N1465*1.025</f>
        <v>103062.11310779997</v>
      </c>
      <c r="P1465" s="50">
        <f t="shared" si="842"/>
        <v>105638.66593549497</v>
      </c>
      <c r="Q1465" s="50">
        <f t="shared" ref="Q1465:R1467" si="843">P1465*1.024</f>
        <v>108173.99391794685</v>
      </c>
      <c r="R1465" s="50">
        <f t="shared" si="843"/>
        <v>110770.16977197757</v>
      </c>
    </row>
    <row r="1466" spans="1:18" x14ac:dyDescent="0.25">
      <c r="A1466" s="52" t="s">
        <v>918</v>
      </c>
      <c r="C1466" s="199"/>
      <c r="D1466" s="199"/>
      <c r="E1466" s="199"/>
      <c r="F1466" s="122"/>
      <c r="G1466" s="122">
        <v>49161</v>
      </c>
      <c r="H1466" s="52">
        <v>99971</v>
      </c>
      <c r="I1466" s="50">
        <f t="shared" ref="I1466:I1467" si="844">H1466*1.023</f>
        <v>102270.33299999998</v>
      </c>
      <c r="J1466" s="50">
        <f t="shared" ref="J1466:K1467" si="845">I1466*1.024</f>
        <v>104724.82099199998</v>
      </c>
      <c r="K1466" s="50">
        <f t="shared" si="845"/>
        <v>107238.21669580798</v>
      </c>
      <c r="L1466" s="50">
        <f t="shared" ref="L1466:L1467" si="846">K1466*1.023</f>
        <v>109704.69567981156</v>
      </c>
      <c r="M1466" s="50">
        <f t="shared" si="840"/>
        <v>112118.19898476741</v>
      </c>
      <c r="N1466" s="50">
        <f t="shared" si="841"/>
        <v>114696.91756141705</v>
      </c>
      <c r="O1466" s="50">
        <f t="shared" si="842"/>
        <v>117564.34050045247</v>
      </c>
      <c r="P1466" s="50">
        <f t="shared" si="842"/>
        <v>120503.44901296377</v>
      </c>
      <c r="Q1466" s="50">
        <f t="shared" si="843"/>
        <v>123395.5317892749</v>
      </c>
      <c r="R1466" s="50">
        <f t="shared" si="843"/>
        <v>126357.0245522175</v>
      </c>
    </row>
    <row r="1467" spans="1:18" x14ac:dyDescent="0.25">
      <c r="A1467" s="52" t="s">
        <v>919</v>
      </c>
      <c r="C1467" s="199"/>
      <c r="D1467" s="199"/>
      <c r="E1467" s="199"/>
      <c r="F1467" s="122"/>
      <c r="G1467" s="122">
        <v>53404</v>
      </c>
      <c r="H1467" s="52">
        <v>11924</v>
      </c>
      <c r="I1467" s="50">
        <f t="shared" si="844"/>
        <v>12198.251999999999</v>
      </c>
      <c r="J1467" s="50">
        <f t="shared" si="845"/>
        <v>12491.010047999998</v>
      </c>
      <c r="K1467" s="50">
        <f t="shared" si="845"/>
        <v>12790.794289151998</v>
      </c>
      <c r="L1467" s="50">
        <f t="shared" si="846"/>
        <v>13084.982557802492</v>
      </c>
      <c r="M1467" s="50">
        <f t="shared" si="840"/>
        <v>13372.852174074147</v>
      </c>
      <c r="N1467" s="50">
        <f t="shared" si="841"/>
        <v>13680.427774077851</v>
      </c>
      <c r="O1467" s="50">
        <f t="shared" si="842"/>
        <v>14022.438468429797</v>
      </c>
      <c r="P1467" s="50">
        <f t="shared" si="842"/>
        <v>14372.99943014054</v>
      </c>
      <c r="Q1467" s="50">
        <f t="shared" si="843"/>
        <v>14717.951416463913</v>
      </c>
      <c r="R1467" s="50">
        <f t="shared" si="843"/>
        <v>15071.182250459047</v>
      </c>
    </row>
    <row r="1468" spans="1:18" x14ac:dyDescent="0.25">
      <c r="A1468" s="52" t="s">
        <v>921</v>
      </c>
      <c r="B1468" s="53"/>
      <c r="C1468" s="50">
        <v>30777</v>
      </c>
      <c r="D1468" s="54">
        <v>46471</v>
      </c>
      <c r="E1468" s="43">
        <v>44885</v>
      </c>
      <c r="F1468" s="54">
        <v>54693</v>
      </c>
      <c r="G1468" s="54">
        <v>53829</v>
      </c>
      <c r="H1468" s="54">
        <v>45000</v>
      </c>
      <c r="I1468" s="54">
        <v>46063</v>
      </c>
      <c r="J1468" s="54">
        <v>47240.261999999995</v>
      </c>
      <c r="K1468" s="54">
        <v>48477.391337999994</v>
      </c>
      <c r="L1468" s="54">
        <v>49744.610345273984</v>
      </c>
      <c r="M1468" s="54">
        <v>50996.254666584515</v>
      </c>
      <c r="N1468" s="54">
        <v>52282.775238335314</v>
      </c>
      <c r="O1468" s="54">
        <v>53706.859535145632</v>
      </c>
      <c r="P1468" s="54">
        <v>55204.793100443239</v>
      </c>
      <c r="Q1468" s="54">
        <v>56708.087009891889</v>
      </c>
      <c r="R1468" s="54">
        <v>58253.524854918607</v>
      </c>
    </row>
    <row r="1469" spans="1:18" x14ac:dyDescent="0.25">
      <c r="A1469" s="52" t="s">
        <v>922</v>
      </c>
      <c r="B1469" s="53"/>
      <c r="C1469" s="50">
        <v>6611</v>
      </c>
      <c r="D1469" s="54">
        <v>1545</v>
      </c>
      <c r="E1469" s="43">
        <v>5035</v>
      </c>
      <c r="F1469" s="54">
        <v>13678</v>
      </c>
      <c r="G1469" s="54">
        <v>0</v>
      </c>
      <c r="H1469" s="54">
        <v>12000</v>
      </c>
      <c r="I1469" s="54">
        <v>12278</v>
      </c>
      <c r="J1469" s="54">
        <v>12577.796999999999</v>
      </c>
      <c r="K1469" s="54">
        <v>12887.047203</v>
      </c>
      <c r="L1469" s="54">
        <v>13194.323503418997</v>
      </c>
      <c r="M1469" s="54">
        <v>13495.831684330964</v>
      </c>
      <c r="N1469" s="54">
        <v>13814.350578386244</v>
      </c>
      <c r="O1469" s="54">
        <v>14168.067551121036</v>
      </c>
      <c r="P1469" s="54">
        <v>14533.359388250417</v>
      </c>
      <c r="Q1469" s="54">
        <v>14894.901361785427</v>
      </c>
      <c r="R1469" s="54">
        <v>15265.553548524656</v>
      </c>
    </row>
    <row r="1470" spans="1:18" x14ac:dyDescent="0.25">
      <c r="A1470" s="43" t="s">
        <v>923</v>
      </c>
      <c r="B1470" s="53"/>
      <c r="C1470" s="50">
        <v>0</v>
      </c>
      <c r="D1470" s="50">
        <f>C1470*1.038</f>
        <v>0</v>
      </c>
      <c r="E1470" s="50">
        <f>D1470*1.038</f>
        <v>0</v>
      </c>
      <c r="F1470" s="50">
        <v>0</v>
      </c>
      <c r="G1470" s="50">
        <v>0</v>
      </c>
      <c r="H1470" s="50">
        <v>20000</v>
      </c>
      <c r="I1470" s="50">
        <f>H1470*1.025</f>
        <v>20500</v>
      </c>
      <c r="J1470" s="50">
        <f>I1470*1.029</f>
        <v>21094.5</v>
      </c>
      <c r="K1470" s="54">
        <f>J1470*1.031</f>
        <v>21748.429499999998</v>
      </c>
      <c r="L1470" s="54">
        <f>K1470*1.033</f>
        <v>22466.127673499996</v>
      </c>
      <c r="M1470" s="54">
        <f>L1470*1.032</f>
        <v>23185.043759051998</v>
      </c>
      <c r="N1470" s="54">
        <f>M1470*1.03</f>
        <v>23880.595071823558</v>
      </c>
      <c r="O1470" s="54">
        <f>N1470*1.032</f>
        <v>24644.774114121912</v>
      </c>
      <c r="P1470" s="54">
        <f>O1470*1.034</f>
        <v>25482.696434002057</v>
      </c>
      <c r="Q1470" s="54">
        <f>P1470*1.034</f>
        <v>26349.108112758127</v>
      </c>
      <c r="R1470" s="54">
        <f>Q1470*1.034</f>
        <v>27244.977788591903</v>
      </c>
    </row>
    <row r="1471" spans="1:18" x14ac:dyDescent="0.25">
      <c r="A1471" s="52" t="s">
        <v>924</v>
      </c>
      <c r="B1471" s="53"/>
      <c r="C1471" s="50"/>
      <c r="D1471" s="50"/>
      <c r="E1471" s="50"/>
      <c r="F1471" s="50"/>
      <c r="G1471" s="50"/>
      <c r="H1471" s="50"/>
      <c r="I1471" s="50"/>
      <c r="J1471" s="50"/>
      <c r="K1471" s="50"/>
      <c r="L1471" s="50"/>
      <c r="M1471" s="50"/>
      <c r="N1471" s="50"/>
      <c r="O1471" s="50"/>
      <c r="P1471" s="50"/>
      <c r="Q1471" s="50"/>
      <c r="R1471" s="50"/>
    </row>
    <row r="1472" spans="1:18" x14ac:dyDescent="0.25">
      <c r="A1472" s="52" t="s">
        <v>925</v>
      </c>
      <c r="B1472" s="53"/>
      <c r="C1472" s="50"/>
      <c r="D1472" s="50"/>
      <c r="E1472" s="50"/>
      <c r="F1472" s="50"/>
      <c r="G1472" s="50"/>
      <c r="H1472" s="50"/>
      <c r="I1472" s="50"/>
      <c r="J1472" s="50"/>
      <c r="K1472" s="50"/>
      <c r="L1472" s="50"/>
      <c r="M1472" s="50"/>
      <c r="N1472" s="50"/>
      <c r="O1472" s="50"/>
      <c r="P1472" s="50"/>
      <c r="Q1472" s="50"/>
      <c r="R1472" s="50"/>
    </row>
    <row r="1473" spans="1:18" x14ac:dyDescent="0.25">
      <c r="A1473" s="52" t="s">
        <v>926</v>
      </c>
      <c r="B1473" s="53"/>
      <c r="C1473" s="50">
        <v>3064</v>
      </c>
      <c r="D1473" s="54">
        <v>4622</v>
      </c>
      <c r="E1473" s="43">
        <v>2052</v>
      </c>
      <c r="F1473" s="54">
        <v>7309</v>
      </c>
      <c r="G1473" s="54">
        <v>10216</v>
      </c>
      <c r="H1473" s="54">
        <v>9300</v>
      </c>
      <c r="I1473" s="54">
        <v>9521.9</v>
      </c>
      <c r="J1473" s="54">
        <v>9770.9256000000005</v>
      </c>
      <c r="K1473" s="54">
        <v>10034.960114400001</v>
      </c>
      <c r="L1473" s="54">
        <v>10309.2610560312</v>
      </c>
      <c r="M1473" s="50">
        <v>10580.997054610885</v>
      </c>
      <c r="N1473" s="54">
        <v>10856.819048129608</v>
      </c>
      <c r="O1473" s="54">
        <v>11161.672357433401</v>
      </c>
      <c r="P1473" s="54">
        <v>11485.074759774656</v>
      </c>
      <c r="Q1473" s="54">
        <v>11811.681946877252</v>
      </c>
      <c r="R1473" s="54">
        <v>12147.860529827822</v>
      </c>
    </row>
    <row r="1474" spans="1:18" x14ac:dyDescent="0.25">
      <c r="A1474" s="52" t="s">
        <v>927</v>
      </c>
      <c r="B1474" s="53"/>
      <c r="C1474" s="50">
        <v>0</v>
      </c>
      <c r="D1474" s="54">
        <v>4262</v>
      </c>
      <c r="E1474" s="43">
        <v>103</v>
      </c>
      <c r="F1474" s="54"/>
      <c r="G1474" s="54">
        <v>0</v>
      </c>
      <c r="H1474" s="54">
        <v>5000</v>
      </c>
      <c r="I1474" s="54">
        <v>5117</v>
      </c>
      <c r="J1474" s="54">
        <v>5244.9329999999991</v>
      </c>
      <c r="K1474" s="54">
        <v>5378.1944669999993</v>
      </c>
      <c r="L1474" s="54">
        <v>5512.767154490999</v>
      </c>
      <c r="M1474" s="54">
        <v>5645.2810957265519</v>
      </c>
      <c r="N1474" s="54">
        <v>5783.2373262439296</v>
      </c>
      <c r="O1474" s="54">
        <v>5936.1764676751664</v>
      </c>
      <c r="P1474" s="54">
        <v>6095.6710277183993</v>
      </c>
      <c r="Q1474" s="54">
        <v>6254.7084806006424</v>
      </c>
      <c r="R1474" s="54">
        <v>6417.996038191437</v>
      </c>
    </row>
    <row r="1475" spans="1:18" x14ac:dyDescent="0.25">
      <c r="A1475" s="52" t="s">
        <v>928</v>
      </c>
      <c r="B1475" s="53"/>
      <c r="C1475" s="50">
        <v>119917</v>
      </c>
      <c r="D1475" s="50">
        <v>111184</v>
      </c>
      <c r="E1475" s="43">
        <f>112771+67540</f>
        <v>180311</v>
      </c>
      <c r="F1475" s="50">
        <v>112042</v>
      </c>
      <c r="G1475" s="50">
        <v>105649</v>
      </c>
      <c r="H1475" s="50">
        <v>96800</v>
      </c>
      <c r="I1475" s="54">
        <v>99043.999999999985</v>
      </c>
      <c r="J1475" s="54">
        <v>101466.156</v>
      </c>
      <c r="K1475" s="54">
        <v>103966.31480399999</v>
      </c>
      <c r="L1475" s="54">
        <v>106453.23313429199</v>
      </c>
      <c r="M1475" s="54">
        <v>108894.05522500981</v>
      </c>
      <c r="N1475" s="54">
        <v>111470.02842996293</v>
      </c>
      <c r="O1475" s="54">
        <v>114330.3313735332</v>
      </c>
      <c r="P1475" s="54">
        <v>117286.18296336345</v>
      </c>
      <c r="Q1475" s="54">
        <v>120213.17521879377</v>
      </c>
      <c r="R1475" s="54">
        <v>123214.22749974095</v>
      </c>
    </row>
    <row r="1476" spans="1:18" x14ac:dyDescent="0.25">
      <c r="A1476" s="52" t="s">
        <v>895</v>
      </c>
      <c r="B1476" s="53"/>
      <c r="C1476" s="50">
        <v>254771</v>
      </c>
      <c r="D1476" s="50">
        <v>239510</v>
      </c>
      <c r="E1476" s="50">
        <v>222473</v>
      </c>
      <c r="F1476" s="50">
        <v>225767</v>
      </c>
      <c r="G1476" s="50">
        <v>253484</v>
      </c>
      <c r="H1476" s="50">
        <v>262000</v>
      </c>
      <c r="I1476" s="54">
        <f t="shared" ref="I1476" si="847">H1476*1.023</f>
        <v>268026</v>
      </c>
      <c r="J1476" s="54">
        <f t="shared" ref="J1476:K1476" si="848">I1476*1.024</f>
        <v>274458.62400000001</v>
      </c>
      <c r="K1476" s="54">
        <f t="shared" si="848"/>
        <v>281045.63097600004</v>
      </c>
      <c r="L1476" s="54">
        <f t="shared" ref="L1476" si="849">K1476*1.023</f>
        <v>287509.68048844801</v>
      </c>
      <c r="M1476" s="54">
        <f t="shared" ref="M1476" si="850">L1476*1.022</f>
        <v>293834.89345919387</v>
      </c>
      <c r="N1476" s="54">
        <f t="shared" ref="N1476" si="851">M1476*1.023</f>
        <v>300593.09600875532</v>
      </c>
      <c r="O1476" s="54">
        <f t="shared" ref="O1476:P1476" si="852">N1476*1.025</f>
        <v>308107.92340897419</v>
      </c>
      <c r="P1476" s="54">
        <f t="shared" si="852"/>
        <v>315810.62149419851</v>
      </c>
      <c r="Q1476" s="54">
        <f t="shared" ref="Q1476:R1476" si="853">P1476*1.024</f>
        <v>323390.07641005929</v>
      </c>
      <c r="R1476" s="54">
        <f t="shared" si="853"/>
        <v>331151.43824390072</v>
      </c>
    </row>
    <row r="1477" spans="1:18" x14ac:dyDescent="0.25">
      <c r="A1477" s="52" t="s">
        <v>929</v>
      </c>
      <c r="B1477" s="53"/>
      <c r="C1477" s="50"/>
      <c r="D1477" s="50"/>
      <c r="E1477" s="43">
        <v>0</v>
      </c>
      <c r="F1477" s="50"/>
      <c r="G1477" s="50"/>
      <c r="H1477" s="50"/>
      <c r="I1477" s="50"/>
      <c r="J1477" s="50"/>
      <c r="K1477" s="50"/>
      <c r="L1477" s="50"/>
      <c r="M1477" s="50"/>
      <c r="N1477" s="50"/>
      <c r="O1477" s="50"/>
      <c r="P1477" s="50"/>
      <c r="Q1477" s="50"/>
      <c r="R1477" s="50"/>
    </row>
    <row r="1478" spans="1:18" x14ac:dyDescent="0.25">
      <c r="A1478" s="52" t="s">
        <v>930</v>
      </c>
      <c r="B1478" s="53"/>
      <c r="C1478" s="50">
        <f>520716-458225</f>
        <v>62491</v>
      </c>
      <c r="D1478" s="54">
        <v>90113</v>
      </c>
      <c r="E1478" s="52">
        <f>207127-111024</f>
        <v>96103</v>
      </c>
      <c r="F1478" s="50">
        <v>103968</v>
      </c>
      <c r="G1478" s="50">
        <v>110285</v>
      </c>
      <c r="H1478" s="50">
        <v>110600</v>
      </c>
      <c r="I1478" s="54">
        <v>113314.19999999998</v>
      </c>
      <c r="J1478" s="54">
        <v>116470.39079999998</v>
      </c>
      <c r="K1478" s="54">
        <v>119894.71816919997</v>
      </c>
      <c r="L1478" s="54">
        <v>123578.77978379156</v>
      </c>
      <c r="M1478" s="54">
        <v>127254.56997792608</v>
      </c>
      <c r="N1478" s="54">
        <v>130872.8030923133</v>
      </c>
      <c r="O1478" s="54">
        <v>134856.74251466291</v>
      </c>
      <c r="P1478" s="54">
        <v>139173.04171706495</v>
      </c>
      <c r="Q1478" s="54">
        <v>143598.757586363</v>
      </c>
      <c r="R1478" s="54">
        <v>148167.5997740392</v>
      </c>
    </row>
    <row r="1479" spans="1:18" x14ac:dyDescent="0.25">
      <c r="A1479" s="52" t="s">
        <v>931</v>
      </c>
      <c r="B1479" s="53"/>
      <c r="C1479" s="50">
        <v>458225</v>
      </c>
      <c r="D1479" s="54">
        <v>423680</v>
      </c>
      <c r="E1479" s="43">
        <v>111024</v>
      </c>
      <c r="F1479" s="54">
        <v>256200</v>
      </c>
      <c r="G1479" s="54">
        <v>144309</v>
      </c>
      <c r="H1479" s="54">
        <v>180000</v>
      </c>
      <c r="I1479" s="54">
        <f t="shared" ref="I1479" si="854">H1479*1.023</f>
        <v>184139.99999999997</v>
      </c>
      <c r="J1479" s="54">
        <f t="shared" ref="J1479:K1479" si="855">I1479*1.024</f>
        <v>188559.35999999999</v>
      </c>
      <c r="K1479" s="54">
        <f t="shared" si="855"/>
        <v>193084.78464</v>
      </c>
      <c r="L1479" s="54">
        <f t="shared" ref="L1479" si="856">K1479*1.023</f>
        <v>197525.73468671998</v>
      </c>
      <c r="M1479" s="54">
        <f t="shared" ref="M1479" si="857">L1479*1.022</f>
        <v>201871.30084982782</v>
      </c>
      <c r="N1479" s="54">
        <f t="shared" ref="N1479" si="858">M1479*1.023</f>
        <v>206514.34076937384</v>
      </c>
      <c r="O1479" s="54">
        <f t="shared" ref="O1479:P1479" si="859">N1479*1.025</f>
        <v>211677.19928860816</v>
      </c>
      <c r="P1479" s="54">
        <f t="shared" si="859"/>
        <v>216969.12927082335</v>
      </c>
      <c r="Q1479" s="54">
        <f t="shared" ref="Q1479" si="860">P1479*1.024</f>
        <v>222176.38837332311</v>
      </c>
      <c r="R1479" s="54">
        <v>227508.62169428286</v>
      </c>
    </row>
    <row r="1480" spans="1:18" x14ac:dyDescent="0.25">
      <c r="A1480" s="52" t="s">
        <v>932</v>
      </c>
      <c r="B1480" s="53"/>
      <c r="C1480" s="50"/>
      <c r="D1480" s="50"/>
      <c r="E1480" s="43">
        <v>0</v>
      </c>
      <c r="F1480" s="50"/>
      <c r="G1480" s="50"/>
      <c r="H1480" s="50"/>
      <c r="I1480" s="50"/>
      <c r="J1480" s="50"/>
      <c r="K1480" s="50"/>
      <c r="L1480" s="50"/>
      <c r="M1480" s="50"/>
      <c r="N1480" s="50"/>
      <c r="O1480" s="50"/>
      <c r="P1480" s="50"/>
      <c r="Q1480" s="50"/>
      <c r="R1480" s="50"/>
    </row>
    <row r="1481" spans="1:18" x14ac:dyDescent="0.25">
      <c r="A1481" s="52" t="s">
        <v>933</v>
      </c>
      <c r="B1481" s="53"/>
      <c r="C1481" s="50">
        <v>3540</v>
      </c>
      <c r="D1481" s="54">
        <v>24500</v>
      </c>
      <c r="E1481" s="43">
        <f>6893-1616</f>
        <v>5277</v>
      </c>
      <c r="F1481" s="54">
        <v>29919</v>
      </c>
      <c r="G1481" s="54">
        <v>1519</v>
      </c>
      <c r="H1481" s="54">
        <v>6500</v>
      </c>
      <c r="I1481" s="54">
        <v>6659.7000000000007</v>
      </c>
      <c r="J1481" s="54">
        <v>6832.7270999999982</v>
      </c>
      <c r="K1481" s="54">
        <v>7013.5693029000013</v>
      </c>
      <c r="L1481" s="54">
        <v>7197.4974754917002</v>
      </c>
      <c r="M1481" s="54">
        <v>7379.557195007641</v>
      </c>
      <c r="N1481" s="54">
        <v>7568.4101525075694</v>
      </c>
      <c r="O1481" s="54">
        <v>7776.9156296064029</v>
      </c>
      <c r="P1481" s="54">
        <v>7995.0695492907053</v>
      </c>
      <c r="Q1481" s="54">
        <v>8213.8118614066661</v>
      </c>
      <c r="R1481" s="54">
        <v>8438.8412288028521</v>
      </c>
    </row>
    <row r="1482" spans="1:18" x14ac:dyDescent="0.25">
      <c r="A1482" s="43" t="s">
        <v>934</v>
      </c>
      <c r="C1482" s="71">
        <v>1320</v>
      </c>
      <c r="D1482" s="71">
        <v>1408</v>
      </c>
      <c r="E1482" s="71">
        <v>1616</v>
      </c>
      <c r="F1482" s="105">
        <v>1791</v>
      </c>
      <c r="G1482" s="73">
        <v>1791</v>
      </c>
      <c r="H1482" s="73">
        <v>2630</v>
      </c>
      <c r="I1482" s="73">
        <v>2670</v>
      </c>
      <c r="J1482" s="73">
        <v>2720</v>
      </c>
      <c r="K1482" s="73">
        <v>2810</v>
      </c>
      <c r="L1482" s="73">
        <v>2850</v>
      </c>
      <c r="M1482" s="73">
        <v>2940</v>
      </c>
      <c r="N1482" s="73">
        <v>3000</v>
      </c>
      <c r="O1482" s="73">
        <v>3050</v>
      </c>
      <c r="P1482" s="73">
        <v>3150</v>
      </c>
      <c r="Q1482" s="73">
        <v>3200</v>
      </c>
      <c r="R1482" s="73">
        <v>3200</v>
      </c>
    </row>
    <row r="1483" spans="1:18" x14ac:dyDescent="0.25">
      <c r="C1483" s="50"/>
      <c r="D1483" s="50"/>
      <c r="E1483" s="50"/>
      <c r="F1483" s="50"/>
      <c r="G1483" s="50"/>
      <c r="H1483" s="50"/>
      <c r="I1483" s="50"/>
      <c r="J1483" s="50"/>
      <c r="K1483" s="50"/>
      <c r="L1483" s="50"/>
      <c r="M1483" s="50"/>
      <c r="N1483" s="50"/>
      <c r="O1483" s="50"/>
      <c r="P1483" s="50"/>
      <c r="Q1483" s="50"/>
      <c r="R1483" s="50"/>
    </row>
    <row r="1484" spans="1:18" x14ac:dyDescent="0.25">
      <c r="A1484" s="41" t="s">
        <v>230</v>
      </c>
      <c r="B1484" s="44"/>
      <c r="C1484" s="51">
        <f t="shared" ref="C1484:Q1484" si="861">SUM(C1438:C1483)</f>
        <v>3100277</v>
      </c>
      <c r="D1484" s="51">
        <f t="shared" si="861"/>
        <v>3169484</v>
      </c>
      <c r="E1484" s="51">
        <f t="shared" si="861"/>
        <v>3054354</v>
      </c>
      <c r="F1484" s="51">
        <f t="shared" ref="F1484:G1484" si="862">SUM(F1438:F1483)</f>
        <v>3415433</v>
      </c>
      <c r="G1484" s="51">
        <f t="shared" si="862"/>
        <v>3139179</v>
      </c>
      <c r="H1484" s="51">
        <f t="shared" si="861"/>
        <v>3308383</v>
      </c>
      <c r="I1484" s="51">
        <f t="shared" si="861"/>
        <v>3385917.1850000001</v>
      </c>
      <c r="J1484" s="51">
        <f t="shared" si="861"/>
        <v>3479047.55914</v>
      </c>
      <c r="K1484" s="51">
        <f t="shared" si="861"/>
        <v>3520440.59508686</v>
      </c>
      <c r="L1484" s="51">
        <f t="shared" si="861"/>
        <v>3606394.796380633</v>
      </c>
      <c r="M1484" s="51">
        <f t="shared" si="861"/>
        <v>3697192.2965648244</v>
      </c>
      <c r="N1484" s="51">
        <f t="shared" si="861"/>
        <v>3791942.9474234413</v>
      </c>
      <c r="O1484" s="51">
        <f t="shared" si="861"/>
        <v>3895733.8077036315</v>
      </c>
      <c r="P1484" s="51">
        <f t="shared" si="861"/>
        <v>4004963.029583971</v>
      </c>
      <c r="Q1484" s="51">
        <f t="shared" si="861"/>
        <v>4114678.878302115</v>
      </c>
      <c r="R1484" s="51">
        <f t="shared" ref="R1484" si="863">SUM(R1438:R1483)</f>
        <v>4213640.4646887388</v>
      </c>
    </row>
    <row r="1485" spans="1:18" x14ac:dyDescent="0.25">
      <c r="C1485" s="50"/>
      <c r="D1485" s="50"/>
      <c r="E1485" s="50"/>
      <c r="F1485" s="50"/>
      <c r="G1485" s="50"/>
      <c r="H1485" s="50"/>
      <c r="I1485" s="50"/>
      <c r="J1485" s="50"/>
      <c r="K1485" s="50"/>
      <c r="L1485" s="50"/>
      <c r="M1485" s="50"/>
      <c r="N1485" s="50"/>
      <c r="O1485" s="50"/>
      <c r="P1485" s="50"/>
      <c r="Q1485" s="50"/>
      <c r="R1485" s="50"/>
    </row>
    <row r="1486" spans="1:18" x14ac:dyDescent="0.25">
      <c r="A1486" s="41" t="s">
        <v>251</v>
      </c>
      <c r="B1486" s="44"/>
      <c r="C1486" s="50"/>
      <c r="D1486" s="50"/>
      <c r="E1486" s="50"/>
      <c r="F1486" s="50"/>
      <c r="G1486" s="50"/>
      <c r="H1486" s="50"/>
      <c r="I1486" s="50"/>
      <c r="J1486" s="50"/>
      <c r="K1486" s="50"/>
      <c r="L1486" s="50"/>
      <c r="M1486" s="50"/>
      <c r="N1486" s="50"/>
      <c r="O1486" s="50"/>
      <c r="P1486" s="50"/>
      <c r="Q1486" s="50"/>
      <c r="R1486" s="50"/>
    </row>
    <row r="1487" spans="1:18" x14ac:dyDescent="0.25">
      <c r="C1487" s="50"/>
      <c r="D1487" s="50"/>
      <c r="E1487" s="50"/>
      <c r="F1487" s="50"/>
      <c r="G1487" s="50"/>
      <c r="H1487" s="50"/>
      <c r="I1487" s="50"/>
      <c r="J1487" s="50"/>
      <c r="K1487" s="50"/>
      <c r="L1487" s="50"/>
      <c r="M1487" s="50"/>
      <c r="N1487" s="50"/>
      <c r="O1487" s="50"/>
      <c r="P1487" s="50"/>
      <c r="Q1487" s="50"/>
      <c r="R1487" s="50"/>
    </row>
    <row r="1488" spans="1:18" x14ac:dyDescent="0.25">
      <c r="A1488" s="43" t="s">
        <v>935</v>
      </c>
      <c r="C1488" s="50">
        <v>0</v>
      </c>
      <c r="D1488" s="54">
        <f>C1488*1.024</f>
        <v>0</v>
      </c>
      <c r="E1488" s="54">
        <f>D1488*1.024</f>
        <v>0</v>
      </c>
      <c r="F1488" s="54">
        <v>0</v>
      </c>
      <c r="G1488" s="54">
        <v>0</v>
      </c>
      <c r="H1488" s="54">
        <v>0</v>
      </c>
      <c r="I1488" s="54">
        <v>0</v>
      </c>
      <c r="J1488" s="54">
        <v>0</v>
      </c>
      <c r="K1488" s="54">
        <v>0</v>
      </c>
      <c r="L1488" s="54">
        <v>0</v>
      </c>
      <c r="M1488" s="54">
        <v>0</v>
      </c>
      <c r="N1488" s="54">
        <v>0</v>
      </c>
      <c r="O1488" s="54">
        <v>0</v>
      </c>
      <c r="P1488" s="54">
        <v>0</v>
      </c>
      <c r="Q1488" s="54">
        <f>P1488*1.028</f>
        <v>0</v>
      </c>
      <c r="R1488" s="54">
        <f>Q1488*1.028</f>
        <v>0</v>
      </c>
    </row>
    <row r="1489" spans="1:18" x14ac:dyDescent="0.25">
      <c r="A1489" s="64" t="s">
        <v>936</v>
      </c>
      <c r="B1489" s="164" t="s">
        <v>245</v>
      </c>
      <c r="C1489" s="50"/>
      <c r="D1489" s="63">
        <v>62487</v>
      </c>
      <c r="E1489" s="130">
        <v>119337</v>
      </c>
      <c r="F1489" s="130">
        <v>25497</v>
      </c>
      <c r="G1489" s="63">
        <v>0</v>
      </c>
      <c r="H1489" s="50"/>
      <c r="I1489" s="50"/>
      <c r="J1489" s="54"/>
      <c r="K1489" s="54"/>
      <c r="L1489" s="54"/>
      <c r="M1489" s="54"/>
      <c r="N1489" s="54"/>
      <c r="O1489" s="54"/>
      <c r="P1489" s="54"/>
      <c r="Q1489" s="54"/>
      <c r="R1489" s="54"/>
    </row>
    <row r="1490" spans="1:18" x14ac:dyDescent="0.25">
      <c r="A1490" s="202" t="s">
        <v>937</v>
      </c>
      <c r="B1490" s="164"/>
      <c r="C1490" s="50"/>
      <c r="D1490" s="50"/>
      <c r="E1490" s="50"/>
      <c r="F1490" s="50"/>
      <c r="G1490" s="63">
        <v>15979</v>
      </c>
      <c r="H1490" s="50"/>
      <c r="I1490" s="50"/>
      <c r="J1490" s="54"/>
      <c r="K1490" s="54"/>
      <c r="L1490" s="54"/>
      <c r="M1490" s="54"/>
      <c r="N1490" s="54"/>
      <c r="O1490" s="54"/>
      <c r="P1490" s="54"/>
      <c r="Q1490" s="54"/>
      <c r="R1490" s="54"/>
    </row>
    <row r="1491" spans="1:18" x14ac:dyDescent="0.25">
      <c r="A1491" s="146" t="s">
        <v>938</v>
      </c>
      <c r="B1491" s="164"/>
      <c r="C1491" s="50"/>
      <c r="D1491" s="50"/>
      <c r="E1491" s="50"/>
      <c r="F1491" s="50"/>
      <c r="G1491" s="63"/>
      <c r="H1491" s="50"/>
      <c r="I1491" s="50"/>
      <c r="J1491" s="54"/>
      <c r="K1491" s="54"/>
      <c r="L1491" s="54"/>
      <c r="M1491" s="54"/>
      <c r="N1491" s="54"/>
      <c r="O1491" s="54"/>
      <c r="P1491" s="54"/>
      <c r="Q1491" s="54"/>
      <c r="R1491" s="54"/>
    </row>
    <row r="1492" spans="1:18" x14ac:dyDescent="0.25">
      <c r="A1492" s="61" t="s">
        <v>933</v>
      </c>
      <c r="B1492" s="164"/>
      <c r="C1492" s="50"/>
      <c r="D1492" s="50"/>
      <c r="E1492" s="50"/>
      <c r="F1492" s="50"/>
      <c r="G1492" s="63"/>
      <c r="H1492" s="50"/>
      <c r="I1492" s="50"/>
      <c r="J1492" s="50"/>
      <c r="K1492" s="50"/>
      <c r="L1492" s="50"/>
      <c r="M1492" s="50"/>
      <c r="N1492" s="50"/>
      <c r="O1492" s="50"/>
      <c r="P1492" s="50"/>
      <c r="Q1492" s="50"/>
      <c r="R1492" s="50"/>
    </row>
    <row r="1493" spans="1:18" x14ac:dyDescent="0.25">
      <c r="A1493" s="41" t="s">
        <v>254</v>
      </c>
      <c r="B1493" s="44"/>
      <c r="C1493" s="51">
        <f t="shared" ref="C1493" si="864">SUM(C1488:C1492)</f>
        <v>0</v>
      </c>
      <c r="D1493" s="51">
        <f t="shared" ref="D1493:G1493" si="865">SUM(D1489:D1492)</f>
        <v>62487</v>
      </c>
      <c r="E1493" s="51">
        <f t="shared" si="865"/>
        <v>119337</v>
      </c>
      <c r="F1493" s="51">
        <f t="shared" si="865"/>
        <v>25497</v>
      </c>
      <c r="G1493" s="51">
        <f t="shared" si="865"/>
        <v>15979</v>
      </c>
      <c r="H1493" s="51">
        <f>SUM(H1489:H1492)</f>
        <v>0</v>
      </c>
      <c r="I1493" s="51">
        <f t="shared" ref="I1493:R1493" si="866">SUM(I1489:I1492)</f>
        <v>0</v>
      </c>
      <c r="J1493" s="51">
        <f t="shared" si="866"/>
        <v>0</v>
      </c>
      <c r="K1493" s="51">
        <f t="shared" si="866"/>
        <v>0</v>
      </c>
      <c r="L1493" s="51">
        <f t="shared" si="866"/>
        <v>0</v>
      </c>
      <c r="M1493" s="51">
        <f t="shared" si="866"/>
        <v>0</v>
      </c>
      <c r="N1493" s="51">
        <f t="shared" si="866"/>
        <v>0</v>
      </c>
      <c r="O1493" s="51">
        <f t="shared" si="866"/>
        <v>0</v>
      </c>
      <c r="P1493" s="51">
        <f t="shared" si="866"/>
        <v>0</v>
      </c>
      <c r="Q1493" s="51">
        <f t="shared" si="866"/>
        <v>0</v>
      </c>
      <c r="R1493" s="51">
        <f t="shared" si="866"/>
        <v>0</v>
      </c>
    </row>
    <row r="1494" spans="1:18" x14ac:dyDescent="0.25">
      <c r="C1494" s="50"/>
      <c r="D1494" s="50"/>
      <c r="E1494" s="50"/>
      <c r="F1494" s="50"/>
      <c r="G1494" s="50"/>
      <c r="H1494" s="50"/>
      <c r="I1494" s="50"/>
      <c r="J1494" s="50"/>
      <c r="K1494" s="50"/>
      <c r="L1494" s="50"/>
      <c r="M1494" s="50"/>
      <c r="N1494" s="50"/>
      <c r="O1494" s="50"/>
      <c r="P1494" s="50"/>
      <c r="Q1494" s="50"/>
      <c r="R1494" s="50"/>
    </row>
    <row r="1495" spans="1:18" x14ac:dyDescent="0.25">
      <c r="A1495" s="41" t="s">
        <v>171</v>
      </c>
      <c r="B1495" s="44"/>
      <c r="C1495" s="50"/>
      <c r="D1495" s="50"/>
      <c r="E1495" s="50"/>
      <c r="F1495" s="50"/>
      <c r="G1495" s="50"/>
      <c r="H1495" s="50"/>
      <c r="I1495" s="50"/>
      <c r="J1495" s="50"/>
      <c r="K1495" s="50"/>
      <c r="L1495" s="50"/>
      <c r="M1495" s="50"/>
      <c r="N1495" s="50"/>
      <c r="O1495" s="50"/>
      <c r="P1495" s="50"/>
      <c r="Q1495" s="50"/>
      <c r="R1495" s="50"/>
    </row>
    <row r="1496" spans="1:18" x14ac:dyDescent="0.25">
      <c r="C1496" s="50"/>
      <c r="D1496" s="50"/>
      <c r="E1496" s="50"/>
      <c r="F1496" s="50"/>
      <c r="G1496" s="50"/>
      <c r="H1496" s="50"/>
      <c r="I1496" s="50"/>
      <c r="J1496" s="50"/>
      <c r="K1496" s="50"/>
      <c r="L1496" s="50"/>
      <c r="M1496" s="50"/>
      <c r="N1496" s="50"/>
      <c r="O1496" s="50"/>
      <c r="P1496" s="50"/>
      <c r="Q1496" s="50"/>
      <c r="R1496" s="50"/>
    </row>
    <row r="1497" spans="1:18" x14ac:dyDescent="0.25">
      <c r="A1497" s="41" t="s">
        <v>939</v>
      </c>
      <c r="B1497" s="44"/>
      <c r="C1497" s="50"/>
      <c r="D1497" s="50"/>
      <c r="E1497" s="50"/>
      <c r="F1497" s="50"/>
      <c r="G1497" s="50"/>
      <c r="H1497" s="50"/>
      <c r="I1497" s="50"/>
      <c r="J1497" s="50"/>
      <c r="K1497" s="50"/>
      <c r="L1497" s="50"/>
      <c r="M1497" s="50"/>
      <c r="N1497" s="50"/>
      <c r="O1497" s="50"/>
      <c r="P1497" s="50"/>
      <c r="Q1497" s="50"/>
      <c r="R1497" s="50"/>
    </row>
    <row r="1498" spans="1:18" x14ac:dyDescent="0.25">
      <c r="A1498" s="43" t="s">
        <v>940</v>
      </c>
      <c r="C1498" s="54">
        <v>1587</v>
      </c>
      <c r="D1498" s="50">
        <v>2541</v>
      </c>
      <c r="E1498" s="43">
        <v>5384</v>
      </c>
      <c r="F1498" s="50">
        <v>5050</v>
      </c>
      <c r="G1498" s="50">
        <v>3292</v>
      </c>
      <c r="H1498" s="50">
        <v>5000</v>
      </c>
      <c r="I1498" s="54">
        <f>H1498*1.023</f>
        <v>5115</v>
      </c>
      <c r="J1498" s="54">
        <f>I1498*1.024</f>
        <v>5237.76</v>
      </c>
      <c r="K1498" s="54">
        <f>J1498*1.024</f>
        <v>5363.4662400000007</v>
      </c>
      <c r="L1498" s="54">
        <f>K1498*1.023</f>
        <v>5486.8259635200002</v>
      </c>
      <c r="M1498" s="54">
        <f>L1498*1.022</f>
        <v>5607.5361347174403</v>
      </c>
      <c r="N1498" s="54">
        <f>M1498*1.023</f>
        <v>5736.5094658159405</v>
      </c>
      <c r="O1498" s="54">
        <f>N1498*1.025</f>
        <v>5879.9222024613382</v>
      </c>
      <c r="P1498" s="54">
        <f>O1498*1.025</f>
        <v>6026.920257522871</v>
      </c>
      <c r="Q1498" s="54">
        <f>P1498*1.024</f>
        <v>6171.56634370342</v>
      </c>
      <c r="R1498" s="54">
        <f>Q1498*1.024</f>
        <v>6319.6839359523019</v>
      </c>
    </row>
    <row r="1499" spans="1:18" x14ac:dyDescent="0.25">
      <c r="A1499" s="43" t="s">
        <v>941</v>
      </c>
      <c r="C1499" s="54">
        <v>0</v>
      </c>
      <c r="D1499">
        <v>0</v>
      </c>
      <c r="E1499" s="43">
        <v>60226</v>
      </c>
      <c r="F1499">
        <v>0</v>
      </c>
      <c r="G1499" s="43">
        <v>23240</v>
      </c>
      <c r="H1499" s="43">
        <v>195000</v>
      </c>
      <c r="I1499" s="43">
        <v>178000</v>
      </c>
      <c r="J1499" s="43">
        <v>66000</v>
      </c>
      <c r="K1499" s="43">
        <v>30000</v>
      </c>
      <c r="L1499" s="43">
        <v>45000</v>
      </c>
      <c r="M1499" s="43">
        <v>142000</v>
      </c>
      <c r="N1499" s="43">
        <v>156000</v>
      </c>
      <c r="O1499" s="43">
        <v>69000</v>
      </c>
      <c r="P1499" s="43">
        <v>180000</v>
      </c>
      <c r="Q1499" s="43">
        <v>31000</v>
      </c>
      <c r="R1499" s="43">
        <v>31000</v>
      </c>
    </row>
    <row r="1500" spans="1:18" x14ac:dyDescent="0.25">
      <c r="A1500" s="43" t="s">
        <v>942</v>
      </c>
      <c r="C1500" s="54">
        <v>150464</v>
      </c>
      <c r="D1500" s="50">
        <v>143872</v>
      </c>
      <c r="E1500" s="43">
        <v>132231</v>
      </c>
      <c r="F1500">
        <v>163357</v>
      </c>
      <c r="G1500" s="50">
        <v>147041</v>
      </c>
      <c r="H1500" s="43">
        <v>253900</v>
      </c>
      <c r="I1500" s="50">
        <v>50200</v>
      </c>
      <c r="J1500" s="50">
        <v>237500</v>
      </c>
      <c r="K1500" s="50">
        <v>211025</v>
      </c>
      <c r="L1500" s="50">
        <v>178860</v>
      </c>
      <c r="M1500" s="50">
        <v>178900</v>
      </c>
      <c r="N1500" s="50">
        <v>284200</v>
      </c>
      <c r="O1500" s="50">
        <v>70400</v>
      </c>
      <c r="P1500" s="50">
        <v>229950</v>
      </c>
      <c r="Q1500" s="50">
        <v>328475</v>
      </c>
      <c r="R1500" s="50">
        <v>328475</v>
      </c>
    </row>
    <row r="1501" spans="1:18" x14ac:dyDescent="0.25">
      <c r="A1501" s="203" t="s">
        <v>943</v>
      </c>
      <c r="B1501" s="175" t="s">
        <v>691</v>
      </c>
      <c r="C1501" s="54"/>
      <c r="D1501" s="50"/>
      <c r="F1501" s="50"/>
      <c r="G1501" s="50"/>
      <c r="H1501" s="50"/>
      <c r="I1501" s="176">
        <v>217500</v>
      </c>
      <c r="J1501" s="176">
        <v>225000</v>
      </c>
      <c r="K1501" s="176">
        <v>187500</v>
      </c>
      <c r="L1501" s="176">
        <v>157500</v>
      </c>
      <c r="M1501" s="176">
        <v>135000</v>
      </c>
      <c r="N1501" s="176">
        <v>247500</v>
      </c>
      <c r="O1501" s="176">
        <v>247500</v>
      </c>
      <c r="P1501" s="176">
        <v>247500</v>
      </c>
      <c r="Q1501" s="176">
        <v>247500</v>
      </c>
      <c r="R1501" s="176">
        <v>247500</v>
      </c>
    </row>
    <row r="1502" spans="1:18" x14ac:dyDescent="0.25">
      <c r="A1502" s="203" t="s">
        <v>944</v>
      </c>
      <c r="B1502" s="175"/>
      <c r="C1502" s="54"/>
      <c r="D1502" s="50"/>
      <c r="E1502" s="177">
        <v>114165</v>
      </c>
      <c r="F1502" s="50"/>
      <c r="G1502" s="50"/>
      <c r="I1502" s="50"/>
      <c r="J1502" s="50"/>
      <c r="K1502" s="50"/>
      <c r="L1502" s="50"/>
      <c r="M1502" s="50"/>
      <c r="N1502" s="50"/>
      <c r="O1502" s="50"/>
      <c r="P1502" s="50"/>
      <c r="Q1502" s="50"/>
      <c r="R1502" s="50"/>
    </row>
    <row r="1503" spans="1:18" x14ac:dyDescent="0.25">
      <c r="A1503" s="203" t="s">
        <v>945</v>
      </c>
      <c r="B1503" s="175"/>
      <c r="C1503" s="54"/>
      <c r="D1503" s="50"/>
      <c r="E1503" s="177">
        <v>115599</v>
      </c>
      <c r="F1503" s="50"/>
      <c r="G1503" s="50"/>
      <c r="H1503" s="50"/>
      <c r="I1503" s="50"/>
      <c r="J1503" s="50"/>
      <c r="K1503" s="50"/>
      <c r="L1503" s="50"/>
      <c r="M1503" s="50"/>
      <c r="N1503" s="50"/>
      <c r="O1503" s="50"/>
      <c r="P1503" s="50"/>
      <c r="Q1503" s="50"/>
      <c r="R1503" s="50"/>
    </row>
    <row r="1504" spans="1:18" x14ac:dyDescent="0.25">
      <c r="A1504" s="203" t="s">
        <v>946</v>
      </c>
      <c r="B1504" s="175"/>
      <c r="C1504" s="54"/>
      <c r="D1504" s="50"/>
      <c r="E1504" s="177">
        <v>41530</v>
      </c>
      <c r="F1504" s="50"/>
      <c r="G1504" s="50"/>
      <c r="H1504" s="50"/>
      <c r="I1504" s="50"/>
      <c r="J1504" s="50"/>
      <c r="K1504" s="50"/>
      <c r="L1504" s="50"/>
      <c r="M1504" s="50"/>
      <c r="N1504" s="50"/>
      <c r="O1504" s="50"/>
      <c r="P1504" s="50"/>
      <c r="Q1504" s="50"/>
      <c r="R1504" s="50"/>
    </row>
    <row r="1505" spans="1:19" x14ac:dyDescent="0.25">
      <c r="A1505" s="203" t="s">
        <v>947</v>
      </c>
      <c r="B1505" s="175"/>
      <c r="C1505" s="54"/>
      <c r="D1505" s="50"/>
      <c r="E1505" s="177">
        <v>56312</v>
      </c>
      <c r="F1505" s="50"/>
      <c r="G1505" s="50"/>
      <c r="H1505" s="50"/>
      <c r="I1505" s="50"/>
      <c r="J1505" s="50"/>
      <c r="K1505" s="50"/>
      <c r="L1505" s="50"/>
      <c r="M1505" s="50"/>
      <c r="N1505" s="50"/>
      <c r="O1505" s="50"/>
      <c r="P1505" s="50"/>
      <c r="Q1505" s="50"/>
      <c r="R1505" s="50"/>
    </row>
    <row r="1506" spans="1:19" x14ac:dyDescent="0.25">
      <c r="A1506" s="61" t="s">
        <v>948</v>
      </c>
      <c r="B1506" s="164" t="s">
        <v>245</v>
      </c>
      <c r="C1506" s="67"/>
      <c r="D1506" s="63">
        <v>21012</v>
      </c>
      <c r="E1506" s="63">
        <v>10476</v>
      </c>
      <c r="F1506" s="50"/>
      <c r="G1506" s="50"/>
      <c r="H1506" s="50"/>
      <c r="I1506" s="50"/>
      <c r="J1506" s="50"/>
      <c r="K1506" s="50"/>
      <c r="L1506" s="50"/>
      <c r="M1506" s="50"/>
      <c r="N1506" s="50"/>
      <c r="O1506" s="50"/>
    </row>
    <row r="1507" spans="1:19" x14ac:dyDescent="0.25">
      <c r="A1507" s="43" t="s">
        <v>949</v>
      </c>
      <c r="B1507" s="204" t="s">
        <v>950</v>
      </c>
      <c r="C1507" s="205">
        <v>50000</v>
      </c>
      <c r="D1507" s="206"/>
      <c r="E1507" s="205">
        <v>0</v>
      </c>
      <c r="F1507" s="205">
        <v>47803</v>
      </c>
      <c r="G1507" s="205">
        <v>50000</v>
      </c>
      <c r="H1507" s="205">
        <v>50000</v>
      </c>
      <c r="I1507" s="205">
        <v>50000</v>
      </c>
      <c r="J1507" s="205">
        <v>50000</v>
      </c>
      <c r="K1507" s="205">
        <v>50000</v>
      </c>
      <c r="L1507" s="207">
        <v>50000</v>
      </c>
      <c r="M1507" s="207">
        <v>50000</v>
      </c>
      <c r="N1507" s="207">
        <v>50000</v>
      </c>
      <c r="O1507" s="207">
        <v>50000</v>
      </c>
      <c r="P1507" s="207">
        <v>50000</v>
      </c>
      <c r="Q1507" s="207">
        <v>50000</v>
      </c>
      <c r="R1507" s="207">
        <v>50000</v>
      </c>
    </row>
    <row r="1508" spans="1:19" x14ac:dyDescent="0.25">
      <c r="A1508" s="43" t="s">
        <v>951</v>
      </c>
      <c r="C1508" s="50">
        <v>0</v>
      </c>
      <c r="D1508" s="50">
        <v>399292</v>
      </c>
      <c r="E1508" s="50">
        <v>236119</v>
      </c>
      <c r="F1508" s="50">
        <v>0</v>
      </c>
      <c r="G1508" s="50">
        <v>0</v>
      </c>
      <c r="H1508" s="50">
        <v>0</v>
      </c>
      <c r="I1508" s="50">
        <v>0</v>
      </c>
      <c r="J1508" s="50">
        <v>0</v>
      </c>
      <c r="K1508" s="50">
        <v>0</v>
      </c>
      <c r="L1508" s="50">
        <v>0</v>
      </c>
      <c r="M1508" s="50">
        <v>0</v>
      </c>
      <c r="N1508" s="50">
        <v>0</v>
      </c>
      <c r="O1508" s="50">
        <v>0</v>
      </c>
      <c r="P1508" s="50">
        <v>0</v>
      </c>
      <c r="Q1508" s="50">
        <v>0</v>
      </c>
      <c r="R1508" s="50">
        <v>0</v>
      </c>
    </row>
    <row r="1509" spans="1:19" x14ac:dyDescent="0.25">
      <c r="A1509" s="52" t="s">
        <v>952</v>
      </c>
      <c r="C1509" s="50"/>
      <c r="D1509" s="50"/>
      <c r="E1509" s="50"/>
      <c r="F1509" s="50">
        <v>13760</v>
      </c>
      <c r="G1509" s="50"/>
      <c r="H1509" s="50"/>
      <c r="I1509" s="50"/>
      <c r="J1509" s="50"/>
      <c r="K1509" s="50"/>
      <c r="L1509" s="50"/>
      <c r="M1509" s="50"/>
      <c r="N1509" s="50"/>
      <c r="O1509" s="50"/>
      <c r="P1509" s="50"/>
      <c r="Q1509" s="50"/>
      <c r="R1509" s="50"/>
    </row>
    <row r="1510" spans="1:19" x14ac:dyDescent="0.25">
      <c r="A1510" s="52" t="s">
        <v>953</v>
      </c>
      <c r="C1510" s="50"/>
      <c r="D1510" s="50"/>
      <c r="E1510" s="50"/>
      <c r="F1510" s="50">
        <v>32772</v>
      </c>
      <c r="G1510" s="50"/>
      <c r="H1510" s="50"/>
      <c r="I1510" s="50"/>
      <c r="J1510" s="50"/>
      <c r="K1510" s="50"/>
      <c r="L1510" s="50"/>
      <c r="M1510" s="50"/>
      <c r="N1510" s="50"/>
      <c r="O1510" s="50"/>
      <c r="P1510" s="50"/>
      <c r="Q1510" s="50"/>
      <c r="R1510" s="50"/>
    </row>
    <row r="1511" spans="1:19" x14ac:dyDescent="0.25">
      <c r="A1511" s="43" t="s">
        <v>883</v>
      </c>
      <c r="C1511" s="50">
        <v>15000</v>
      </c>
      <c r="D1511" s="50">
        <v>15000</v>
      </c>
      <c r="E1511" s="50">
        <v>15000</v>
      </c>
      <c r="F1511" s="50">
        <v>14621</v>
      </c>
      <c r="G1511" s="50">
        <v>15000</v>
      </c>
      <c r="H1511" s="50">
        <v>15000</v>
      </c>
      <c r="I1511" s="50">
        <v>15000</v>
      </c>
      <c r="J1511" s="50">
        <v>15000</v>
      </c>
      <c r="K1511" s="50">
        <v>15000</v>
      </c>
      <c r="L1511" s="50">
        <v>15000</v>
      </c>
      <c r="M1511" s="50">
        <v>15000</v>
      </c>
      <c r="N1511" s="50">
        <v>15000</v>
      </c>
      <c r="O1511" s="50">
        <v>15000</v>
      </c>
      <c r="P1511" s="50">
        <v>15000</v>
      </c>
      <c r="Q1511" s="50">
        <v>15000</v>
      </c>
      <c r="R1511" s="50">
        <v>15000</v>
      </c>
    </row>
    <row r="1512" spans="1:19" x14ac:dyDescent="0.25">
      <c r="A1512" s="43" t="s">
        <v>954</v>
      </c>
      <c r="B1512" s="204" t="s">
        <v>950</v>
      </c>
      <c r="C1512" s="205">
        <v>145000</v>
      </c>
      <c r="D1512" s="206">
        <v>134572</v>
      </c>
      <c r="E1512" s="206">
        <v>0</v>
      </c>
      <c r="F1512" s="205">
        <v>136428</v>
      </c>
      <c r="G1512" s="205">
        <v>145000</v>
      </c>
      <c r="H1512" s="205">
        <v>145000</v>
      </c>
      <c r="I1512" s="205">
        <v>145000</v>
      </c>
      <c r="J1512" s="205">
        <v>145000</v>
      </c>
      <c r="K1512" s="205">
        <v>145000</v>
      </c>
      <c r="L1512" s="207">
        <v>145000</v>
      </c>
      <c r="M1512" s="207">
        <v>145000</v>
      </c>
      <c r="N1512" s="207">
        <v>145000</v>
      </c>
      <c r="O1512" s="207">
        <v>145000</v>
      </c>
      <c r="P1512" s="207">
        <v>145000</v>
      </c>
      <c r="Q1512" s="207">
        <v>145000</v>
      </c>
      <c r="R1512" s="207">
        <v>145000</v>
      </c>
    </row>
    <row r="1513" spans="1:19" x14ac:dyDescent="0.25">
      <c r="A1513" s="208" t="s">
        <v>955</v>
      </c>
      <c r="B1513" s="204" t="s">
        <v>950</v>
      </c>
      <c r="C1513" s="205">
        <f>529242-145000-50000</f>
        <v>334242</v>
      </c>
      <c r="D1513" s="206">
        <v>229862</v>
      </c>
      <c r="E1513" s="209">
        <f>84905+1400+37378+5100+75389+103450</f>
        <v>307622</v>
      </c>
      <c r="F1513" s="205">
        <v>306646</v>
      </c>
      <c r="G1513" s="205">
        <v>189016</v>
      </c>
      <c r="H1513" s="205">
        <f>516000-195000</f>
        <v>321000</v>
      </c>
      <c r="I1513" s="205">
        <f>527000-195000</f>
        <v>332000</v>
      </c>
      <c r="J1513" s="205">
        <f>546000-195000</f>
        <v>351000</v>
      </c>
      <c r="K1513" s="205">
        <f>513000-195000</f>
        <v>318000</v>
      </c>
      <c r="L1513" s="207">
        <f>541000-195000</f>
        <v>346000</v>
      </c>
      <c r="M1513" s="207">
        <f>550000-195000</f>
        <v>355000</v>
      </c>
      <c r="N1513" s="207">
        <f t="shared" ref="N1513:R1513" si="867">550000-195000</f>
        <v>355000</v>
      </c>
      <c r="O1513" s="207">
        <f t="shared" si="867"/>
        <v>355000</v>
      </c>
      <c r="P1513" s="207">
        <f t="shared" si="867"/>
        <v>355000</v>
      </c>
      <c r="Q1513" s="207">
        <f t="shared" si="867"/>
        <v>355000</v>
      </c>
      <c r="R1513" s="207">
        <f t="shared" si="867"/>
        <v>355000</v>
      </c>
      <c r="S1513" s="54"/>
    </row>
    <row r="1514" spans="1:19" x14ac:dyDescent="0.25">
      <c r="A1514" s="210" t="s">
        <v>956</v>
      </c>
      <c r="B1514" s="204"/>
      <c r="C1514" s="205"/>
      <c r="D1514" s="206">
        <v>0</v>
      </c>
      <c r="E1514" s="50"/>
      <c r="F1514" s="50"/>
      <c r="G1514" s="50"/>
      <c r="H1514" s="50"/>
      <c r="I1514" s="50"/>
      <c r="J1514" s="50"/>
      <c r="K1514" s="50"/>
      <c r="L1514" s="50"/>
      <c r="M1514" s="50"/>
      <c r="N1514" s="50"/>
      <c r="O1514" s="50"/>
    </row>
    <row r="1515" spans="1:19" x14ac:dyDescent="0.25">
      <c r="A1515" s="210" t="s">
        <v>957</v>
      </c>
      <c r="B1515" s="204"/>
      <c r="C1515" s="205"/>
      <c r="D1515" s="206">
        <v>36122</v>
      </c>
      <c r="E1515" s="50"/>
      <c r="F1515" s="50"/>
      <c r="G1515" s="50"/>
      <c r="H1515" s="50"/>
      <c r="I1515" s="50"/>
      <c r="J1515" s="50"/>
      <c r="K1515" s="50"/>
      <c r="L1515" s="50"/>
      <c r="M1515" s="50"/>
      <c r="N1515" s="50"/>
      <c r="O1515" s="50"/>
    </row>
    <row r="1516" spans="1:19" s="43" customFormat="1" x14ac:dyDescent="0.25">
      <c r="A1516" s="210" t="s">
        <v>958</v>
      </c>
      <c r="B1516" s="42"/>
      <c r="C1516" s="50"/>
      <c r="D1516" s="50"/>
      <c r="E1516" s="206">
        <v>78471</v>
      </c>
      <c r="F1516" s="50"/>
      <c r="G1516" s="50"/>
      <c r="H1516" s="50"/>
      <c r="I1516" s="50"/>
      <c r="J1516" s="50"/>
      <c r="K1516" s="50"/>
      <c r="L1516" s="50"/>
      <c r="M1516" s="50"/>
      <c r="N1516" s="50"/>
      <c r="O1516" s="50"/>
    </row>
    <row r="1517" spans="1:19" s="43" customFormat="1" x14ac:dyDescent="0.25">
      <c r="A1517" s="210" t="s">
        <v>959</v>
      </c>
      <c r="B1517" s="42"/>
      <c r="C1517" s="50"/>
      <c r="D1517" s="50"/>
      <c r="E1517" s="206">
        <v>83030</v>
      </c>
      <c r="F1517" s="50"/>
      <c r="G1517" s="50"/>
      <c r="H1517" s="50"/>
      <c r="I1517" s="50"/>
      <c r="J1517" s="50"/>
      <c r="K1517" s="50"/>
      <c r="L1517" s="50"/>
      <c r="M1517" s="50"/>
      <c r="N1517" s="50"/>
      <c r="O1517" s="50"/>
    </row>
    <row r="1518" spans="1:19" x14ac:dyDescent="0.25">
      <c r="A1518" s="146" t="s">
        <v>937</v>
      </c>
      <c r="B1518" s="164" t="s">
        <v>245</v>
      </c>
      <c r="C1518" s="50"/>
      <c r="D1518" s="130"/>
      <c r="E1518" s="63">
        <v>0</v>
      </c>
      <c r="G1518" s="50"/>
      <c r="H1518" s="50"/>
      <c r="I1518" s="50"/>
      <c r="J1518" s="50"/>
      <c r="K1518" s="50"/>
      <c r="L1518" s="50"/>
      <c r="M1518" s="50"/>
      <c r="N1518" s="50"/>
      <c r="O1518" s="50"/>
    </row>
    <row r="1519" spans="1:19" x14ac:dyDescent="0.25">
      <c r="A1519" s="146" t="s">
        <v>938</v>
      </c>
      <c r="B1519" s="164" t="s">
        <v>245</v>
      </c>
      <c r="C1519" s="50"/>
      <c r="D1519" s="50"/>
      <c r="E1519" s="130">
        <v>33110</v>
      </c>
      <c r="F1519" s="130">
        <v>8006</v>
      </c>
      <c r="G1519" s="50"/>
      <c r="H1519" s="50"/>
      <c r="I1519" s="50"/>
      <c r="J1519" s="50"/>
      <c r="K1519" s="50"/>
      <c r="L1519" s="50"/>
      <c r="M1519" s="50"/>
      <c r="N1519" s="50"/>
      <c r="O1519" s="50"/>
    </row>
    <row r="1520" spans="1:19" x14ac:dyDescent="0.25">
      <c r="A1520" s="146" t="s">
        <v>960</v>
      </c>
      <c r="B1520" s="164"/>
      <c r="C1520" s="50"/>
      <c r="D1520" s="50"/>
      <c r="E1520" s="130">
        <v>59000</v>
      </c>
      <c r="F1520" s="50"/>
      <c r="G1520" s="50"/>
      <c r="H1520" s="50"/>
      <c r="I1520" s="50"/>
      <c r="J1520" s="50"/>
      <c r="K1520" s="50"/>
      <c r="L1520" s="50"/>
      <c r="M1520" s="50"/>
      <c r="N1520" s="50"/>
      <c r="O1520" s="50"/>
    </row>
    <row r="1521" spans="1:18" x14ac:dyDescent="0.25">
      <c r="A1521" s="211" t="s">
        <v>961</v>
      </c>
      <c r="B1521" s="212" t="s">
        <v>590</v>
      </c>
      <c r="C1521" s="54">
        <v>1908</v>
      </c>
      <c r="D1521" s="160">
        <v>112808</v>
      </c>
      <c r="E1521" s="160">
        <v>34385</v>
      </c>
      <c r="F1521" s="160">
        <v>0</v>
      </c>
      <c r="G1521" s="160">
        <v>96681</v>
      </c>
      <c r="H1521" s="160">
        <v>161655</v>
      </c>
      <c r="I1521" s="160">
        <v>103050</v>
      </c>
      <c r="J1521" s="160">
        <v>112620</v>
      </c>
      <c r="K1521" s="160">
        <v>118850</v>
      </c>
      <c r="L1521" s="160">
        <v>125200</v>
      </c>
      <c r="M1521" s="161">
        <v>127720</v>
      </c>
      <c r="N1521" s="162">
        <v>120650</v>
      </c>
      <c r="O1521" s="162">
        <v>130000</v>
      </c>
      <c r="P1521" s="162">
        <v>130000</v>
      </c>
      <c r="Q1521" s="162">
        <v>130000</v>
      </c>
      <c r="R1521" s="162">
        <v>130000</v>
      </c>
    </row>
    <row r="1522" spans="1:18" s="43" customFormat="1" x14ac:dyDescent="0.25">
      <c r="A1522" s="211" t="s">
        <v>962</v>
      </c>
      <c r="B1522" s="212" t="s">
        <v>590</v>
      </c>
      <c r="C1522" s="50"/>
      <c r="D1522" s="50"/>
      <c r="E1522" s="160">
        <v>1190</v>
      </c>
      <c r="F1522" s="160">
        <v>10308</v>
      </c>
      <c r="G1522" s="50"/>
      <c r="H1522" s="50"/>
      <c r="I1522" s="50"/>
      <c r="J1522" s="50"/>
      <c r="K1522" s="50"/>
      <c r="L1522" s="50"/>
      <c r="M1522" s="50"/>
      <c r="N1522" s="50"/>
      <c r="O1522" s="50"/>
    </row>
    <row r="1523" spans="1:18" s="43" customFormat="1" x14ac:dyDescent="0.25">
      <c r="A1523" s="211" t="s">
        <v>963</v>
      </c>
      <c r="B1523" s="212"/>
      <c r="C1523" s="50"/>
      <c r="D1523" s="50"/>
      <c r="E1523" s="160"/>
      <c r="F1523" s="50"/>
      <c r="G1523" s="50"/>
      <c r="H1523" s="50"/>
      <c r="I1523" s="50"/>
      <c r="J1523" s="50"/>
      <c r="K1523" s="50"/>
      <c r="L1523" s="50"/>
      <c r="M1523" s="50"/>
      <c r="N1523" s="50"/>
      <c r="O1523" s="50"/>
    </row>
    <row r="1524" spans="1:18" s="43" customFormat="1" x14ac:dyDescent="0.25">
      <c r="A1524" s="211" t="s">
        <v>964</v>
      </c>
      <c r="B1524" s="212" t="s">
        <v>590</v>
      </c>
      <c r="C1524" s="50"/>
      <c r="D1524" s="50"/>
      <c r="E1524" s="160">
        <v>27200</v>
      </c>
      <c r="F1524" s="50"/>
      <c r="G1524" s="50"/>
      <c r="H1524" s="50"/>
      <c r="I1524" s="50"/>
      <c r="J1524" s="50"/>
      <c r="K1524" s="50"/>
      <c r="L1524" s="50"/>
      <c r="M1524" s="50"/>
      <c r="N1524" s="50"/>
      <c r="O1524" s="50"/>
    </row>
    <row r="1525" spans="1:18" s="43" customFormat="1" x14ac:dyDescent="0.25">
      <c r="A1525" s="211" t="s">
        <v>965</v>
      </c>
      <c r="B1525" s="212" t="s">
        <v>590</v>
      </c>
      <c r="C1525" s="50"/>
      <c r="D1525" s="50"/>
      <c r="E1525" s="160">
        <v>4480</v>
      </c>
      <c r="F1525" s="50"/>
      <c r="G1525" s="50"/>
      <c r="H1525" s="50"/>
      <c r="I1525" s="50"/>
      <c r="J1525" s="50"/>
      <c r="K1525" s="50"/>
      <c r="L1525" s="50"/>
      <c r="M1525" s="50"/>
      <c r="N1525" s="50"/>
      <c r="O1525" s="50"/>
    </row>
    <row r="1526" spans="1:18" s="43" customFormat="1" x14ac:dyDescent="0.25">
      <c r="A1526" s="211" t="s">
        <v>966</v>
      </c>
      <c r="B1526" s="212" t="s">
        <v>590</v>
      </c>
      <c r="C1526" s="50"/>
      <c r="D1526" s="50"/>
      <c r="E1526" s="160">
        <v>46040</v>
      </c>
      <c r="F1526" s="160">
        <v>53414</v>
      </c>
      <c r="G1526" s="50"/>
      <c r="H1526" s="50"/>
      <c r="I1526" s="50"/>
      <c r="J1526" s="50"/>
      <c r="K1526" s="50"/>
      <c r="L1526" s="50"/>
      <c r="M1526" s="50"/>
      <c r="N1526" s="50"/>
      <c r="O1526" s="50"/>
    </row>
    <row r="1527" spans="1:18" s="43" customFormat="1" x14ac:dyDescent="0.25">
      <c r="A1527" s="52" t="s">
        <v>966</v>
      </c>
      <c r="B1527" s="53"/>
      <c r="C1527" s="50"/>
      <c r="D1527" s="50"/>
      <c r="E1527" s="50"/>
      <c r="F1527" s="50">
        <v>18366</v>
      </c>
      <c r="G1527" s="50"/>
      <c r="H1527" s="50"/>
      <c r="I1527" s="50"/>
      <c r="J1527" s="50"/>
      <c r="K1527" s="50"/>
      <c r="L1527" s="50"/>
      <c r="M1527" s="50"/>
      <c r="N1527" s="50"/>
      <c r="O1527" s="50"/>
    </row>
    <row r="1528" spans="1:18" x14ac:dyDescent="0.25">
      <c r="A1528" s="213" t="s">
        <v>967</v>
      </c>
      <c r="B1528" s="212" t="s">
        <v>590</v>
      </c>
      <c r="C1528" s="54">
        <v>77639</v>
      </c>
      <c r="D1528" s="160">
        <v>2568</v>
      </c>
      <c r="E1528" s="160">
        <v>68787</v>
      </c>
      <c r="F1528" s="160">
        <v>36133</v>
      </c>
      <c r="G1528" s="160">
        <v>100270</v>
      </c>
      <c r="H1528" s="160">
        <v>98416</v>
      </c>
      <c r="I1528" s="160">
        <v>89325</v>
      </c>
      <c r="J1528" s="160">
        <v>98000</v>
      </c>
      <c r="K1528" s="160">
        <v>81550</v>
      </c>
      <c r="L1528" s="160">
        <v>96000</v>
      </c>
      <c r="M1528" s="161">
        <v>92627</v>
      </c>
      <c r="N1528" s="162">
        <v>111087</v>
      </c>
      <c r="O1528" s="162">
        <v>111087</v>
      </c>
      <c r="P1528" s="162">
        <v>111087</v>
      </c>
      <c r="Q1528" s="162">
        <v>111087</v>
      </c>
      <c r="R1528" s="162">
        <v>111087</v>
      </c>
    </row>
    <row r="1529" spans="1:18" x14ac:dyDescent="0.25">
      <c r="A1529" s="213" t="s">
        <v>968</v>
      </c>
      <c r="B1529" s="212"/>
      <c r="C1529" s="54"/>
      <c r="D1529" s="50"/>
      <c r="E1529" s="50"/>
      <c r="F1529" s="50"/>
      <c r="G1529" s="160"/>
      <c r="H1529" s="50"/>
      <c r="I1529" s="50"/>
      <c r="J1529" s="50"/>
      <c r="K1529" s="50"/>
      <c r="L1529" s="50"/>
      <c r="M1529" s="50"/>
    </row>
    <row r="1530" spans="1:18" x14ac:dyDescent="0.25">
      <c r="A1530" s="213" t="s">
        <v>969</v>
      </c>
      <c r="B1530" s="212"/>
      <c r="C1530" s="54"/>
      <c r="D1530" s="50"/>
      <c r="E1530" s="50"/>
      <c r="F1530" s="50"/>
      <c r="G1530" s="160"/>
      <c r="H1530" s="50"/>
      <c r="I1530" s="50"/>
      <c r="J1530" s="50"/>
      <c r="K1530" s="50"/>
      <c r="L1530" s="50"/>
      <c r="M1530" s="50"/>
    </row>
    <row r="1531" spans="1:18" x14ac:dyDescent="0.25">
      <c r="A1531" s="213" t="s">
        <v>970</v>
      </c>
      <c r="B1531" s="212"/>
      <c r="C1531" s="54"/>
      <c r="D1531" s="50"/>
      <c r="E1531" s="50"/>
      <c r="F1531" s="50"/>
      <c r="G1531" s="160"/>
      <c r="H1531" s="50"/>
      <c r="I1531" s="50"/>
      <c r="J1531" s="50"/>
      <c r="K1531" s="50"/>
      <c r="L1531" s="50"/>
      <c r="M1531" s="50"/>
    </row>
    <row r="1532" spans="1:18" s="43" customFormat="1" x14ac:dyDescent="0.25">
      <c r="A1532" s="213" t="s">
        <v>971</v>
      </c>
      <c r="B1532" s="212" t="s">
        <v>590</v>
      </c>
      <c r="C1532" s="50"/>
      <c r="D1532" s="50"/>
      <c r="E1532" s="160">
        <v>56107</v>
      </c>
      <c r="F1532" s="50"/>
      <c r="G1532" s="50"/>
      <c r="H1532" s="50"/>
      <c r="I1532" s="50"/>
      <c r="J1532" s="50"/>
      <c r="K1532" s="50"/>
      <c r="L1532" s="50"/>
      <c r="M1532" s="50"/>
      <c r="N1532" s="50"/>
      <c r="O1532" s="50"/>
    </row>
    <row r="1533" spans="1:18" s="43" customFormat="1" x14ac:dyDescent="0.25">
      <c r="A1533" s="213" t="s">
        <v>972</v>
      </c>
      <c r="B1533" s="212" t="s">
        <v>590</v>
      </c>
      <c r="C1533" s="50"/>
      <c r="D1533" s="50"/>
      <c r="E1533" s="160">
        <v>0</v>
      </c>
      <c r="F1533" s="50"/>
      <c r="G1533" s="50"/>
      <c r="H1533" s="50"/>
      <c r="I1533" s="50"/>
      <c r="J1533" s="50"/>
      <c r="K1533" s="50"/>
      <c r="L1533" s="50"/>
      <c r="M1533" s="50"/>
      <c r="N1533" s="50"/>
      <c r="O1533" s="50"/>
    </row>
    <row r="1534" spans="1:18" s="43" customFormat="1" x14ac:dyDescent="0.25">
      <c r="A1534" s="213" t="s">
        <v>973</v>
      </c>
      <c r="B1534" s="212" t="s">
        <v>590</v>
      </c>
      <c r="C1534" s="50"/>
      <c r="D1534" s="50"/>
      <c r="E1534" s="160">
        <v>35910</v>
      </c>
      <c r="F1534" s="50"/>
      <c r="G1534" s="50"/>
      <c r="H1534" s="50"/>
      <c r="I1534" s="50"/>
      <c r="J1534" s="50"/>
      <c r="K1534" s="50"/>
      <c r="L1534" s="50"/>
      <c r="M1534" s="50"/>
      <c r="N1534" s="50"/>
      <c r="O1534" s="50"/>
    </row>
    <row r="1535" spans="1:18" x14ac:dyDescent="0.25">
      <c r="A1535" s="43" t="s">
        <v>974</v>
      </c>
      <c r="C1535" s="50">
        <v>0</v>
      </c>
      <c r="D1535" s="50">
        <v>0</v>
      </c>
      <c r="E1535" s="50">
        <v>0</v>
      </c>
      <c r="F1535" s="50">
        <v>0</v>
      </c>
      <c r="G1535" s="50">
        <v>0</v>
      </c>
      <c r="H1535" s="50">
        <v>0</v>
      </c>
      <c r="I1535" s="50">
        <v>0</v>
      </c>
      <c r="J1535" s="50">
        <v>0</v>
      </c>
      <c r="K1535" s="50">
        <v>0</v>
      </c>
      <c r="L1535" s="50">
        <v>0</v>
      </c>
      <c r="M1535" s="50">
        <v>0</v>
      </c>
      <c r="N1535" s="50">
        <v>0</v>
      </c>
      <c r="O1535" s="50">
        <v>0</v>
      </c>
    </row>
    <row r="1536" spans="1:18" x14ac:dyDescent="0.25">
      <c r="A1536" s="61" t="s">
        <v>933</v>
      </c>
      <c r="B1536" s="129" t="s">
        <v>245</v>
      </c>
      <c r="C1536" s="50"/>
      <c r="D1536" s="63">
        <v>16165</v>
      </c>
      <c r="E1536" s="63">
        <v>16751</v>
      </c>
      <c r="F1536" s="63">
        <v>17491</v>
      </c>
      <c r="G1536" s="63">
        <v>0</v>
      </c>
      <c r="H1536" s="50"/>
      <c r="I1536" s="50"/>
      <c r="J1536" s="50"/>
      <c r="K1536" s="50"/>
      <c r="L1536" s="50"/>
      <c r="M1536" s="50"/>
      <c r="N1536" s="50"/>
      <c r="O1536" s="50"/>
    </row>
    <row r="1537" spans="1:18" x14ac:dyDescent="0.25">
      <c r="A1537" s="41" t="s">
        <v>975</v>
      </c>
      <c r="B1537" s="44"/>
      <c r="C1537" s="50"/>
      <c r="D1537" s="50"/>
      <c r="E1537" s="50"/>
      <c r="F1537" s="50"/>
      <c r="G1537" s="50"/>
      <c r="H1537" s="50"/>
      <c r="I1537" s="50"/>
      <c r="J1537" s="50"/>
      <c r="K1537" s="50"/>
      <c r="L1537" s="50"/>
      <c r="M1537" s="50"/>
      <c r="N1537" s="50"/>
      <c r="O1537" s="50"/>
    </row>
    <row r="1538" spans="1:18" x14ac:dyDescent="0.25">
      <c r="A1538" s="214" t="s">
        <v>976</v>
      </c>
      <c r="B1538" s="84" t="s">
        <v>317</v>
      </c>
      <c r="C1538" s="50"/>
      <c r="D1538" s="85"/>
      <c r="E1538" s="85">
        <v>0</v>
      </c>
      <c r="F1538" s="50"/>
      <c r="G1538" s="50"/>
      <c r="H1538" s="50"/>
      <c r="I1538" s="50"/>
      <c r="J1538" s="50"/>
      <c r="K1538" s="89">
        <v>0</v>
      </c>
      <c r="L1538" s="50"/>
      <c r="M1538" s="50"/>
      <c r="N1538" s="50"/>
    </row>
    <row r="1539" spans="1:18" x14ac:dyDescent="0.25">
      <c r="C1539" s="50"/>
      <c r="D1539" s="50"/>
      <c r="E1539" s="50"/>
      <c r="F1539" s="50"/>
      <c r="G1539" s="50"/>
      <c r="H1539" s="50"/>
      <c r="I1539" s="50"/>
      <c r="J1539" s="50"/>
      <c r="K1539" s="50"/>
      <c r="L1539" s="50"/>
      <c r="M1539" s="50"/>
      <c r="N1539" s="50"/>
      <c r="O1539" s="50"/>
      <c r="P1539" s="50"/>
      <c r="Q1539" s="50"/>
      <c r="R1539" s="50"/>
    </row>
    <row r="1540" spans="1:18" x14ac:dyDescent="0.25">
      <c r="A1540" s="41" t="s">
        <v>107</v>
      </c>
      <c r="B1540" s="44"/>
      <c r="C1540" s="51">
        <f t="shared" ref="C1540:Q1540" si="868">SUM(C1498:C1539)</f>
        <v>775840</v>
      </c>
      <c r="D1540" s="51">
        <f t="shared" si="868"/>
        <v>1113814</v>
      </c>
      <c r="E1540" s="51">
        <f t="shared" si="868"/>
        <v>1639125</v>
      </c>
      <c r="F1540" s="51">
        <f t="shared" si="868"/>
        <v>864155</v>
      </c>
      <c r="G1540" s="51">
        <f t="shared" ref="G1540" si="869">SUM(G1498:G1539)</f>
        <v>769540</v>
      </c>
      <c r="H1540" s="51">
        <f t="shared" si="868"/>
        <v>1244971</v>
      </c>
      <c r="I1540" s="51">
        <f t="shared" si="868"/>
        <v>1185190</v>
      </c>
      <c r="J1540" s="51">
        <f t="shared" si="868"/>
        <v>1305357.76</v>
      </c>
      <c r="K1540" s="51">
        <f t="shared" si="868"/>
        <v>1162288.46624</v>
      </c>
      <c r="L1540" s="51">
        <f>SUM(L1498:L1539)</f>
        <v>1164046.82596352</v>
      </c>
      <c r="M1540" s="51">
        <f t="shared" si="868"/>
        <v>1246854.5361347175</v>
      </c>
      <c r="N1540" s="51">
        <f t="shared" si="868"/>
        <v>1490173.509465816</v>
      </c>
      <c r="O1540" s="51">
        <f t="shared" si="868"/>
        <v>1198866.9222024614</v>
      </c>
      <c r="P1540" s="51">
        <f t="shared" si="868"/>
        <v>1469563.9202575227</v>
      </c>
      <c r="Q1540" s="51">
        <f t="shared" si="868"/>
        <v>1419233.5663437033</v>
      </c>
      <c r="R1540" s="51">
        <f t="shared" ref="R1540" si="870">SUM(R1498:R1539)</f>
        <v>1419381.6839359524</v>
      </c>
    </row>
    <row r="1541" spans="1:18" x14ac:dyDescent="0.25">
      <c r="C1541" s="50"/>
      <c r="D1541" s="50"/>
      <c r="E1541" s="50"/>
      <c r="F1541" s="50"/>
      <c r="G1541" s="50"/>
      <c r="H1541" s="50"/>
      <c r="I1541" s="50"/>
      <c r="J1541" s="50"/>
      <c r="K1541" s="50"/>
      <c r="L1541" s="50"/>
      <c r="M1541" s="50"/>
      <c r="N1541" s="50"/>
      <c r="O1541" s="50"/>
      <c r="P1541" s="50"/>
      <c r="Q1541" s="50"/>
      <c r="R1541" s="50"/>
    </row>
    <row r="1542" spans="1:18" x14ac:dyDescent="0.25">
      <c r="A1542" s="41" t="s">
        <v>851</v>
      </c>
      <c r="B1542" s="44"/>
      <c r="C1542" s="51">
        <f t="shared" ref="C1542:R1542" si="871">C1540+C1484-C1433-C1493</f>
        <v>3030760</v>
      </c>
      <c r="D1542" s="51">
        <f t="shared" si="871"/>
        <v>3014111</v>
      </c>
      <c r="E1542" s="51">
        <f t="shared" si="871"/>
        <v>3828819</v>
      </c>
      <c r="F1542" s="51">
        <f t="shared" si="871"/>
        <v>3481402</v>
      </c>
      <c r="G1542" s="51">
        <f t="shared" si="871"/>
        <v>3112100</v>
      </c>
      <c r="H1542" s="51">
        <f t="shared" si="871"/>
        <v>2833954</v>
      </c>
      <c r="I1542" s="51">
        <f t="shared" si="871"/>
        <v>3724633.9850000003</v>
      </c>
      <c r="J1542" s="51">
        <f t="shared" si="871"/>
        <v>3917976.7623400004</v>
      </c>
      <c r="K1542" s="51">
        <f t="shared" si="871"/>
        <v>3795866.21916366</v>
      </c>
      <c r="L1542" s="51">
        <f t="shared" si="871"/>
        <v>3863525.9348111995</v>
      </c>
      <c r="M1542" s="51">
        <f t="shared" si="871"/>
        <v>4017509.0000408636</v>
      </c>
      <c r="N1542" s="51">
        <f t="shared" si="871"/>
        <v>4334613.2540794285</v>
      </c>
      <c r="O1542" s="51">
        <f t="shared" si="871"/>
        <v>4123784.9470260199</v>
      </c>
      <c r="P1542" s="51">
        <f t="shared" si="871"/>
        <v>4479815.7723894184</v>
      </c>
      <c r="Q1542" s="51">
        <f t="shared" si="871"/>
        <v>4515688.1989348931</v>
      </c>
      <c r="R1542" s="51">
        <f t="shared" si="871"/>
        <v>4590720.5210167039</v>
      </c>
    </row>
    <row r="1543" spans="1:18" x14ac:dyDescent="0.25">
      <c r="C1543" s="50"/>
      <c r="D1543" s="50"/>
      <c r="E1543" s="50"/>
      <c r="F1543" s="50"/>
      <c r="G1543" s="50"/>
      <c r="H1543" s="50"/>
      <c r="I1543" s="50"/>
      <c r="J1543" s="50"/>
      <c r="K1543" s="50"/>
      <c r="L1543" s="50"/>
      <c r="M1543" s="50"/>
      <c r="N1543" s="50"/>
      <c r="O1543" s="50"/>
      <c r="P1543" s="50"/>
      <c r="Q1543" s="50"/>
      <c r="R1543" s="50"/>
    </row>
    <row r="1544" spans="1:18" x14ac:dyDescent="0.25">
      <c r="A1544" s="41" t="s">
        <v>977</v>
      </c>
      <c r="B1544" s="44"/>
      <c r="C1544" s="50"/>
      <c r="D1544" s="50"/>
      <c r="E1544" s="50"/>
      <c r="F1544" s="50"/>
      <c r="G1544" s="50"/>
      <c r="H1544" s="50"/>
      <c r="I1544" s="50"/>
      <c r="J1544" s="50"/>
      <c r="K1544" s="50"/>
      <c r="L1544" s="50"/>
      <c r="M1544" s="50"/>
      <c r="N1544" s="50"/>
      <c r="O1544" s="50"/>
      <c r="P1544" s="50"/>
      <c r="Q1544" s="50"/>
      <c r="R1544" s="50"/>
    </row>
    <row r="1545" spans="1:18" x14ac:dyDescent="0.25">
      <c r="A1545" s="41"/>
      <c r="B1545" s="44"/>
      <c r="C1545" s="50"/>
      <c r="D1545" s="50"/>
      <c r="E1545" s="50"/>
      <c r="F1545" s="50"/>
      <c r="G1545" s="50"/>
      <c r="H1545" s="50"/>
      <c r="I1545" s="50"/>
      <c r="J1545" s="50"/>
      <c r="K1545" s="50"/>
      <c r="L1545" s="50"/>
      <c r="M1545" s="50"/>
      <c r="N1545" s="50"/>
      <c r="O1545" s="50"/>
      <c r="P1545" s="50"/>
      <c r="Q1545" s="50"/>
      <c r="R1545" s="50"/>
    </row>
    <row r="1546" spans="1:18" x14ac:dyDescent="0.25">
      <c r="A1546" s="41" t="s">
        <v>202</v>
      </c>
      <c r="B1546" s="44"/>
      <c r="C1546" s="50"/>
      <c r="D1546" s="50"/>
      <c r="E1546" s="50"/>
      <c r="F1546" s="50"/>
      <c r="G1546" s="50"/>
      <c r="H1546" s="50"/>
      <c r="I1546" s="50"/>
      <c r="J1546" s="50"/>
      <c r="K1546" s="50"/>
      <c r="L1546" s="50"/>
      <c r="M1546" s="50"/>
      <c r="N1546" s="50"/>
      <c r="O1546" s="50"/>
      <c r="P1546" s="50"/>
      <c r="Q1546" s="50"/>
      <c r="R1546" s="50"/>
    </row>
    <row r="1547" spans="1:18" x14ac:dyDescent="0.25">
      <c r="A1547" s="41"/>
      <c r="B1547" s="44"/>
      <c r="C1547" s="50"/>
      <c r="D1547" s="50"/>
      <c r="E1547" s="50"/>
      <c r="F1547" s="50"/>
      <c r="G1547" s="50"/>
      <c r="H1547" s="50"/>
      <c r="I1547" s="50"/>
      <c r="J1547" s="50"/>
      <c r="K1547" s="50"/>
      <c r="L1547" s="50"/>
      <c r="M1547" s="50"/>
      <c r="N1547" s="50"/>
      <c r="O1547" s="50"/>
      <c r="P1547" s="50"/>
      <c r="Q1547" s="50"/>
      <c r="R1547" s="50"/>
    </row>
    <row r="1548" spans="1:18" x14ac:dyDescent="0.25">
      <c r="A1548" s="52" t="s">
        <v>978</v>
      </c>
      <c r="B1548" s="53"/>
      <c r="C1548" s="54">
        <v>231191</v>
      </c>
      <c r="D1548" s="50">
        <v>218266</v>
      </c>
      <c r="E1548">
        <v>259705</v>
      </c>
      <c r="F1548" s="50">
        <v>207092</v>
      </c>
      <c r="G1548" s="50">
        <v>219917</v>
      </c>
      <c r="H1548" s="50">
        <v>235000</v>
      </c>
      <c r="I1548" s="54">
        <f t="shared" ref="I1548:I1553" si="872">H1548*1.023</f>
        <v>240404.99999999997</v>
      </c>
      <c r="J1548" s="54">
        <f t="shared" ref="J1548:K1553" si="873">I1548*1.024</f>
        <v>246174.71999999997</v>
      </c>
      <c r="K1548" s="54">
        <f t="shared" si="873"/>
        <v>252082.91327999998</v>
      </c>
      <c r="L1548" s="54">
        <f t="shared" ref="L1548:L1553" si="874">K1548*1.023</f>
        <v>257880.82028543996</v>
      </c>
      <c r="M1548" s="54">
        <f t="shared" ref="M1548:M1553" si="875">L1548*1.022</f>
        <v>263554.19833171961</v>
      </c>
      <c r="N1548" s="54">
        <f t="shared" ref="N1548:N1553" si="876">M1548*1.023</f>
        <v>269615.94489334914</v>
      </c>
      <c r="O1548" s="54">
        <f t="shared" ref="O1548:P1553" si="877">N1548*1.025</f>
        <v>276356.34351568285</v>
      </c>
      <c r="P1548" s="54">
        <f t="shared" si="877"/>
        <v>283265.25210357492</v>
      </c>
      <c r="Q1548" s="54">
        <f t="shared" ref="Q1548:R1553" si="878">P1548*1.024</f>
        <v>290063.61815406074</v>
      </c>
      <c r="R1548" s="54">
        <f t="shared" si="878"/>
        <v>297025.14498975821</v>
      </c>
    </row>
    <row r="1549" spans="1:18" x14ac:dyDescent="0.25">
      <c r="A1549" s="52" t="s">
        <v>979</v>
      </c>
      <c r="B1549" s="53"/>
      <c r="C1549" s="54">
        <v>0</v>
      </c>
      <c r="D1549" s="54">
        <v>73736</v>
      </c>
      <c r="E1549" s="50">
        <f>132527+1182</f>
        <v>133709</v>
      </c>
      <c r="F1549" s="54">
        <v>134910</v>
      </c>
      <c r="G1549" s="54">
        <v>143979</v>
      </c>
      <c r="H1549" s="54">
        <v>150000</v>
      </c>
      <c r="I1549" s="54">
        <f t="shared" si="872"/>
        <v>153450</v>
      </c>
      <c r="J1549" s="54">
        <f t="shared" si="873"/>
        <v>157132.80000000002</v>
      </c>
      <c r="K1549" s="54">
        <f t="shared" si="873"/>
        <v>160903.98720000003</v>
      </c>
      <c r="L1549" s="54">
        <f t="shared" si="874"/>
        <v>164604.77890560002</v>
      </c>
      <c r="M1549" s="54">
        <f t="shared" si="875"/>
        <v>168226.08404152322</v>
      </c>
      <c r="N1549" s="54">
        <f t="shared" si="876"/>
        <v>172095.28397447825</v>
      </c>
      <c r="O1549" s="54">
        <f t="shared" si="877"/>
        <v>176397.6660738402</v>
      </c>
      <c r="P1549" s="54">
        <f t="shared" si="877"/>
        <v>180807.60772568619</v>
      </c>
      <c r="Q1549" s="54">
        <f t="shared" si="878"/>
        <v>185146.99031110265</v>
      </c>
      <c r="R1549" s="54">
        <f t="shared" si="878"/>
        <v>189590.51807856912</v>
      </c>
    </row>
    <row r="1550" spans="1:18" x14ac:dyDescent="0.25">
      <c r="A1550" s="52" t="s">
        <v>980</v>
      </c>
      <c r="B1550" s="53"/>
      <c r="C1550" s="54"/>
      <c r="D1550" s="54">
        <v>15191</v>
      </c>
      <c r="E1550" s="54">
        <v>48744</v>
      </c>
      <c r="F1550" s="54">
        <v>23201</v>
      </c>
      <c r="G1550" s="50">
        <v>30454</v>
      </c>
      <c r="H1550" s="50">
        <v>30000</v>
      </c>
      <c r="I1550" s="54">
        <f t="shared" si="872"/>
        <v>30689.999999999996</v>
      </c>
      <c r="J1550" s="54">
        <f t="shared" si="873"/>
        <v>31426.559999999998</v>
      </c>
      <c r="K1550" s="54">
        <f t="shared" si="873"/>
        <v>32180.797439999998</v>
      </c>
      <c r="L1550" s="54">
        <f t="shared" si="874"/>
        <v>32920.955781119992</v>
      </c>
      <c r="M1550" s="54">
        <f t="shared" si="875"/>
        <v>33645.216808304634</v>
      </c>
      <c r="N1550" s="54">
        <f t="shared" si="876"/>
        <v>34419.056794895638</v>
      </c>
      <c r="O1550" s="54">
        <f t="shared" si="877"/>
        <v>35279.533214768024</v>
      </c>
      <c r="P1550" s="54">
        <f t="shared" si="877"/>
        <v>36161.521545137221</v>
      </c>
      <c r="Q1550" s="54">
        <f t="shared" si="878"/>
        <v>37029.398062220513</v>
      </c>
      <c r="R1550" s="54">
        <f t="shared" si="878"/>
        <v>37918.103615713808</v>
      </c>
    </row>
    <row r="1551" spans="1:18" x14ac:dyDescent="0.25">
      <c r="A1551" s="52" t="s">
        <v>981</v>
      </c>
      <c r="B1551" s="53"/>
      <c r="C1551" s="54"/>
      <c r="D1551" s="54"/>
      <c r="E1551" s="54"/>
      <c r="F1551" s="54"/>
      <c r="G1551" s="50">
        <v>0</v>
      </c>
      <c r="H1551" s="50">
        <v>150000</v>
      </c>
      <c r="I1551" s="54">
        <f t="shared" si="872"/>
        <v>153450</v>
      </c>
      <c r="J1551" s="54">
        <f t="shared" si="873"/>
        <v>157132.80000000002</v>
      </c>
      <c r="K1551" s="54">
        <f t="shared" si="873"/>
        <v>160903.98720000003</v>
      </c>
      <c r="L1551" s="54">
        <f t="shared" si="874"/>
        <v>164604.77890560002</v>
      </c>
      <c r="M1551" s="54">
        <f t="shared" si="875"/>
        <v>168226.08404152322</v>
      </c>
      <c r="N1551" s="54">
        <f t="shared" si="876"/>
        <v>172095.28397447825</v>
      </c>
      <c r="O1551" s="54">
        <f t="shared" si="877"/>
        <v>176397.6660738402</v>
      </c>
      <c r="P1551" s="54">
        <f t="shared" si="877"/>
        <v>180807.60772568619</v>
      </c>
      <c r="Q1551" s="54">
        <f t="shared" si="878"/>
        <v>185146.99031110265</v>
      </c>
      <c r="R1551" s="54">
        <f t="shared" si="878"/>
        <v>189590.51807856912</v>
      </c>
    </row>
    <row r="1552" spans="1:18" x14ac:dyDescent="0.25">
      <c r="A1552" s="59" t="s">
        <v>982</v>
      </c>
      <c r="B1552" s="53"/>
      <c r="C1552" s="54"/>
      <c r="D1552" s="54">
        <v>954</v>
      </c>
      <c r="E1552">
        <v>0</v>
      </c>
      <c r="F1552" s="54">
        <v>1045</v>
      </c>
      <c r="G1552" s="54">
        <v>1182</v>
      </c>
      <c r="H1552" s="54">
        <v>1200</v>
      </c>
      <c r="I1552" s="54">
        <f t="shared" si="872"/>
        <v>1227.5999999999999</v>
      </c>
      <c r="J1552" s="54">
        <f t="shared" si="873"/>
        <v>1257.0624</v>
      </c>
      <c r="K1552" s="54">
        <f t="shared" si="873"/>
        <v>1287.2318976000001</v>
      </c>
      <c r="L1552" s="54">
        <f t="shared" si="874"/>
        <v>1316.8382312448</v>
      </c>
      <c r="M1552" s="54">
        <f t="shared" si="875"/>
        <v>1345.8086723321856</v>
      </c>
      <c r="N1552" s="54">
        <f t="shared" si="876"/>
        <v>1376.7622717958257</v>
      </c>
      <c r="O1552" s="54">
        <f t="shared" si="877"/>
        <v>1411.1813285907213</v>
      </c>
      <c r="P1552" s="54">
        <f t="shared" si="877"/>
        <v>1446.4608618054892</v>
      </c>
      <c r="Q1552" s="54">
        <f t="shared" si="878"/>
        <v>1481.175922488821</v>
      </c>
      <c r="R1552" s="54">
        <f t="shared" si="878"/>
        <v>1516.7241446285527</v>
      </c>
    </row>
    <row r="1553" spans="1:18" x14ac:dyDescent="0.25">
      <c r="A1553" s="43" t="s">
        <v>983</v>
      </c>
      <c r="C1553" s="54">
        <v>1639</v>
      </c>
      <c r="D1553" s="54">
        <v>1712</v>
      </c>
      <c r="E1553">
        <f>1760-320</f>
        <v>1440</v>
      </c>
      <c r="F1553" s="50">
        <v>1473</v>
      </c>
      <c r="G1553" s="50">
        <v>0</v>
      </c>
      <c r="H1553" s="50">
        <v>35000</v>
      </c>
      <c r="I1553" s="54">
        <f t="shared" si="872"/>
        <v>35805</v>
      </c>
      <c r="J1553" s="54">
        <f t="shared" si="873"/>
        <v>36664.32</v>
      </c>
      <c r="K1553" s="54">
        <f t="shared" si="873"/>
        <v>37544.263680000004</v>
      </c>
      <c r="L1553" s="54">
        <f t="shared" si="874"/>
        <v>38407.78174464</v>
      </c>
      <c r="M1553" s="54">
        <f t="shared" si="875"/>
        <v>39252.752943022082</v>
      </c>
      <c r="N1553" s="54">
        <f t="shared" si="876"/>
        <v>40155.566260711588</v>
      </c>
      <c r="O1553" s="54">
        <f t="shared" si="877"/>
        <v>41159.455417229372</v>
      </c>
      <c r="P1553" s="54">
        <f t="shared" si="877"/>
        <v>42188.441802660105</v>
      </c>
      <c r="Q1553" s="54">
        <f t="shared" si="878"/>
        <v>43200.964405923951</v>
      </c>
      <c r="R1553" s="54">
        <f t="shared" si="878"/>
        <v>44237.78755166613</v>
      </c>
    </row>
    <row r="1554" spans="1:18" x14ac:dyDescent="0.25">
      <c r="A1554" s="43" t="s">
        <v>984</v>
      </c>
      <c r="C1554" s="54"/>
      <c r="D1554" s="50"/>
      <c r="E1554" s="50"/>
      <c r="F1554" s="50"/>
      <c r="G1554" s="50">
        <v>34319</v>
      </c>
      <c r="H1554" s="50"/>
      <c r="I1554" s="50"/>
      <c r="J1554" s="50"/>
      <c r="K1554" s="50"/>
      <c r="L1554" s="50"/>
      <c r="M1554" s="50"/>
      <c r="N1554" s="50"/>
      <c r="O1554" s="50"/>
      <c r="P1554" s="50"/>
      <c r="Q1554" s="50"/>
      <c r="R1554" s="50"/>
    </row>
    <row r="1555" spans="1:18" x14ac:dyDescent="0.25">
      <c r="A1555" s="52" t="s">
        <v>985</v>
      </c>
      <c r="B1555" s="53"/>
      <c r="C1555" s="54">
        <v>12470</v>
      </c>
      <c r="D1555" s="54">
        <v>10647</v>
      </c>
      <c r="E1555" s="54">
        <v>13007</v>
      </c>
      <c r="F1555" s="54">
        <v>13167</v>
      </c>
      <c r="G1555" s="54">
        <v>21948</v>
      </c>
      <c r="H1555" s="54">
        <v>22300</v>
      </c>
      <c r="I1555" s="54">
        <f t="shared" ref="I1555" si="879">H1555*1.023</f>
        <v>22812.899999999998</v>
      </c>
      <c r="J1555" s="54">
        <f t="shared" ref="J1555:K1555" si="880">I1555*1.024</f>
        <v>23360.409599999999</v>
      </c>
      <c r="K1555" s="54">
        <f t="shared" si="880"/>
        <v>23921.059430400001</v>
      </c>
      <c r="L1555" s="54">
        <f t="shared" ref="L1555" si="881">K1555*1.023</f>
        <v>24471.243797299197</v>
      </c>
      <c r="M1555" s="54">
        <f t="shared" ref="M1555" si="882">L1555*1.022</f>
        <v>25009.61116083978</v>
      </c>
      <c r="N1555" s="54">
        <f t="shared" ref="N1555" si="883">M1555*1.023</f>
        <v>25584.832217539093</v>
      </c>
      <c r="O1555" s="54">
        <f t="shared" ref="O1555:P1555" si="884">N1555*1.025</f>
        <v>26224.453022977566</v>
      </c>
      <c r="P1555" s="54">
        <f t="shared" si="884"/>
        <v>26880.064348552005</v>
      </c>
      <c r="Q1555" s="54">
        <f t="shared" ref="Q1555:R1555" si="885">P1555*1.024</f>
        <v>27525.185892917252</v>
      </c>
      <c r="R1555" s="54">
        <f t="shared" si="885"/>
        <v>28185.790354347268</v>
      </c>
    </row>
    <row r="1556" spans="1:18" x14ac:dyDescent="0.25">
      <c r="A1556" s="52" t="s">
        <v>986</v>
      </c>
      <c r="C1556" s="50">
        <v>0</v>
      </c>
      <c r="D1556" s="54">
        <f>C1556*1.025</f>
        <v>0</v>
      </c>
      <c r="E1556" s="54">
        <f>D1556*1.025</f>
        <v>0</v>
      </c>
      <c r="F1556" s="54">
        <v>-4436</v>
      </c>
      <c r="G1556" s="54">
        <v>0</v>
      </c>
      <c r="H1556" s="54">
        <v>0</v>
      </c>
      <c r="I1556" s="54">
        <v>0</v>
      </c>
      <c r="J1556" s="54">
        <v>0</v>
      </c>
      <c r="K1556" s="54">
        <v>0</v>
      </c>
      <c r="L1556" s="54">
        <v>0</v>
      </c>
      <c r="M1556" s="54">
        <v>0</v>
      </c>
      <c r="N1556" s="54">
        <v>0</v>
      </c>
      <c r="O1556" s="54">
        <v>0</v>
      </c>
      <c r="P1556" s="54">
        <v>0</v>
      </c>
      <c r="Q1556" s="54">
        <f t="shared" ref="Q1556:R1556" si="886">P1556*1.02</f>
        <v>0</v>
      </c>
      <c r="R1556" s="54">
        <f t="shared" si="886"/>
        <v>0</v>
      </c>
    </row>
    <row r="1557" spans="1:18" x14ac:dyDescent="0.25">
      <c r="A1557" s="52" t="s">
        <v>987</v>
      </c>
      <c r="C1557" s="54">
        <v>76424</v>
      </c>
      <c r="D1557" s="54"/>
      <c r="E1557" s="54"/>
      <c r="F1557" s="54"/>
      <c r="G1557" s="54"/>
      <c r="H1557" s="54"/>
      <c r="I1557" s="54"/>
      <c r="J1557" s="54"/>
      <c r="K1557" s="54"/>
      <c r="L1557" s="54"/>
      <c r="M1557" s="54"/>
      <c r="N1557" s="54"/>
      <c r="O1557" s="54"/>
      <c r="P1557" s="54"/>
      <c r="Q1557" s="54"/>
      <c r="R1557" s="54"/>
    </row>
    <row r="1558" spans="1:18" x14ac:dyDescent="0.25">
      <c r="A1558" s="43" t="s">
        <v>988</v>
      </c>
      <c r="C1558" s="50"/>
      <c r="D1558" s="54"/>
      <c r="E1558" s="54"/>
      <c r="F1558" s="54"/>
      <c r="G1558" s="54"/>
      <c r="H1558" s="54"/>
      <c r="I1558" s="54"/>
      <c r="J1558" s="54"/>
      <c r="K1558" s="54"/>
      <c r="L1558" s="54"/>
      <c r="M1558" s="54"/>
      <c r="N1558" s="54"/>
      <c r="O1558" s="54"/>
      <c r="P1558" s="54"/>
      <c r="Q1558" s="54"/>
      <c r="R1558" s="54"/>
    </row>
    <row r="1559" spans="1:18" x14ac:dyDescent="0.25">
      <c r="A1559" s="43" t="s">
        <v>989</v>
      </c>
      <c r="C1559" s="54">
        <v>433273</v>
      </c>
      <c r="D1559" s="54"/>
      <c r="E1559" s="54"/>
      <c r="F1559" s="54"/>
      <c r="G1559" s="54"/>
      <c r="H1559" s="54"/>
      <c r="I1559" s="54"/>
      <c r="J1559" s="54"/>
      <c r="K1559" s="54"/>
      <c r="L1559" s="54"/>
      <c r="M1559" s="54"/>
      <c r="N1559" s="54"/>
      <c r="O1559" s="54"/>
      <c r="P1559" s="54"/>
      <c r="Q1559" s="54"/>
      <c r="R1559" s="54"/>
    </row>
    <row r="1560" spans="1:18" x14ac:dyDescent="0.25">
      <c r="A1560" s="52" t="s">
        <v>990</v>
      </c>
      <c r="C1560" s="52"/>
      <c r="D1560" s="54"/>
      <c r="E1560" s="54"/>
      <c r="F1560" s="54"/>
      <c r="G1560" s="54"/>
      <c r="H1560" s="54"/>
      <c r="I1560" s="54"/>
      <c r="J1560" s="54"/>
      <c r="K1560" s="54"/>
      <c r="L1560" s="54"/>
      <c r="M1560" s="54"/>
      <c r="N1560" s="54"/>
      <c r="O1560" s="54"/>
      <c r="P1560" s="54"/>
      <c r="Q1560" s="54"/>
      <c r="R1560" s="54"/>
    </row>
    <row r="1561" spans="1:18" x14ac:dyDescent="0.25">
      <c r="A1561" s="52" t="s">
        <v>991</v>
      </c>
      <c r="C1561" s="50">
        <v>11250</v>
      </c>
      <c r="D1561" s="54">
        <v>5500</v>
      </c>
      <c r="E1561" s="54"/>
      <c r="F1561" s="54"/>
      <c r="G1561" s="54"/>
      <c r="H1561" s="54"/>
      <c r="I1561" s="54"/>
      <c r="J1561" s="54"/>
      <c r="K1561" s="54"/>
      <c r="L1561" s="54"/>
      <c r="M1561" s="54"/>
      <c r="N1561" s="54"/>
      <c r="O1561" s="54"/>
      <c r="P1561" s="54"/>
      <c r="Q1561" s="54"/>
      <c r="R1561" s="54"/>
    </row>
    <row r="1562" spans="1:18" x14ac:dyDescent="0.25">
      <c r="A1562" s="52" t="s">
        <v>992</v>
      </c>
      <c r="C1562" s="50"/>
      <c r="D1562" s="54">
        <v>179508</v>
      </c>
      <c r="E1562" s="54">
        <v>70492</v>
      </c>
      <c r="F1562" s="54"/>
      <c r="G1562" s="54"/>
      <c r="H1562" s="54"/>
      <c r="I1562" s="54"/>
      <c r="J1562" s="54"/>
      <c r="K1562" s="54"/>
      <c r="L1562" s="54"/>
      <c r="M1562" s="54"/>
      <c r="N1562" s="54"/>
      <c r="O1562" s="54"/>
      <c r="P1562" s="54"/>
      <c r="Q1562" s="54"/>
      <c r="R1562" s="54"/>
    </row>
    <row r="1563" spans="1:18" x14ac:dyDescent="0.25">
      <c r="A1563" s="52" t="s">
        <v>993</v>
      </c>
      <c r="C1563" s="50"/>
      <c r="D1563" s="54">
        <v>157700</v>
      </c>
      <c r="E1563" s="54"/>
      <c r="F1563" s="54"/>
      <c r="G1563" s="54"/>
      <c r="H1563" s="54"/>
      <c r="I1563" s="54"/>
      <c r="J1563" s="54"/>
      <c r="K1563" s="54"/>
      <c r="L1563" s="54"/>
      <c r="M1563" s="54"/>
      <c r="N1563" s="54"/>
      <c r="O1563" s="54"/>
      <c r="P1563" s="54"/>
      <c r="Q1563" s="54"/>
      <c r="R1563" s="54"/>
    </row>
    <row r="1564" spans="1:18" x14ac:dyDescent="0.25">
      <c r="C1564" s="50"/>
      <c r="D1564" s="50"/>
      <c r="E1564" s="50"/>
      <c r="F1564" s="50"/>
      <c r="G1564" s="50"/>
      <c r="H1564" s="50"/>
      <c r="I1564" s="50"/>
      <c r="J1564" s="50"/>
      <c r="K1564" s="50"/>
      <c r="L1564" s="50"/>
      <c r="M1564" s="50"/>
      <c r="N1564" s="50"/>
      <c r="O1564" s="50"/>
      <c r="P1564" s="50"/>
      <c r="Q1564" s="50"/>
      <c r="R1564" s="50"/>
    </row>
    <row r="1565" spans="1:18" x14ac:dyDescent="0.25">
      <c r="A1565" s="41" t="s">
        <v>216</v>
      </c>
      <c r="B1565" s="44"/>
      <c r="C1565" s="51">
        <f t="shared" ref="C1565:Q1565" si="887">SUM(C1548:C1564)</f>
        <v>766247</v>
      </c>
      <c r="D1565" s="51">
        <f t="shared" si="887"/>
        <v>663214</v>
      </c>
      <c r="E1565" s="51">
        <f t="shared" si="887"/>
        <v>527097</v>
      </c>
      <c r="F1565" s="51">
        <f t="shared" ref="F1565:G1565" si="888">SUM(F1548:F1564)</f>
        <v>376452</v>
      </c>
      <c r="G1565" s="51">
        <f t="shared" si="888"/>
        <v>451799</v>
      </c>
      <c r="H1565" s="51">
        <f t="shared" si="887"/>
        <v>623500</v>
      </c>
      <c r="I1565" s="51">
        <f t="shared" si="887"/>
        <v>637840.5</v>
      </c>
      <c r="J1565" s="51">
        <f t="shared" si="887"/>
        <v>653148.67200000002</v>
      </c>
      <c r="K1565" s="51">
        <f t="shared" si="887"/>
        <v>668824.24012800003</v>
      </c>
      <c r="L1565" s="51">
        <f t="shared" si="887"/>
        <v>684207.197650944</v>
      </c>
      <c r="M1565" s="51">
        <f t="shared" si="887"/>
        <v>699259.75599926477</v>
      </c>
      <c r="N1565" s="51">
        <f t="shared" si="887"/>
        <v>715342.73038724775</v>
      </c>
      <c r="O1565" s="51">
        <f t="shared" si="887"/>
        <v>733226.29864692898</v>
      </c>
      <c r="P1565" s="51">
        <f t="shared" si="887"/>
        <v>751556.95611310215</v>
      </c>
      <c r="Q1565" s="51">
        <f t="shared" si="887"/>
        <v>769594.3230598165</v>
      </c>
      <c r="R1565" s="51">
        <f t="shared" ref="R1565" si="889">SUM(R1548:R1564)</f>
        <v>788064.58681325219</v>
      </c>
    </row>
    <row r="1566" spans="1:18" x14ac:dyDescent="0.25">
      <c r="C1566" s="50"/>
      <c r="D1566" s="50"/>
      <c r="E1566" s="50"/>
      <c r="F1566" s="50"/>
      <c r="G1566" s="50"/>
      <c r="H1566" s="50"/>
      <c r="I1566" s="50"/>
      <c r="J1566" s="50"/>
      <c r="K1566" s="50"/>
      <c r="L1566" s="50"/>
      <c r="M1566" s="50"/>
      <c r="N1566" s="50"/>
      <c r="O1566" s="50"/>
      <c r="P1566" s="50"/>
      <c r="Q1566" s="50"/>
      <c r="R1566" s="50"/>
    </row>
    <row r="1567" spans="1:18" x14ac:dyDescent="0.25">
      <c r="A1567" s="41" t="s">
        <v>165</v>
      </c>
      <c r="B1567" s="44"/>
      <c r="C1567" s="50"/>
      <c r="D1567" s="50"/>
      <c r="E1567" s="50"/>
      <c r="F1567" s="50"/>
      <c r="G1567" s="50"/>
      <c r="H1567" s="50"/>
      <c r="I1567" s="50"/>
      <c r="J1567" s="50"/>
      <c r="K1567" s="50"/>
      <c r="L1567" s="50"/>
      <c r="M1567" s="50"/>
      <c r="N1567" s="50"/>
      <c r="O1567" s="50"/>
      <c r="P1567" s="50"/>
      <c r="Q1567" s="50"/>
      <c r="R1567" s="50"/>
    </row>
    <row r="1568" spans="1:18" x14ac:dyDescent="0.25">
      <c r="C1568" s="50"/>
      <c r="D1568" s="50"/>
      <c r="E1568" s="50"/>
      <c r="F1568" s="50"/>
      <c r="G1568" s="50"/>
      <c r="H1568" s="50"/>
      <c r="I1568" s="50"/>
      <c r="J1568" s="50"/>
      <c r="K1568" s="50"/>
      <c r="L1568" s="50"/>
      <c r="M1568" s="50"/>
      <c r="N1568" s="50"/>
      <c r="O1568" s="50"/>
      <c r="P1568" s="50"/>
      <c r="Q1568" s="50"/>
      <c r="R1568" s="50"/>
    </row>
    <row r="1569" spans="1:18" x14ac:dyDescent="0.25">
      <c r="A1569" s="52" t="s">
        <v>994</v>
      </c>
      <c r="B1569" s="53"/>
      <c r="C1569" s="50"/>
      <c r="D1569" s="50"/>
      <c r="E1569" s="50"/>
      <c r="F1569" s="50"/>
      <c r="G1569" s="50"/>
      <c r="H1569" s="50"/>
      <c r="I1569" s="50"/>
      <c r="J1569" s="50"/>
      <c r="K1569" s="50"/>
      <c r="L1569" s="50"/>
      <c r="M1569" s="50"/>
      <c r="N1569" s="50"/>
      <c r="O1569" s="50"/>
      <c r="P1569" s="50"/>
      <c r="Q1569" s="50"/>
      <c r="R1569" s="50"/>
    </row>
    <row r="1570" spans="1:18" x14ac:dyDescent="0.25">
      <c r="A1570" s="52" t="s">
        <v>995</v>
      </c>
      <c r="B1570" s="53"/>
      <c r="C1570" s="54">
        <f>6736</f>
        <v>6736</v>
      </c>
      <c r="D1570" s="50">
        <v>4271</v>
      </c>
      <c r="E1570" s="43">
        <f>21672-9655</f>
        <v>12017</v>
      </c>
      <c r="F1570" s="50">
        <v>7039</v>
      </c>
      <c r="G1570" s="50">
        <v>7268</v>
      </c>
      <c r="H1570" s="50">
        <v>9800</v>
      </c>
      <c r="I1570" s="50">
        <v>10026.799999999999</v>
      </c>
      <c r="J1570" s="50">
        <v>10271.030700000001</v>
      </c>
      <c r="K1570" s="50">
        <v>10522.703589300001</v>
      </c>
      <c r="L1570" s="50">
        <v>10772.3377221789</v>
      </c>
      <c r="M1570" s="50">
        <v>11017.192296752561</v>
      </c>
      <c r="N1570" s="50">
        <v>11276.268055298835</v>
      </c>
      <c r="O1570" s="50">
        <v>11564.025502473902</v>
      </c>
      <c r="P1570" s="50">
        <v>11860.889243881698</v>
      </c>
      <c r="Q1570" s="50">
        <v>12154.46952948676</v>
      </c>
      <c r="R1570" s="50">
        <v>12455.398986033908</v>
      </c>
    </row>
    <row r="1571" spans="1:18" x14ac:dyDescent="0.25">
      <c r="A1571" s="52" t="s">
        <v>996</v>
      </c>
      <c r="B1571" s="53"/>
      <c r="C1571" s="54">
        <v>0</v>
      </c>
      <c r="D1571" s="50">
        <v>46184</v>
      </c>
      <c r="E1571" s="50">
        <v>34091</v>
      </c>
      <c r="F1571" s="50">
        <v>35598</v>
      </c>
      <c r="G1571" s="50">
        <v>34016</v>
      </c>
      <c r="H1571" s="50">
        <v>50500</v>
      </c>
      <c r="I1571" s="50">
        <v>51665.499999999993</v>
      </c>
      <c r="J1571" s="50">
        <v>52915.722000000002</v>
      </c>
      <c r="K1571" s="50">
        <v>54200.465478000006</v>
      </c>
      <c r="L1571" s="50">
        <v>55468.824613493991</v>
      </c>
      <c r="M1571" s="50">
        <v>56711.604882664367</v>
      </c>
      <c r="N1571" s="50">
        <v>58032.201325596972</v>
      </c>
      <c r="O1571" s="50">
        <v>59499.722775287177</v>
      </c>
      <c r="P1571" s="50">
        <v>61009.396141372054</v>
      </c>
      <c r="Q1571" s="50">
        <v>62499.10434519899</v>
      </c>
      <c r="R1571" s="50">
        <v>64025.431957596527</v>
      </c>
    </row>
    <row r="1572" spans="1:18" x14ac:dyDescent="0.25">
      <c r="A1572" s="52" t="s">
        <v>997</v>
      </c>
      <c r="B1572" s="53"/>
      <c r="C1572" s="54"/>
      <c r="D1572" s="50">
        <v>6035</v>
      </c>
      <c r="E1572" s="50">
        <v>8684</v>
      </c>
      <c r="F1572" s="50">
        <v>8592</v>
      </c>
      <c r="G1572" s="50">
        <v>9172</v>
      </c>
      <c r="H1572" s="50">
        <v>7000</v>
      </c>
      <c r="I1572" s="54">
        <f t="shared" ref="I1572" si="890">H1572*1.023</f>
        <v>7160.9999999999991</v>
      </c>
      <c r="J1572" s="54">
        <f t="shared" ref="J1572:K1572" si="891">I1572*1.024</f>
        <v>7332.8639999999996</v>
      </c>
      <c r="K1572" s="54">
        <f t="shared" si="891"/>
        <v>7508.8527359999998</v>
      </c>
      <c r="L1572" s="54">
        <f t="shared" ref="L1572" si="892">K1572*1.023</f>
        <v>7681.5563489279994</v>
      </c>
      <c r="M1572" s="54">
        <f t="shared" ref="M1572" si="893">L1572*1.022</f>
        <v>7850.5505886044157</v>
      </c>
      <c r="N1572" s="54">
        <f t="shared" ref="N1572" si="894">M1572*1.023</f>
        <v>8031.1132521423169</v>
      </c>
      <c r="O1572" s="54">
        <f t="shared" ref="O1572:P1572" si="895">N1572*1.025</f>
        <v>8231.8910834458748</v>
      </c>
      <c r="P1572" s="54">
        <f t="shared" si="895"/>
        <v>8437.6883605320218</v>
      </c>
      <c r="Q1572" s="54">
        <f t="shared" ref="Q1572:R1572" si="896">P1572*1.024</f>
        <v>8640.1928811847902</v>
      </c>
      <c r="R1572" s="54">
        <f t="shared" si="896"/>
        <v>8847.5575103332249</v>
      </c>
    </row>
    <row r="1573" spans="1:18" x14ac:dyDescent="0.25">
      <c r="A1573" s="43" t="s">
        <v>998</v>
      </c>
      <c r="C1573" s="215">
        <v>10985</v>
      </c>
      <c r="D1573" s="199">
        <v>11046</v>
      </c>
      <c r="E1573" s="199">
        <v>9655</v>
      </c>
      <c r="F1573" s="199">
        <v>9945</v>
      </c>
      <c r="G1573" s="199">
        <v>9945</v>
      </c>
      <c r="H1573" s="199">
        <v>10200</v>
      </c>
      <c r="I1573" s="199">
        <v>10400</v>
      </c>
      <c r="J1573" s="199">
        <v>10700</v>
      </c>
      <c r="K1573" s="199">
        <v>10900</v>
      </c>
      <c r="L1573" s="199">
        <v>11200</v>
      </c>
      <c r="M1573" s="199">
        <v>11400</v>
      </c>
      <c r="N1573" s="199">
        <v>11700</v>
      </c>
      <c r="O1573" s="199">
        <v>12000</v>
      </c>
      <c r="P1573" s="199">
        <v>12300</v>
      </c>
      <c r="Q1573" s="199">
        <v>12600</v>
      </c>
      <c r="R1573" s="199">
        <v>12600</v>
      </c>
    </row>
    <row r="1574" spans="1:18" x14ac:dyDescent="0.25">
      <c r="A1574" s="43" t="s">
        <v>999</v>
      </c>
      <c r="C1574" s="54">
        <v>24298</v>
      </c>
      <c r="D1574" s="59">
        <v>0</v>
      </c>
      <c r="E1574" s="59">
        <v>0</v>
      </c>
      <c r="F1574" s="59">
        <v>0</v>
      </c>
      <c r="G1574" s="59">
        <v>0</v>
      </c>
      <c r="H1574" s="59">
        <v>0</v>
      </c>
      <c r="I1574" s="59">
        <v>0</v>
      </c>
      <c r="J1574" s="59">
        <v>0</v>
      </c>
      <c r="K1574" s="59">
        <v>0</v>
      </c>
      <c r="L1574" s="59">
        <v>0</v>
      </c>
      <c r="M1574" s="59">
        <v>0</v>
      </c>
      <c r="N1574" s="59">
        <v>0</v>
      </c>
      <c r="O1574" s="59">
        <v>0</v>
      </c>
      <c r="P1574" s="59">
        <v>0</v>
      </c>
      <c r="Q1574" s="59">
        <v>0</v>
      </c>
      <c r="R1574" s="59">
        <v>0</v>
      </c>
    </row>
    <row r="1575" spans="1:18" x14ac:dyDescent="0.25">
      <c r="A1575" s="52" t="s">
        <v>1000</v>
      </c>
      <c r="C1575" s="50">
        <v>11250</v>
      </c>
      <c r="D1575" s="50">
        <v>5500</v>
      </c>
      <c r="E1575" s="59"/>
      <c r="F1575" s="59"/>
      <c r="G1575" s="59"/>
      <c r="H1575" s="59"/>
      <c r="I1575" s="59"/>
      <c r="J1575" s="59"/>
      <c r="K1575" s="59"/>
      <c r="L1575" s="59"/>
      <c r="M1575" s="59"/>
      <c r="N1575" s="59"/>
      <c r="O1575" s="59"/>
      <c r="P1575" s="59"/>
      <c r="Q1575" s="59"/>
      <c r="R1575" s="59"/>
    </row>
    <row r="1576" spans="1:18" x14ac:dyDescent="0.25">
      <c r="A1576" s="52" t="s">
        <v>1001</v>
      </c>
      <c r="B1576" s="53"/>
      <c r="C1576" s="50"/>
      <c r="D1576" s="50"/>
      <c r="E1576" s="50"/>
      <c r="F1576" s="50"/>
      <c r="G1576" s="50"/>
      <c r="H1576" s="50"/>
      <c r="I1576" s="50"/>
      <c r="J1576" s="50"/>
      <c r="K1576" s="50"/>
      <c r="L1576" s="50"/>
      <c r="M1576" s="50"/>
      <c r="N1576" s="50"/>
      <c r="O1576" s="50"/>
      <c r="P1576" s="50"/>
      <c r="Q1576" s="50"/>
      <c r="R1576" s="50"/>
    </row>
    <row r="1577" spans="1:18" x14ac:dyDescent="0.25">
      <c r="A1577" s="52" t="s">
        <v>1002</v>
      </c>
      <c r="B1577" s="53"/>
      <c r="C1577" s="54">
        <v>5946</v>
      </c>
      <c r="D1577" s="50">
        <v>15132</v>
      </c>
      <c r="E1577" s="43">
        <v>14808</v>
      </c>
      <c r="F1577" s="50">
        <v>5557</v>
      </c>
      <c r="G1577" s="50">
        <v>6547</v>
      </c>
      <c r="H1577" s="50">
        <v>15950</v>
      </c>
      <c r="I1577" s="50">
        <v>16426.149999999998</v>
      </c>
      <c r="J1577" s="50">
        <v>16903.645850000001</v>
      </c>
      <c r="K1577" s="50">
        <v>17396.748356650005</v>
      </c>
      <c r="L1577" s="50">
        <v>17892.844874165447</v>
      </c>
      <c r="M1577" s="50">
        <v>18391.617586033812</v>
      </c>
      <c r="N1577" s="50">
        <v>18920.360531808092</v>
      </c>
      <c r="O1577" s="50">
        <v>19494.738208204857</v>
      </c>
      <c r="P1577" s="50">
        <v>20088.54375966662</v>
      </c>
      <c r="Q1577" s="50">
        <v>20687.690080894256</v>
      </c>
      <c r="R1577" s="50">
        <v>21307.047178334044</v>
      </c>
    </row>
    <row r="1578" spans="1:18" x14ac:dyDescent="0.25">
      <c r="A1578" s="43" t="s">
        <v>304</v>
      </c>
      <c r="C1578" s="100">
        <v>28221</v>
      </c>
      <c r="D1578" s="100">
        <v>28221</v>
      </c>
      <c r="E1578" s="72">
        <v>28221</v>
      </c>
      <c r="F1578" s="105">
        <v>26781</v>
      </c>
      <c r="G1578" s="105">
        <v>26781</v>
      </c>
      <c r="H1578" s="73">
        <v>2730</v>
      </c>
      <c r="I1578" s="73">
        <v>2790</v>
      </c>
      <c r="J1578" s="73">
        <v>2870</v>
      </c>
      <c r="K1578" s="73">
        <v>2930</v>
      </c>
      <c r="L1578" s="73">
        <v>3000</v>
      </c>
      <c r="M1578" s="73">
        <v>3070</v>
      </c>
      <c r="N1578" s="73">
        <v>3130</v>
      </c>
      <c r="O1578" s="73">
        <v>3220</v>
      </c>
      <c r="P1578" s="73">
        <v>3310</v>
      </c>
      <c r="Q1578" s="73">
        <v>3380</v>
      </c>
      <c r="R1578" s="73">
        <v>3380</v>
      </c>
    </row>
    <row r="1579" spans="1:18" x14ac:dyDescent="0.25">
      <c r="A1579" s="59" t="s">
        <v>1003</v>
      </c>
      <c r="C1579" s="117">
        <v>40625</v>
      </c>
      <c r="D1579" s="117">
        <v>40625</v>
      </c>
      <c r="E1579" s="111">
        <v>46165</v>
      </c>
      <c r="F1579" s="171">
        <v>46695</v>
      </c>
      <c r="G1579" s="171">
        <v>46695</v>
      </c>
      <c r="H1579" s="171">
        <v>47810</v>
      </c>
      <c r="I1579" s="171">
        <v>48920</v>
      </c>
      <c r="J1579" s="171">
        <v>50110</v>
      </c>
      <c r="K1579" s="171">
        <v>51290</v>
      </c>
      <c r="L1579" s="171">
        <v>52480</v>
      </c>
      <c r="M1579" s="171">
        <v>53630</v>
      </c>
      <c r="N1579" s="171">
        <v>54850</v>
      </c>
      <c r="O1579" s="171">
        <v>56240</v>
      </c>
      <c r="P1579" s="171">
        <v>57640</v>
      </c>
      <c r="Q1579" s="171">
        <v>59020</v>
      </c>
      <c r="R1579" s="171">
        <v>59020</v>
      </c>
    </row>
    <row r="1580" spans="1:18" x14ac:dyDescent="0.25">
      <c r="A1580" s="43" t="s">
        <v>1004</v>
      </c>
      <c r="C1580" s="50">
        <v>0</v>
      </c>
      <c r="D1580" s="50">
        <v>500</v>
      </c>
      <c r="E1580" s="50">
        <v>0</v>
      </c>
      <c r="F1580" s="50">
        <v>940</v>
      </c>
      <c r="G1580" s="50">
        <v>1991</v>
      </c>
      <c r="H1580" s="50">
        <v>4100</v>
      </c>
      <c r="I1580" s="50">
        <v>4194.3</v>
      </c>
      <c r="J1580" s="50">
        <v>4294.9631999999992</v>
      </c>
      <c r="K1580" s="50">
        <v>4398.0423167999998</v>
      </c>
      <c r="L1580" s="50">
        <v>4499.1972900863993</v>
      </c>
      <c r="M1580" s="50">
        <v>4598.1796304682994</v>
      </c>
      <c r="N1580" s="50">
        <v>4703.9377619690695</v>
      </c>
      <c r="O1580" s="50">
        <v>4821.5362060182961</v>
      </c>
      <c r="P1580" s="50">
        <v>4942.0746111687531</v>
      </c>
      <c r="Q1580" s="50">
        <v>5060.6844018368047</v>
      </c>
      <c r="R1580" s="50">
        <v>5182.1408274808873</v>
      </c>
    </row>
    <row r="1581" spans="1:18" x14ac:dyDescent="0.25">
      <c r="A1581" s="59" t="s">
        <v>1003</v>
      </c>
      <c r="B1581" s="103"/>
      <c r="C1581" s="216">
        <v>702</v>
      </c>
      <c r="D1581" s="216">
        <v>702</v>
      </c>
      <c r="E1581" s="113">
        <v>282</v>
      </c>
      <c r="F1581" s="216">
        <v>282</v>
      </c>
      <c r="G1581" s="216">
        <v>282</v>
      </c>
      <c r="H1581" s="216">
        <v>290</v>
      </c>
      <c r="I1581" s="216">
        <v>300</v>
      </c>
      <c r="J1581" s="216">
        <v>300</v>
      </c>
      <c r="K1581" s="216">
        <v>310</v>
      </c>
      <c r="L1581" s="216">
        <v>320</v>
      </c>
      <c r="M1581" s="216">
        <v>320</v>
      </c>
      <c r="N1581" s="216">
        <v>330</v>
      </c>
      <c r="O1581" s="216">
        <v>340</v>
      </c>
      <c r="P1581" s="216">
        <v>350</v>
      </c>
      <c r="Q1581" s="216">
        <v>360</v>
      </c>
      <c r="R1581" s="216">
        <v>360</v>
      </c>
    </row>
    <row r="1582" spans="1:18" x14ac:dyDescent="0.25">
      <c r="A1582" s="52" t="s">
        <v>1005</v>
      </c>
      <c r="B1582" s="103"/>
      <c r="C1582" s="50"/>
      <c r="D1582" s="50"/>
      <c r="E1582" s="50"/>
      <c r="F1582" s="50"/>
      <c r="G1582" s="50"/>
      <c r="H1582" s="50"/>
      <c r="I1582" s="50"/>
      <c r="J1582" s="50"/>
      <c r="K1582" s="50"/>
      <c r="L1582" s="50"/>
      <c r="M1582" s="50"/>
      <c r="N1582" s="50"/>
      <c r="O1582" s="50"/>
      <c r="P1582" s="50"/>
      <c r="Q1582" s="50"/>
      <c r="R1582" s="50"/>
    </row>
    <row r="1583" spans="1:18" x14ac:dyDescent="0.25">
      <c r="A1583" s="52" t="s">
        <v>1006</v>
      </c>
      <c r="B1583" s="103"/>
      <c r="C1583" s="50">
        <v>0</v>
      </c>
      <c r="D1583" s="54">
        <f>C1583*1.025</f>
        <v>0</v>
      </c>
      <c r="E1583" s="54">
        <f>D1583*1.025</f>
        <v>0</v>
      </c>
      <c r="F1583" s="54">
        <v>0</v>
      </c>
      <c r="G1583" s="54">
        <v>0</v>
      </c>
      <c r="H1583" s="54">
        <v>0</v>
      </c>
      <c r="I1583" s="54">
        <v>0</v>
      </c>
      <c r="J1583" s="54">
        <v>0</v>
      </c>
      <c r="K1583" s="54">
        <v>0</v>
      </c>
      <c r="L1583" s="54">
        <v>0</v>
      </c>
      <c r="M1583" s="50">
        <v>0</v>
      </c>
      <c r="N1583" s="50">
        <v>0</v>
      </c>
      <c r="O1583" s="50">
        <v>0</v>
      </c>
      <c r="P1583" s="50">
        <v>0</v>
      </c>
      <c r="Q1583" s="50">
        <f>P1583*1.025</f>
        <v>0</v>
      </c>
      <c r="R1583" s="50">
        <f>Q1583*1.025</f>
        <v>0</v>
      </c>
    </row>
    <row r="1584" spans="1:18" x14ac:dyDescent="0.25">
      <c r="C1584" s="50"/>
      <c r="D1584" s="50"/>
      <c r="E1584" s="50"/>
      <c r="F1584" s="50"/>
      <c r="G1584" s="50"/>
      <c r="H1584" s="50"/>
      <c r="I1584" s="50"/>
      <c r="J1584" s="50"/>
      <c r="K1584" s="50"/>
      <c r="L1584" s="50"/>
      <c r="M1584" s="50"/>
      <c r="N1584" s="50"/>
      <c r="O1584" s="50"/>
      <c r="P1584" s="50"/>
      <c r="Q1584" s="50"/>
      <c r="R1584" s="50"/>
    </row>
    <row r="1585" spans="1:18" x14ac:dyDescent="0.25">
      <c r="A1585" s="41" t="s">
        <v>230</v>
      </c>
      <c r="B1585" s="44"/>
      <c r="C1585" s="51">
        <f t="shared" ref="C1585:Q1585" si="897">SUM(C1570:C1584)</f>
        <v>128763</v>
      </c>
      <c r="D1585" s="51">
        <f t="shared" si="897"/>
        <v>158216</v>
      </c>
      <c r="E1585" s="51">
        <f t="shared" ref="E1585:G1585" si="898">SUM(E1570:E1584)</f>
        <v>153923</v>
      </c>
      <c r="F1585" s="51">
        <f t="shared" si="898"/>
        <v>141429</v>
      </c>
      <c r="G1585" s="51">
        <f t="shared" si="898"/>
        <v>142697</v>
      </c>
      <c r="H1585" s="51">
        <f t="shared" si="897"/>
        <v>148380</v>
      </c>
      <c r="I1585" s="51">
        <f t="shared" si="897"/>
        <v>151883.74999999997</v>
      </c>
      <c r="J1585" s="51">
        <f t="shared" si="897"/>
        <v>155698.22574999998</v>
      </c>
      <c r="K1585" s="51">
        <f t="shared" si="897"/>
        <v>159456.81247675003</v>
      </c>
      <c r="L1585" s="51">
        <f t="shared" si="897"/>
        <v>163314.76084885272</v>
      </c>
      <c r="M1585" s="51">
        <f t="shared" si="897"/>
        <v>166989.14498452347</v>
      </c>
      <c r="N1585" s="51">
        <f t="shared" si="897"/>
        <v>170973.8809268153</v>
      </c>
      <c r="O1585" s="51">
        <f t="shared" si="897"/>
        <v>175411.91377543012</v>
      </c>
      <c r="P1585" s="51">
        <f t="shared" si="897"/>
        <v>179938.59211662115</v>
      </c>
      <c r="Q1585" s="51">
        <f t="shared" si="897"/>
        <v>184402.14123860162</v>
      </c>
      <c r="R1585" s="51">
        <f t="shared" ref="R1585" si="899">SUM(R1570:R1584)</f>
        <v>187177.57645977859</v>
      </c>
    </row>
    <row r="1586" spans="1:18" x14ac:dyDescent="0.25">
      <c r="A1586" s="41"/>
      <c r="B1586" s="44"/>
      <c r="C1586" s="50"/>
      <c r="D1586" s="50"/>
      <c r="E1586" s="50"/>
      <c r="F1586" s="50"/>
      <c r="G1586" s="50"/>
      <c r="H1586" s="50"/>
      <c r="I1586" s="50"/>
      <c r="J1586" s="50"/>
      <c r="K1586" s="50"/>
      <c r="L1586" s="50"/>
      <c r="M1586" s="50"/>
      <c r="N1586" s="50"/>
      <c r="O1586" s="50"/>
      <c r="P1586" s="50"/>
      <c r="Q1586" s="50"/>
      <c r="R1586" s="50"/>
    </row>
    <row r="1587" spans="1:18" x14ac:dyDescent="0.25">
      <c r="A1587" s="41" t="s">
        <v>251</v>
      </c>
      <c r="B1587" s="44"/>
      <c r="C1587" s="50"/>
      <c r="D1587" s="50"/>
      <c r="E1587" s="50"/>
      <c r="F1587" s="50"/>
      <c r="G1587" s="50"/>
      <c r="H1587" s="50"/>
      <c r="I1587" s="50"/>
      <c r="J1587" s="50"/>
      <c r="K1587" s="50"/>
      <c r="L1587" s="50"/>
      <c r="M1587" s="50"/>
      <c r="N1587" s="50"/>
      <c r="O1587" s="50"/>
      <c r="P1587" s="50"/>
      <c r="Q1587" s="50"/>
      <c r="R1587" s="50"/>
    </row>
    <row r="1588" spans="1:18" x14ac:dyDescent="0.25">
      <c r="C1588" s="50"/>
      <c r="D1588" s="50"/>
      <c r="E1588" s="50"/>
      <c r="F1588" s="50"/>
      <c r="G1588" s="50"/>
      <c r="H1588" s="50"/>
      <c r="I1588" s="50"/>
      <c r="J1588" s="50"/>
      <c r="K1588" s="50"/>
      <c r="L1588" s="50"/>
      <c r="M1588" s="50"/>
      <c r="N1588" s="50"/>
      <c r="O1588" s="50"/>
      <c r="P1588" s="50"/>
      <c r="Q1588" s="50"/>
      <c r="R1588" s="50"/>
    </row>
    <row r="1589" spans="1:18" x14ac:dyDescent="0.25">
      <c r="A1589" s="43" t="s">
        <v>1007</v>
      </c>
      <c r="C1589" s="50"/>
      <c r="D1589" s="50"/>
      <c r="E1589" s="50"/>
      <c r="F1589" s="50"/>
      <c r="G1589" s="50"/>
      <c r="H1589" s="50"/>
      <c r="I1589" s="50"/>
      <c r="J1589" s="50"/>
      <c r="K1589" s="50"/>
      <c r="L1589" s="50"/>
      <c r="M1589" s="50"/>
      <c r="N1589" s="50"/>
      <c r="O1589" s="50"/>
      <c r="P1589" s="50"/>
      <c r="Q1589" s="50"/>
      <c r="R1589" s="50"/>
    </row>
    <row r="1590" spans="1:18" x14ac:dyDescent="0.25">
      <c r="A1590" s="128" t="s">
        <v>1008</v>
      </c>
      <c r="B1590" s="129" t="s">
        <v>245</v>
      </c>
      <c r="C1590" s="50">
        <v>0</v>
      </c>
      <c r="D1590" s="50"/>
      <c r="E1590" s="50"/>
      <c r="F1590" s="50"/>
      <c r="G1590" s="50"/>
      <c r="H1590" s="50"/>
      <c r="I1590" s="50"/>
      <c r="J1590" s="50"/>
      <c r="K1590" s="50"/>
      <c r="L1590" s="50"/>
      <c r="M1590" s="50"/>
      <c r="N1590" s="50"/>
      <c r="O1590" s="50"/>
      <c r="P1590" s="50"/>
      <c r="Q1590" s="50"/>
      <c r="R1590" s="50"/>
    </row>
    <row r="1591" spans="1:18" x14ac:dyDescent="0.25">
      <c r="A1591" s="43" t="s">
        <v>1009</v>
      </c>
      <c r="C1591" s="50"/>
      <c r="D1591" s="50"/>
      <c r="E1591" s="50"/>
      <c r="F1591" s="50"/>
      <c r="G1591" s="50"/>
      <c r="H1591" s="50"/>
      <c r="I1591" s="50"/>
      <c r="J1591" s="50"/>
      <c r="K1591" s="50"/>
      <c r="L1591" s="50"/>
      <c r="M1591" s="50"/>
      <c r="N1591" s="50"/>
      <c r="O1591" s="50"/>
      <c r="P1591" s="50"/>
      <c r="Q1591" s="50"/>
      <c r="R1591" s="50"/>
    </row>
    <row r="1592" spans="1:18" x14ac:dyDescent="0.25">
      <c r="A1592" s="41" t="s">
        <v>254</v>
      </c>
      <c r="B1592" s="44"/>
      <c r="C1592" s="51">
        <f t="shared" ref="C1592:R1592" si="900">SUM(C1589:C1591)</f>
        <v>0</v>
      </c>
      <c r="D1592" s="51">
        <f t="shared" si="900"/>
        <v>0</v>
      </c>
      <c r="E1592" s="51">
        <f t="shared" si="900"/>
        <v>0</v>
      </c>
      <c r="F1592" s="51">
        <v>0</v>
      </c>
      <c r="G1592" s="51">
        <v>0</v>
      </c>
      <c r="H1592" s="51">
        <v>0</v>
      </c>
      <c r="I1592" s="51">
        <v>0</v>
      </c>
      <c r="J1592" s="51">
        <v>0</v>
      </c>
      <c r="K1592" s="51">
        <v>0</v>
      </c>
      <c r="L1592" s="51">
        <v>0</v>
      </c>
      <c r="M1592" s="51">
        <v>0</v>
      </c>
      <c r="N1592" s="51">
        <v>0</v>
      </c>
      <c r="O1592" s="51">
        <v>0</v>
      </c>
      <c r="P1592" s="51">
        <v>0</v>
      </c>
      <c r="Q1592" s="51">
        <f t="shared" si="900"/>
        <v>0</v>
      </c>
      <c r="R1592" s="51">
        <f t="shared" si="900"/>
        <v>0</v>
      </c>
    </row>
    <row r="1593" spans="1:18" x14ac:dyDescent="0.25">
      <c r="A1593" s="41"/>
      <c r="B1593" s="44"/>
      <c r="C1593" s="50"/>
      <c r="D1593" s="50"/>
      <c r="E1593" s="50"/>
      <c r="F1593" s="50"/>
      <c r="G1593" s="50"/>
      <c r="H1593" s="50"/>
      <c r="I1593" s="50"/>
      <c r="J1593" s="50"/>
      <c r="K1593" s="50"/>
      <c r="L1593" s="50"/>
      <c r="M1593" s="50"/>
      <c r="N1593" s="50"/>
      <c r="O1593" s="50"/>
      <c r="P1593" s="50"/>
      <c r="Q1593" s="50"/>
      <c r="R1593" s="50"/>
    </row>
    <row r="1594" spans="1:18" x14ac:dyDescent="0.25">
      <c r="A1594" s="41" t="s">
        <v>171</v>
      </c>
      <c r="B1594" s="44"/>
      <c r="C1594" s="50"/>
      <c r="D1594" s="50"/>
      <c r="E1594" s="50"/>
      <c r="F1594" s="50"/>
      <c r="G1594" s="50"/>
      <c r="H1594" s="50"/>
      <c r="I1594" s="50"/>
      <c r="J1594" s="50"/>
      <c r="K1594" s="50"/>
      <c r="L1594" s="50"/>
      <c r="M1594" s="50"/>
      <c r="N1594" s="50"/>
      <c r="O1594" s="50"/>
      <c r="P1594" s="50"/>
      <c r="Q1594" s="50"/>
      <c r="R1594" s="50"/>
    </row>
    <row r="1595" spans="1:18" x14ac:dyDescent="0.25">
      <c r="C1595" s="50"/>
      <c r="D1595" s="50"/>
      <c r="E1595" s="50"/>
      <c r="F1595" s="50"/>
      <c r="G1595" s="50"/>
      <c r="H1595" s="50"/>
      <c r="I1595" s="50"/>
      <c r="J1595" s="50"/>
      <c r="K1595" s="50"/>
      <c r="L1595" s="50"/>
      <c r="M1595" s="50"/>
      <c r="N1595" s="50"/>
      <c r="O1595" s="50"/>
      <c r="P1595" s="50"/>
      <c r="Q1595" s="50"/>
      <c r="R1595" s="50"/>
    </row>
    <row r="1596" spans="1:18" x14ac:dyDescent="0.25">
      <c r="A1596" s="52" t="s">
        <v>987</v>
      </c>
      <c r="C1596" s="50">
        <v>76424</v>
      </c>
      <c r="D1596" s="50">
        <v>0</v>
      </c>
      <c r="E1596" s="50">
        <v>0</v>
      </c>
      <c r="F1596" s="50">
        <v>0</v>
      </c>
      <c r="G1596" s="50">
        <v>0</v>
      </c>
      <c r="H1596" s="50">
        <v>0</v>
      </c>
      <c r="I1596" s="50">
        <v>0</v>
      </c>
      <c r="J1596" s="50">
        <v>0</v>
      </c>
      <c r="K1596" s="50">
        <v>0</v>
      </c>
      <c r="L1596" s="50">
        <v>0</v>
      </c>
      <c r="M1596" s="50">
        <v>0</v>
      </c>
      <c r="N1596" s="50">
        <v>0</v>
      </c>
      <c r="O1596" s="50">
        <v>0</v>
      </c>
      <c r="P1596" s="50">
        <v>0</v>
      </c>
      <c r="Q1596" s="50">
        <v>0</v>
      </c>
      <c r="R1596" s="50">
        <v>0</v>
      </c>
    </row>
    <row r="1597" spans="1:18" x14ac:dyDescent="0.25">
      <c r="A1597" s="52" t="s">
        <v>986</v>
      </c>
      <c r="B1597" s="53"/>
      <c r="C1597" s="50">
        <v>0</v>
      </c>
      <c r="D1597" s="50">
        <v>0</v>
      </c>
      <c r="E1597" s="50">
        <v>0</v>
      </c>
      <c r="F1597" s="50">
        <v>0</v>
      </c>
      <c r="G1597" s="50">
        <v>0</v>
      </c>
      <c r="H1597" s="50">
        <v>0</v>
      </c>
      <c r="I1597" s="50">
        <v>0</v>
      </c>
      <c r="J1597" s="50">
        <v>0</v>
      </c>
      <c r="K1597" s="50">
        <v>0</v>
      </c>
      <c r="L1597" s="50">
        <v>0</v>
      </c>
      <c r="M1597" s="50">
        <v>0</v>
      </c>
      <c r="N1597" s="50">
        <v>0</v>
      </c>
      <c r="O1597" s="50">
        <v>0</v>
      </c>
      <c r="P1597" s="50">
        <v>0</v>
      </c>
      <c r="Q1597" s="50">
        <v>0</v>
      </c>
      <c r="R1597" s="50">
        <v>0</v>
      </c>
    </row>
    <row r="1598" spans="1:18" x14ac:dyDescent="0.25">
      <c r="A1598" s="59" t="s">
        <v>1010</v>
      </c>
      <c r="B1598" s="53"/>
      <c r="C1598" s="50"/>
      <c r="D1598" s="50"/>
      <c r="E1598" s="50"/>
      <c r="F1598" s="50"/>
      <c r="G1598" s="50"/>
      <c r="H1598" s="50"/>
      <c r="I1598" s="50"/>
      <c r="J1598" s="50"/>
      <c r="K1598" s="50"/>
      <c r="L1598" s="50"/>
      <c r="M1598" s="50"/>
      <c r="N1598" s="50"/>
      <c r="O1598" s="50"/>
      <c r="P1598" s="50"/>
      <c r="Q1598" s="50"/>
      <c r="R1598" s="50"/>
    </row>
    <row r="1599" spans="1:18" x14ac:dyDescent="0.25">
      <c r="A1599" s="52" t="s">
        <v>1011</v>
      </c>
      <c r="B1599" s="53"/>
      <c r="C1599" s="52"/>
      <c r="D1599" s="50"/>
      <c r="E1599" s="50"/>
      <c r="F1599" s="50"/>
      <c r="G1599" s="50"/>
      <c r="H1599" s="50">
        <v>20000</v>
      </c>
      <c r="I1599" s="50"/>
      <c r="J1599" s="50"/>
      <c r="K1599" s="50"/>
      <c r="L1599" s="50"/>
      <c r="M1599" s="50"/>
      <c r="N1599" s="50"/>
      <c r="O1599" s="50"/>
      <c r="P1599" s="50"/>
      <c r="Q1599" s="50"/>
      <c r="R1599" s="50"/>
    </row>
    <row r="1600" spans="1:18" x14ac:dyDescent="0.25">
      <c r="A1600" s="43" t="s">
        <v>989</v>
      </c>
      <c r="B1600" s="53"/>
      <c r="C1600" s="54">
        <v>12482</v>
      </c>
      <c r="D1600" s="50">
        <v>6133</v>
      </c>
      <c r="E1600" s="50"/>
      <c r="F1600" s="50"/>
      <c r="G1600" s="50"/>
      <c r="H1600" s="50"/>
      <c r="I1600" s="50"/>
      <c r="J1600" s="50"/>
      <c r="K1600" s="50"/>
      <c r="L1600" s="50"/>
      <c r="M1600" s="50"/>
      <c r="N1600" s="50"/>
      <c r="O1600" s="50"/>
      <c r="P1600" s="50"/>
      <c r="Q1600" s="50"/>
      <c r="R1600" s="50"/>
    </row>
    <row r="1601" spans="1:18" x14ac:dyDescent="0.25">
      <c r="A1601" s="52" t="s">
        <v>1012</v>
      </c>
      <c r="B1601" s="53"/>
      <c r="C1601" s="54">
        <v>380781</v>
      </c>
      <c r="D1601" s="50"/>
      <c r="E1601" s="50"/>
      <c r="F1601" s="50"/>
      <c r="G1601" s="50"/>
      <c r="H1601" s="50"/>
      <c r="I1601" s="50"/>
      <c r="J1601" s="50"/>
      <c r="K1601" s="50"/>
      <c r="L1601" s="50"/>
      <c r="M1601" s="50"/>
      <c r="N1601" s="50"/>
      <c r="O1601" s="50"/>
      <c r="P1601" s="50"/>
      <c r="Q1601" s="50"/>
      <c r="R1601" s="50"/>
    </row>
    <row r="1602" spans="1:18" x14ac:dyDescent="0.25">
      <c r="A1602" s="52" t="s">
        <v>1013</v>
      </c>
      <c r="B1602" s="53"/>
      <c r="C1602" s="68"/>
      <c r="D1602" s="50"/>
      <c r="E1602" s="50"/>
      <c r="F1602" s="50"/>
      <c r="G1602" s="50"/>
      <c r="H1602" s="50"/>
      <c r="I1602" s="50"/>
      <c r="J1602" s="50"/>
      <c r="K1602" s="50"/>
      <c r="L1602" s="50"/>
      <c r="M1602" s="50"/>
      <c r="N1602" s="50"/>
      <c r="O1602" s="50"/>
      <c r="P1602" s="50"/>
      <c r="Q1602" s="50"/>
      <c r="R1602" s="50"/>
    </row>
    <row r="1603" spans="1:18" x14ac:dyDescent="0.25">
      <c r="A1603" s="52" t="s">
        <v>992</v>
      </c>
      <c r="B1603" s="53"/>
      <c r="C1603" s="68"/>
      <c r="D1603" s="50">
        <v>179508</v>
      </c>
      <c r="E1603" s="43">
        <v>47091</v>
      </c>
      <c r="F1603" s="50"/>
      <c r="G1603" s="50"/>
      <c r="H1603" s="50"/>
      <c r="I1603" s="50"/>
      <c r="J1603" s="50"/>
      <c r="K1603" s="50"/>
      <c r="L1603" s="50"/>
      <c r="M1603" s="50"/>
      <c r="N1603" s="50"/>
      <c r="O1603" s="50"/>
      <c r="P1603" s="50"/>
      <c r="Q1603" s="50"/>
      <c r="R1603" s="50"/>
    </row>
    <row r="1604" spans="1:18" x14ac:dyDescent="0.25">
      <c r="A1604" s="52" t="s">
        <v>993</v>
      </c>
      <c r="B1604" s="53"/>
      <c r="C1604" s="68"/>
      <c r="D1604" s="50">
        <v>160545</v>
      </c>
      <c r="E1604" s="50"/>
      <c r="F1604" s="50"/>
      <c r="G1604" s="50"/>
      <c r="H1604" s="50"/>
      <c r="I1604" s="50"/>
      <c r="J1604" s="50"/>
      <c r="K1604" s="50"/>
      <c r="L1604" s="50"/>
      <c r="M1604" s="50"/>
      <c r="N1604" s="50"/>
      <c r="O1604" s="50"/>
      <c r="P1604" s="50"/>
      <c r="Q1604" s="50"/>
      <c r="R1604" s="50"/>
    </row>
    <row r="1605" spans="1:18" x14ac:dyDescent="0.25">
      <c r="A1605" s="91" t="s">
        <v>1014</v>
      </c>
      <c r="B1605" s="163" t="s">
        <v>317</v>
      </c>
      <c r="C1605" s="50"/>
      <c r="D1605" s="50"/>
      <c r="E1605" s="50"/>
      <c r="F1605" s="50"/>
      <c r="G1605" s="50"/>
      <c r="H1605" s="50"/>
      <c r="I1605" s="50"/>
      <c r="J1605" s="50"/>
      <c r="K1605" s="50"/>
      <c r="L1605" s="50"/>
      <c r="M1605" s="50"/>
      <c r="N1605" s="50"/>
      <c r="O1605" s="50"/>
      <c r="P1605" s="50"/>
      <c r="Q1605" s="50"/>
      <c r="R1605" s="50"/>
    </row>
    <row r="1606" spans="1:18" x14ac:dyDescent="0.25">
      <c r="A1606" s="91" t="s">
        <v>1015</v>
      </c>
      <c r="B1606" s="163" t="s">
        <v>317</v>
      </c>
      <c r="C1606" s="50"/>
      <c r="D1606" s="50"/>
      <c r="E1606" s="50"/>
      <c r="F1606" s="85"/>
      <c r="G1606" s="85">
        <v>1825</v>
      </c>
      <c r="H1606" s="50"/>
      <c r="I1606" s="50"/>
      <c r="J1606" s="50"/>
      <c r="K1606" s="50"/>
      <c r="L1606" s="50"/>
      <c r="M1606" s="50"/>
      <c r="N1606" s="50"/>
      <c r="O1606" s="50"/>
      <c r="P1606" s="50"/>
      <c r="Q1606" s="50"/>
      <c r="R1606" s="50"/>
    </row>
    <row r="1607" spans="1:18" x14ac:dyDescent="0.25">
      <c r="A1607" s="217" t="s">
        <v>1016</v>
      </c>
      <c r="B1607" s="212" t="s">
        <v>590</v>
      </c>
      <c r="C1607" s="54">
        <v>1252</v>
      </c>
      <c r="D1607" s="160">
        <v>22366</v>
      </c>
      <c r="E1607" s="160">
        <v>6630</v>
      </c>
      <c r="F1607" s="160"/>
      <c r="G1607" s="160"/>
      <c r="H1607" s="160">
        <v>28285</v>
      </c>
      <c r="I1607" s="160">
        <v>28965</v>
      </c>
      <c r="J1607" s="160">
        <v>29775</v>
      </c>
      <c r="K1607" s="160">
        <v>30549</v>
      </c>
      <c r="L1607" s="160">
        <v>31343</v>
      </c>
      <c r="M1607" s="161">
        <v>26931</v>
      </c>
      <c r="N1607" s="161">
        <v>26286</v>
      </c>
      <c r="O1607" s="161">
        <v>26286</v>
      </c>
      <c r="P1607" s="161">
        <v>26286</v>
      </c>
      <c r="Q1607" s="161">
        <v>26286</v>
      </c>
      <c r="R1607" s="161">
        <v>26286</v>
      </c>
    </row>
    <row r="1608" spans="1:18" x14ac:dyDescent="0.25">
      <c r="A1608" s="217" t="s">
        <v>1017</v>
      </c>
      <c r="B1608" s="212" t="s">
        <v>590</v>
      </c>
      <c r="C1608" s="54"/>
      <c r="D1608" s="160"/>
      <c r="E1608" s="160">
        <v>47395</v>
      </c>
      <c r="F1608" s="160"/>
      <c r="G1608" s="50"/>
      <c r="H1608" s="50"/>
      <c r="I1608" s="50"/>
      <c r="J1608" s="50"/>
      <c r="K1608" s="50"/>
      <c r="L1608" s="50"/>
      <c r="M1608" s="50"/>
      <c r="N1608" s="50"/>
      <c r="O1608" s="50"/>
      <c r="P1608" s="50"/>
      <c r="Q1608" s="50"/>
      <c r="R1608" s="50"/>
    </row>
    <row r="1609" spans="1:18" s="43" customFormat="1" x14ac:dyDescent="0.25">
      <c r="A1609" s="217" t="s">
        <v>1018</v>
      </c>
      <c r="B1609" s="212" t="s">
        <v>590</v>
      </c>
      <c r="C1609" s="50"/>
      <c r="D1609" s="50"/>
      <c r="E1609" s="160">
        <v>14200</v>
      </c>
      <c r="F1609" s="160">
        <v>15274</v>
      </c>
      <c r="G1609" s="50">
        <v>6970</v>
      </c>
      <c r="H1609" s="50"/>
      <c r="I1609" s="50"/>
      <c r="J1609" s="50"/>
      <c r="K1609" s="50"/>
      <c r="L1609" s="50"/>
      <c r="M1609" s="50"/>
      <c r="N1609" s="50"/>
      <c r="O1609" s="50"/>
      <c r="P1609" s="50"/>
      <c r="Q1609" s="50"/>
      <c r="R1609" s="50"/>
    </row>
    <row r="1610" spans="1:18" s="43" customFormat="1" x14ac:dyDescent="0.25">
      <c r="A1610" s="217" t="s">
        <v>1019</v>
      </c>
      <c r="B1610" s="212" t="s">
        <v>590</v>
      </c>
      <c r="C1610" s="50"/>
      <c r="D1610" s="50"/>
      <c r="E1610" s="160"/>
      <c r="F1610" s="160">
        <v>17643</v>
      </c>
      <c r="G1610" s="50">
        <v>8499</v>
      </c>
      <c r="H1610" s="50"/>
      <c r="I1610" s="50"/>
      <c r="J1610" s="50"/>
      <c r="K1610" s="50"/>
      <c r="L1610" s="50"/>
      <c r="M1610" s="50"/>
      <c r="N1610" s="50"/>
      <c r="O1610" s="50"/>
      <c r="P1610" s="50"/>
      <c r="Q1610" s="50"/>
      <c r="R1610" s="50"/>
    </row>
    <row r="1611" spans="1:18" s="43" customFormat="1" x14ac:dyDescent="0.25">
      <c r="A1611" s="217" t="s">
        <v>1020</v>
      </c>
      <c r="B1611" s="212" t="s">
        <v>590</v>
      </c>
      <c r="C1611" s="50"/>
      <c r="D1611" s="50"/>
      <c r="E1611" s="160">
        <v>10260</v>
      </c>
      <c r="F1611" s="50"/>
      <c r="G1611" s="50">
        <v>4958</v>
      </c>
      <c r="H1611" s="50"/>
      <c r="I1611" s="50"/>
      <c r="J1611" s="50"/>
      <c r="K1611" s="50"/>
      <c r="L1611" s="50"/>
      <c r="M1611" s="50"/>
      <c r="N1611" s="50"/>
      <c r="O1611" s="50"/>
      <c r="P1611" s="50"/>
      <c r="Q1611" s="50"/>
      <c r="R1611" s="50"/>
    </row>
    <row r="1612" spans="1:18" x14ac:dyDescent="0.25">
      <c r="A1612" s="52"/>
      <c r="C1612" s="50"/>
      <c r="D1612" s="50"/>
      <c r="E1612" s="50"/>
      <c r="F1612" s="50"/>
      <c r="G1612" s="50"/>
      <c r="H1612" s="50"/>
      <c r="I1612" s="50"/>
      <c r="J1612" s="50"/>
      <c r="K1612" s="50"/>
      <c r="L1612" s="50"/>
      <c r="M1612" s="50"/>
      <c r="N1612" s="50"/>
      <c r="O1612" s="50"/>
      <c r="P1612" s="50"/>
      <c r="Q1612" s="50"/>
      <c r="R1612" s="50"/>
    </row>
    <row r="1613" spans="1:18" x14ac:dyDescent="0.25">
      <c r="A1613" s="41" t="s">
        <v>107</v>
      </c>
      <c r="B1613" s="44"/>
      <c r="C1613" s="51">
        <f t="shared" ref="C1613:R1613" si="901">SUM(C1596:C1612)</f>
        <v>470939</v>
      </c>
      <c r="D1613" s="51">
        <f t="shared" si="901"/>
        <v>368552</v>
      </c>
      <c r="E1613" s="51">
        <f t="shared" si="901"/>
        <v>125576</v>
      </c>
      <c r="F1613" s="51">
        <f t="shared" si="901"/>
        <v>32917</v>
      </c>
      <c r="G1613" s="51">
        <f t="shared" si="901"/>
        <v>22252</v>
      </c>
      <c r="H1613" s="51">
        <f t="shared" si="901"/>
        <v>48285</v>
      </c>
      <c r="I1613" s="51">
        <f t="shared" si="901"/>
        <v>28965</v>
      </c>
      <c r="J1613" s="51">
        <f t="shared" si="901"/>
        <v>29775</v>
      </c>
      <c r="K1613" s="51">
        <f t="shared" si="901"/>
        <v>30549</v>
      </c>
      <c r="L1613" s="51">
        <f t="shared" si="901"/>
        <v>31343</v>
      </c>
      <c r="M1613" s="51">
        <f t="shared" si="901"/>
        <v>26931</v>
      </c>
      <c r="N1613" s="51">
        <f t="shared" si="901"/>
        <v>26286</v>
      </c>
      <c r="O1613" s="51">
        <f t="shared" si="901"/>
        <v>26286</v>
      </c>
      <c r="P1613" s="51">
        <f t="shared" si="901"/>
        <v>26286</v>
      </c>
      <c r="Q1613" s="51">
        <f t="shared" si="901"/>
        <v>26286</v>
      </c>
      <c r="R1613" s="51">
        <f t="shared" si="901"/>
        <v>26286</v>
      </c>
    </row>
    <row r="1614" spans="1:18" x14ac:dyDescent="0.25">
      <c r="C1614" s="50"/>
      <c r="D1614" s="50"/>
      <c r="E1614" s="50"/>
      <c r="F1614" s="50"/>
      <c r="G1614" s="50"/>
      <c r="H1614" s="50"/>
      <c r="I1614" s="50"/>
      <c r="J1614" s="50"/>
      <c r="K1614" s="50"/>
      <c r="L1614" s="50"/>
      <c r="M1614" s="50"/>
      <c r="N1614" s="50"/>
      <c r="O1614" s="50"/>
      <c r="P1614" s="50"/>
      <c r="Q1614" s="50"/>
      <c r="R1614" s="50"/>
    </row>
    <row r="1615" spans="1:18" x14ac:dyDescent="0.25">
      <c r="A1615" s="41" t="s">
        <v>1021</v>
      </c>
      <c r="B1615" s="44"/>
      <c r="C1615" s="51">
        <f t="shared" ref="C1615:R1615" si="902">C1613+C1585-C1565-C1592</f>
        <v>-166545</v>
      </c>
      <c r="D1615" s="51">
        <f t="shared" si="902"/>
        <v>-136446</v>
      </c>
      <c r="E1615" s="51">
        <f t="shared" si="902"/>
        <v>-247598</v>
      </c>
      <c r="F1615" s="51">
        <f t="shared" si="902"/>
        <v>-202106</v>
      </c>
      <c r="G1615" s="51">
        <f t="shared" si="902"/>
        <v>-286850</v>
      </c>
      <c r="H1615" s="51">
        <f t="shared" si="902"/>
        <v>-426835</v>
      </c>
      <c r="I1615" s="51">
        <f t="shared" si="902"/>
        <v>-456991.75</v>
      </c>
      <c r="J1615" s="51">
        <f t="shared" si="902"/>
        <v>-467675.44625000004</v>
      </c>
      <c r="K1615" s="51">
        <f t="shared" si="902"/>
        <v>-478818.42765125004</v>
      </c>
      <c r="L1615" s="51">
        <f t="shared" si="902"/>
        <v>-489549.43680209131</v>
      </c>
      <c r="M1615" s="51">
        <f t="shared" si="902"/>
        <v>-505339.6110147413</v>
      </c>
      <c r="N1615" s="51">
        <f t="shared" si="902"/>
        <v>-518082.84946043242</v>
      </c>
      <c r="O1615" s="51">
        <f t="shared" si="902"/>
        <v>-531528.38487149891</v>
      </c>
      <c r="P1615" s="51">
        <f t="shared" si="902"/>
        <v>-545332.36399648106</v>
      </c>
      <c r="Q1615" s="51">
        <f t="shared" si="902"/>
        <v>-558906.18182121485</v>
      </c>
      <c r="R1615" s="51">
        <f t="shared" si="902"/>
        <v>-574601.0103534736</v>
      </c>
    </row>
    <row r="1616" spans="1:18" x14ac:dyDescent="0.25">
      <c r="C1616" s="50"/>
      <c r="D1616" s="50"/>
      <c r="E1616" s="50"/>
      <c r="F1616" s="50"/>
      <c r="G1616" s="50"/>
      <c r="H1616" s="50"/>
      <c r="I1616" s="50"/>
      <c r="J1616" s="50"/>
      <c r="K1616" s="50"/>
      <c r="L1616" s="50"/>
      <c r="M1616" s="50"/>
      <c r="N1616" s="50"/>
      <c r="O1616" s="50"/>
      <c r="P1616" s="50"/>
      <c r="Q1616" s="50"/>
      <c r="R1616" s="50"/>
    </row>
    <row r="1617" spans="1:18" x14ac:dyDescent="0.25">
      <c r="A1617" s="41" t="s">
        <v>1022</v>
      </c>
      <c r="B1617" s="44"/>
      <c r="C1617" s="51">
        <f t="shared" ref="C1617:R1617" si="903">+C1615+C1542</f>
        <v>2864215</v>
      </c>
      <c r="D1617" s="51">
        <f t="shared" si="903"/>
        <v>2877665</v>
      </c>
      <c r="E1617" s="51">
        <f t="shared" si="903"/>
        <v>3581221</v>
      </c>
      <c r="F1617" s="51">
        <f t="shared" si="903"/>
        <v>3279296</v>
      </c>
      <c r="G1617" s="51">
        <f t="shared" si="903"/>
        <v>2825250</v>
      </c>
      <c r="H1617" s="51">
        <f t="shared" si="903"/>
        <v>2407119</v>
      </c>
      <c r="I1617" s="51">
        <f t="shared" si="903"/>
        <v>3267642.2350000003</v>
      </c>
      <c r="J1617" s="51">
        <f t="shared" si="903"/>
        <v>3450301.3160900003</v>
      </c>
      <c r="K1617" s="51">
        <f t="shared" si="903"/>
        <v>3317047.7915124102</v>
      </c>
      <c r="L1617" s="51">
        <f t="shared" si="903"/>
        <v>3373976.498009108</v>
      </c>
      <c r="M1617" s="51">
        <f t="shared" si="903"/>
        <v>3512169.3890261222</v>
      </c>
      <c r="N1617" s="51">
        <f t="shared" si="903"/>
        <v>3816530.4046189962</v>
      </c>
      <c r="O1617" s="51">
        <f t="shared" si="903"/>
        <v>3592256.5621545212</v>
      </c>
      <c r="P1617" s="51">
        <f t="shared" si="903"/>
        <v>3934483.4083929374</v>
      </c>
      <c r="Q1617" s="51">
        <f t="shared" si="903"/>
        <v>3956782.0171136782</v>
      </c>
      <c r="R1617" s="51">
        <f t="shared" si="903"/>
        <v>4016119.5106632304</v>
      </c>
    </row>
    <row r="1618" spans="1:18" x14ac:dyDescent="0.25">
      <c r="C1618" s="50"/>
      <c r="D1618" s="50"/>
      <c r="E1618" s="50"/>
      <c r="F1618" s="50"/>
      <c r="G1618" s="50"/>
      <c r="H1618" s="50"/>
      <c r="I1618" s="50"/>
      <c r="J1618" s="50"/>
      <c r="K1618" s="50"/>
      <c r="L1618" s="50"/>
      <c r="M1618" s="50"/>
      <c r="N1618" s="50"/>
      <c r="O1618" s="50"/>
      <c r="P1618" s="50"/>
      <c r="Q1618" s="50"/>
      <c r="R1618" s="50"/>
    </row>
    <row r="1619" spans="1:18" x14ac:dyDescent="0.25">
      <c r="C1619" s="50"/>
      <c r="D1619" s="50"/>
      <c r="E1619" s="50"/>
      <c r="F1619" s="50"/>
      <c r="G1619" s="50"/>
      <c r="H1619" s="50"/>
      <c r="I1619" s="50"/>
      <c r="J1619" s="50"/>
      <c r="K1619" s="50"/>
      <c r="L1619" s="50"/>
      <c r="M1619" s="50"/>
      <c r="N1619" s="50"/>
      <c r="O1619" s="50"/>
      <c r="P1619" s="50"/>
      <c r="Q1619" s="50"/>
      <c r="R1619" s="50"/>
    </row>
    <row r="1620" spans="1:18" x14ac:dyDescent="0.25">
      <c r="C1620" s="50"/>
      <c r="D1620" s="50"/>
      <c r="E1620" s="50"/>
      <c r="F1620" s="50"/>
      <c r="G1620" s="50"/>
      <c r="H1620" s="50"/>
      <c r="I1620" s="50"/>
      <c r="J1620" s="50"/>
      <c r="K1620" s="50"/>
      <c r="L1620" s="50"/>
      <c r="M1620" s="50"/>
      <c r="N1620" s="50"/>
      <c r="O1620" s="50"/>
      <c r="P1620" s="50"/>
      <c r="Q1620" s="50"/>
      <c r="R1620" s="50"/>
    </row>
    <row r="1621" spans="1:18" x14ac:dyDescent="0.25">
      <c r="A1621" s="41" t="s">
        <v>163</v>
      </c>
      <c r="B1621" s="44"/>
      <c r="C1621" s="50"/>
      <c r="D1621" s="50"/>
      <c r="E1621" s="50"/>
      <c r="F1621" s="50"/>
      <c r="G1621" s="50"/>
      <c r="H1621" s="50"/>
      <c r="I1621" s="50"/>
      <c r="J1621" s="50"/>
      <c r="K1621" s="50"/>
      <c r="L1621" s="50"/>
      <c r="M1621" s="50"/>
      <c r="N1621" s="50"/>
      <c r="O1621" s="50"/>
      <c r="P1621" s="50"/>
      <c r="Q1621" s="50"/>
      <c r="R1621" s="50"/>
    </row>
    <row r="1622" spans="1:18" x14ac:dyDescent="0.25">
      <c r="A1622" s="41"/>
      <c r="B1622" s="44"/>
      <c r="C1622" s="50"/>
      <c r="D1622" s="50"/>
      <c r="E1622" s="50"/>
      <c r="F1622" s="50"/>
      <c r="G1622" s="50"/>
      <c r="H1622" s="50"/>
      <c r="I1622" s="50"/>
      <c r="J1622" s="50"/>
      <c r="K1622" s="50"/>
      <c r="L1622" s="50"/>
      <c r="M1622" s="50"/>
      <c r="N1622" s="50"/>
      <c r="O1622" s="50"/>
      <c r="P1622" s="50"/>
      <c r="Q1622" s="50"/>
      <c r="R1622" s="50"/>
    </row>
    <row r="1623" spans="1:18" x14ac:dyDescent="0.25">
      <c r="C1623" s="50"/>
      <c r="D1623" s="50"/>
      <c r="E1623" s="50"/>
      <c r="F1623" s="50"/>
      <c r="G1623" s="50"/>
      <c r="H1623" s="50"/>
      <c r="I1623" s="50"/>
      <c r="J1623" s="50"/>
      <c r="K1623" s="50"/>
      <c r="L1623" s="50"/>
      <c r="M1623" s="50"/>
      <c r="N1623" s="50"/>
      <c r="O1623" s="50"/>
      <c r="P1623" s="50"/>
      <c r="Q1623" s="50"/>
      <c r="R1623" s="50"/>
    </row>
    <row r="1624" spans="1:18" x14ac:dyDescent="0.25">
      <c r="A1624" s="41" t="s">
        <v>1023</v>
      </c>
      <c r="B1624" s="44"/>
      <c r="C1624" s="50"/>
      <c r="D1624" s="50"/>
      <c r="E1624" s="50"/>
      <c r="F1624" s="50"/>
      <c r="G1624" s="50"/>
      <c r="H1624" s="50"/>
      <c r="I1624" s="50"/>
      <c r="J1624" s="50"/>
      <c r="K1624" s="50"/>
      <c r="L1624" s="50"/>
      <c r="M1624" s="50"/>
      <c r="N1624" s="50"/>
      <c r="O1624" s="50"/>
      <c r="P1624" s="50"/>
      <c r="Q1624" s="50"/>
      <c r="R1624" s="50"/>
    </row>
    <row r="1625" spans="1:18" x14ac:dyDescent="0.25">
      <c r="A1625" s="41"/>
      <c r="B1625" s="44"/>
      <c r="C1625" s="50"/>
      <c r="D1625" s="50"/>
      <c r="E1625" s="50"/>
      <c r="F1625" s="50"/>
      <c r="G1625" s="50"/>
      <c r="H1625" s="50"/>
      <c r="I1625" s="50"/>
      <c r="J1625" s="50"/>
      <c r="K1625" s="50"/>
      <c r="L1625" s="50"/>
      <c r="M1625" s="50"/>
      <c r="N1625" s="50"/>
      <c r="O1625" s="50"/>
      <c r="P1625" s="50"/>
      <c r="Q1625" s="50"/>
      <c r="R1625" s="50"/>
    </row>
    <row r="1626" spans="1:18" x14ac:dyDescent="0.25">
      <c r="A1626" s="41" t="s">
        <v>202</v>
      </c>
      <c r="B1626" s="44"/>
      <c r="C1626" s="50"/>
      <c r="D1626" s="50"/>
      <c r="E1626" s="50"/>
      <c r="F1626" s="50"/>
      <c r="G1626" s="50"/>
      <c r="H1626" s="50"/>
      <c r="I1626" s="50"/>
      <c r="J1626" s="50"/>
      <c r="K1626" s="50"/>
      <c r="L1626" s="50"/>
      <c r="M1626" s="50"/>
      <c r="N1626" s="50"/>
      <c r="O1626" s="50"/>
      <c r="P1626" s="50"/>
      <c r="Q1626" s="50"/>
      <c r="R1626" s="50"/>
    </row>
    <row r="1627" spans="1:18" x14ac:dyDescent="0.25">
      <c r="A1627" s="41"/>
      <c r="B1627" s="44"/>
      <c r="C1627" s="50"/>
      <c r="D1627" s="50"/>
      <c r="E1627" s="50"/>
      <c r="F1627" s="50"/>
      <c r="G1627" s="50"/>
      <c r="H1627" s="50"/>
      <c r="I1627" s="50"/>
      <c r="J1627" s="50"/>
      <c r="K1627" s="50"/>
      <c r="L1627" s="50"/>
      <c r="M1627" s="50"/>
      <c r="N1627" s="50"/>
      <c r="O1627" s="50"/>
      <c r="P1627" s="50"/>
      <c r="Q1627" s="50"/>
      <c r="R1627" s="50"/>
    </row>
    <row r="1628" spans="1:18" x14ac:dyDescent="0.25">
      <c r="A1628" s="59" t="s">
        <v>1024</v>
      </c>
      <c r="B1628" s="53"/>
      <c r="C1628" s="50">
        <v>0</v>
      </c>
      <c r="D1628" s="50">
        <f>C1628*1.027</f>
        <v>0</v>
      </c>
      <c r="E1628" s="50">
        <f>D1628*1.027</f>
        <v>0</v>
      </c>
      <c r="F1628" s="50">
        <v>0</v>
      </c>
      <c r="G1628" s="50">
        <v>0</v>
      </c>
      <c r="H1628" s="50">
        <v>0</v>
      </c>
      <c r="I1628" s="50">
        <v>0</v>
      </c>
      <c r="J1628" s="50">
        <v>0</v>
      </c>
      <c r="K1628" s="50">
        <v>0</v>
      </c>
      <c r="L1628" s="50">
        <v>0</v>
      </c>
      <c r="M1628" s="50">
        <v>0</v>
      </c>
      <c r="N1628" s="50">
        <v>0</v>
      </c>
      <c r="O1628" s="50">
        <v>0</v>
      </c>
      <c r="P1628" s="50">
        <v>0</v>
      </c>
      <c r="Q1628" s="50">
        <f t="shared" ref="Q1628:R1628" si="904">P1628*1.027</f>
        <v>0</v>
      </c>
      <c r="R1628" s="50">
        <f t="shared" si="904"/>
        <v>0</v>
      </c>
    </row>
    <row r="1629" spans="1:18" x14ac:dyDescent="0.25">
      <c r="A1629" s="59" t="s">
        <v>1025</v>
      </c>
      <c r="B1629" s="53"/>
      <c r="C1629" s="59">
        <v>0</v>
      </c>
      <c r="D1629" s="50"/>
      <c r="E1629" s="50"/>
      <c r="F1629" s="50"/>
      <c r="G1629" s="50"/>
      <c r="H1629" s="50"/>
      <c r="I1629" s="50"/>
      <c r="J1629" s="50"/>
      <c r="K1629" s="50"/>
      <c r="L1629" s="50"/>
      <c r="M1629" s="50"/>
      <c r="N1629" s="50"/>
      <c r="O1629" s="50"/>
      <c r="P1629" s="50"/>
      <c r="Q1629" s="50"/>
      <c r="R1629" s="50"/>
    </row>
    <row r="1630" spans="1:18" x14ac:dyDescent="0.25">
      <c r="A1630" s="52" t="s">
        <v>1026</v>
      </c>
      <c r="B1630" s="53"/>
      <c r="C1630" s="59"/>
      <c r="D1630" s="50"/>
      <c r="E1630" s="50"/>
      <c r="F1630" s="50">
        <v>57182</v>
      </c>
      <c r="G1630" s="50">
        <v>71690</v>
      </c>
      <c r="H1630" s="50">
        <v>6000</v>
      </c>
      <c r="I1630" s="50"/>
      <c r="J1630" s="50"/>
      <c r="K1630" s="50"/>
      <c r="L1630" s="50"/>
      <c r="M1630" s="50"/>
      <c r="N1630" s="50"/>
      <c r="O1630" s="50"/>
      <c r="P1630" s="50"/>
      <c r="Q1630" s="50"/>
      <c r="R1630" s="50"/>
    </row>
    <row r="1631" spans="1:18" x14ac:dyDescent="0.25">
      <c r="A1631" s="52" t="s">
        <v>1027</v>
      </c>
      <c r="B1631" s="53"/>
      <c r="C1631" s="50">
        <v>1000</v>
      </c>
      <c r="D1631" s="50">
        <v>250</v>
      </c>
      <c r="E1631" s="50"/>
      <c r="F1631" s="50">
        <v>9091</v>
      </c>
      <c r="G1631" s="50"/>
      <c r="H1631" s="50"/>
      <c r="I1631" s="50"/>
      <c r="J1631" s="50"/>
      <c r="K1631" s="50"/>
      <c r="L1631" s="50"/>
      <c r="M1631" s="50"/>
      <c r="N1631" s="50"/>
      <c r="O1631" s="50"/>
      <c r="P1631" s="50"/>
      <c r="Q1631" s="50"/>
      <c r="R1631" s="50"/>
    </row>
    <row r="1632" spans="1:18" x14ac:dyDescent="0.25">
      <c r="A1632" s="52" t="s">
        <v>1028</v>
      </c>
      <c r="B1632" s="53"/>
      <c r="C1632" s="50">
        <v>0</v>
      </c>
      <c r="D1632" s="50">
        <v>18182</v>
      </c>
      <c r="E1632" s="50">
        <v>0</v>
      </c>
      <c r="F1632" s="50"/>
      <c r="G1632" s="50"/>
      <c r="H1632" s="50"/>
      <c r="I1632" s="50"/>
      <c r="J1632" s="50"/>
      <c r="K1632" s="50"/>
      <c r="L1632" s="50"/>
      <c r="M1632" s="50"/>
      <c r="N1632" s="50"/>
      <c r="O1632" s="50"/>
      <c r="P1632" s="50"/>
      <c r="Q1632" s="50"/>
      <c r="R1632" s="50"/>
    </row>
    <row r="1633" spans="1:18" x14ac:dyDescent="0.25">
      <c r="A1633" s="52" t="s">
        <v>1029</v>
      </c>
      <c r="B1633" s="44"/>
      <c r="C1633" s="50"/>
      <c r="D1633" s="50"/>
      <c r="E1633" s="50"/>
      <c r="F1633" s="50">
        <v>182</v>
      </c>
      <c r="G1633" s="50"/>
      <c r="H1633" s="50"/>
      <c r="I1633" s="50"/>
      <c r="J1633" s="50"/>
      <c r="K1633" s="50"/>
      <c r="L1633" s="50"/>
      <c r="M1633" s="50"/>
      <c r="N1633" s="50"/>
      <c r="O1633" s="50"/>
      <c r="P1633" s="50"/>
      <c r="Q1633" s="50"/>
      <c r="R1633" s="50"/>
    </row>
    <row r="1634" spans="1:18" x14ac:dyDescent="0.25">
      <c r="A1634" s="52" t="s">
        <v>1030</v>
      </c>
      <c r="B1634" s="44"/>
      <c r="C1634" s="50"/>
      <c r="D1634" s="50"/>
      <c r="E1634" s="50"/>
      <c r="F1634" s="50"/>
      <c r="G1634" s="50"/>
      <c r="H1634" s="50">
        <v>266500</v>
      </c>
      <c r="I1634" s="50"/>
      <c r="J1634" s="50"/>
      <c r="K1634" s="50"/>
      <c r="L1634" s="50"/>
      <c r="M1634" s="50"/>
      <c r="N1634" s="50"/>
      <c r="O1634" s="50"/>
      <c r="P1634" s="50"/>
      <c r="Q1634" s="50"/>
      <c r="R1634" s="50"/>
    </row>
    <row r="1635" spans="1:18" x14ac:dyDescent="0.25">
      <c r="A1635" s="41" t="s">
        <v>216</v>
      </c>
      <c r="B1635" s="44"/>
      <c r="C1635" s="51">
        <f t="shared" ref="C1635" si="905">SUM(C1626:C1633)</f>
        <v>1000</v>
      </c>
      <c r="D1635" s="51">
        <f t="shared" ref="D1635:R1635" si="906">SUM(D1626:D1633)</f>
        <v>18432</v>
      </c>
      <c r="E1635" s="51">
        <f t="shared" si="906"/>
        <v>0</v>
      </c>
      <c r="F1635" s="51">
        <f t="shared" si="906"/>
        <v>66455</v>
      </c>
      <c r="G1635" s="51">
        <f t="shared" si="906"/>
        <v>71690</v>
      </c>
      <c r="H1635" s="51">
        <f>SUM(H1626:H1634)</f>
        <v>272500</v>
      </c>
      <c r="I1635" s="51">
        <f t="shared" si="906"/>
        <v>0</v>
      </c>
      <c r="J1635" s="51">
        <f t="shared" si="906"/>
        <v>0</v>
      </c>
      <c r="K1635" s="51">
        <f t="shared" si="906"/>
        <v>0</v>
      </c>
      <c r="L1635" s="51">
        <f t="shared" si="906"/>
        <v>0</v>
      </c>
      <c r="M1635" s="51">
        <f t="shared" si="906"/>
        <v>0</v>
      </c>
      <c r="N1635" s="51">
        <f t="shared" si="906"/>
        <v>0</v>
      </c>
      <c r="O1635" s="51">
        <f t="shared" si="906"/>
        <v>0</v>
      </c>
      <c r="P1635" s="51">
        <f t="shared" si="906"/>
        <v>0</v>
      </c>
      <c r="Q1635" s="51">
        <f t="shared" si="906"/>
        <v>0</v>
      </c>
      <c r="R1635" s="51">
        <f t="shared" si="906"/>
        <v>0</v>
      </c>
    </row>
    <row r="1636" spans="1:18" x14ac:dyDescent="0.25">
      <c r="A1636" s="41"/>
      <c r="B1636" s="44"/>
      <c r="C1636" s="51"/>
      <c r="D1636" s="51"/>
      <c r="E1636" s="51"/>
      <c r="F1636" s="51"/>
      <c r="G1636" s="51"/>
      <c r="H1636" s="51"/>
      <c r="I1636" s="51"/>
      <c r="J1636" s="51"/>
      <c r="K1636" s="51"/>
      <c r="L1636" s="51"/>
      <c r="M1636" s="51"/>
      <c r="N1636" s="51"/>
      <c r="O1636" s="51"/>
      <c r="P1636" s="51"/>
      <c r="Q1636" s="51"/>
      <c r="R1636" s="51"/>
    </row>
    <row r="1637" spans="1:18" x14ac:dyDescent="0.25">
      <c r="A1637" s="41" t="s">
        <v>165</v>
      </c>
      <c r="B1637" s="44"/>
      <c r="C1637" s="50"/>
      <c r="D1637" s="50"/>
      <c r="E1637" s="50"/>
      <c r="F1637" s="50"/>
      <c r="G1637" s="50"/>
      <c r="H1637" s="50"/>
      <c r="I1637" s="50"/>
      <c r="J1637" s="50"/>
      <c r="K1637" s="50"/>
      <c r="L1637" s="50"/>
      <c r="M1637" s="50"/>
      <c r="N1637" s="50"/>
      <c r="O1637" s="50"/>
      <c r="P1637" s="50"/>
      <c r="Q1637" s="50"/>
      <c r="R1637" s="50"/>
    </row>
    <row r="1638" spans="1:18" x14ac:dyDescent="0.25">
      <c r="C1638" s="50"/>
      <c r="D1638" s="50"/>
      <c r="E1638" s="50"/>
      <c r="F1638" s="50"/>
      <c r="G1638" s="50"/>
      <c r="H1638" s="50"/>
      <c r="I1638" s="50"/>
      <c r="J1638" s="50"/>
      <c r="K1638" s="50"/>
      <c r="L1638" s="50"/>
      <c r="M1638" s="50"/>
      <c r="N1638" s="50"/>
      <c r="O1638" s="50"/>
      <c r="P1638" s="50"/>
      <c r="Q1638" s="50"/>
      <c r="R1638" s="50"/>
    </row>
    <row r="1639" spans="1:18" x14ac:dyDescent="0.25">
      <c r="A1639" s="52" t="s">
        <v>1031</v>
      </c>
      <c r="B1639" s="53"/>
      <c r="C1639" s="50"/>
      <c r="D1639" s="50"/>
      <c r="E1639" s="50"/>
      <c r="F1639" s="50"/>
      <c r="G1639" s="50"/>
      <c r="H1639" s="50"/>
      <c r="I1639" s="50"/>
      <c r="J1639" s="50"/>
      <c r="K1639" s="50"/>
      <c r="L1639" s="50"/>
      <c r="M1639" s="50"/>
      <c r="N1639" s="50"/>
      <c r="O1639" s="50"/>
      <c r="P1639" s="50"/>
      <c r="Q1639" s="50"/>
      <c r="R1639" s="50"/>
    </row>
    <row r="1640" spans="1:18" x14ac:dyDescent="0.25">
      <c r="A1640" s="43" t="s">
        <v>217</v>
      </c>
      <c r="C1640" s="54">
        <f>326218+855</f>
        <v>327073</v>
      </c>
      <c r="D1640" s="54">
        <v>423691</v>
      </c>
      <c r="E1640" s="50">
        <v>388725</v>
      </c>
      <c r="F1640" s="43">
        <v>399857</v>
      </c>
      <c r="G1640" s="43">
        <v>408982</v>
      </c>
      <c r="H1640" s="43">
        <v>544900</v>
      </c>
      <c r="I1640" s="50">
        <f>H1640*1.025</f>
        <v>558522.5</v>
      </c>
      <c r="J1640" s="50">
        <f>I1640*1.029</f>
        <v>574719.65249999997</v>
      </c>
      <c r="K1640" s="54">
        <f>J1640*1.031</f>
        <v>592535.96172749996</v>
      </c>
      <c r="L1640" s="54">
        <f>K1640*1.033</f>
        <v>612089.64846450742</v>
      </c>
      <c r="M1640" s="54">
        <f>L1640*1.032</f>
        <v>631676.51721537171</v>
      </c>
      <c r="N1640" s="54">
        <f>M1640*1.03</f>
        <v>650626.81273183285</v>
      </c>
      <c r="O1640" s="54">
        <f>N1640*1.032</f>
        <v>671446.87073925149</v>
      </c>
      <c r="P1640" s="54">
        <f>O1640*1.034</f>
        <v>694276.0643443861</v>
      </c>
      <c r="Q1640" s="54">
        <f>P1640*1.034</f>
        <v>717881.45053209527</v>
      </c>
      <c r="R1640" s="54">
        <f>Q1640*1.034</f>
        <v>742289.41985018656</v>
      </c>
    </row>
    <row r="1641" spans="1:18" x14ac:dyDescent="0.25">
      <c r="A1641" s="43" t="s">
        <v>219</v>
      </c>
      <c r="C1641" s="54">
        <v>13373</v>
      </c>
      <c r="D1641" s="54">
        <v>13787</v>
      </c>
      <c r="E1641" s="50">
        <v>9808</v>
      </c>
      <c r="F1641" s="54">
        <v>10570</v>
      </c>
      <c r="G1641" s="54">
        <v>12425</v>
      </c>
      <c r="H1641" s="50">
        <v>9900</v>
      </c>
      <c r="I1641" s="54">
        <f>H1641*1.023</f>
        <v>10127.699999999999</v>
      </c>
      <c r="J1641" s="54">
        <f>I1641*1.024</f>
        <v>10370.764799999999</v>
      </c>
      <c r="K1641" s="54">
        <f>J1641*1.024</f>
        <v>10619.6631552</v>
      </c>
      <c r="L1641" s="54">
        <f>K1641*1.023</f>
        <v>10863.915407769598</v>
      </c>
      <c r="M1641" s="54">
        <f>L1641*1.022</f>
        <v>11102.92154674053</v>
      </c>
      <c r="N1641" s="54">
        <f>M1641*1.023</f>
        <v>11358.288742315561</v>
      </c>
      <c r="O1641" s="54">
        <f>N1641*1.025</f>
        <v>11642.245960873448</v>
      </c>
      <c r="P1641" s="54">
        <f>O1641*1.025</f>
        <v>11933.302109895283</v>
      </c>
      <c r="Q1641" s="54">
        <f>P1641*1.024</f>
        <v>12219.70136053277</v>
      </c>
      <c r="R1641" s="54">
        <f>Q1641*1.024</f>
        <v>12512.974193185557</v>
      </c>
    </row>
    <row r="1642" spans="1:18" x14ac:dyDescent="0.25">
      <c r="A1642" s="43" t="s">
        <v>220</v>
      </c>
      <c r="C1642" s="50">
        <v>47006</v>
      </c>
      <c r="D1642" s="54">
        <v>23734</v>
      </c>
      <c r="E1642" s="54">
        <v>64092</v>
      </c>
      <c r="F1642" s="43">
        <v>57581</v>
      </c>
      <c r="G1642" s="43">
        <v>105938</v>
      </c>
      <c r="H1642" s="43">
        <v>71400</v>
      </c>
      <c r="I1642" s="50">
        <f>H1642*1.025</f>
        <v>73185</v>
      </c>
      <c r="J1642" s="50">
        <f>I1642*1.029</f>
        <v>75307.364999999991</v>
      </c>
      <c r="K1642" s="54">
        <f>J1642*1.031</f>
        <v>77641.893314999979</v>
      </c>
      <c r="L1642" s="54">
        <f>K1642*1.033</f>
        <v>80204.075794394972</v>
      </c>
      <c r="M1642" s="54">
        <f>L1642*1.032</f>
        <v>82770.606219815614</v>
      </c>
      <c r="N1642" s="54">
        <f>M1642*1.03</f>
        <v>85253.724406410081</v>
      </c>
      <c r="O1642" s="54">
        <f>N1642*1.032</f>
        <v>87981.843587415206</v>
      </c>
      <c r="P1642" s="54">
        <f>O1642*1.034</f>
        <v>90973.22626938732</v>
      </c>
      <c r="Q1642" s="54">
        <f>P1642*1.034</f>
        <v>94066.31596254649</v>
      </c>
      <c r="R1642" s="54">
        <f>Q1642*1.034</f>
        <v>97264.570705273072</v>
      </c>
    </row>
    <row r="1643" spans="1:18" x14ac:dyDescent="0.25">
      <c r="A1643" s="43" t="s">
        <v>1032</v>
      </c>
      <c r="C1643" s="169">
        <v>8155</v>
      </c>
      <c r="D1643" s="98">
        <v>7004</v>
      </c>
      <c r="E1643" s="98">
        <v>4743</v>
      </c>
      <c r="F1643" s="98">
        <v>4826</v>
      </c>
      <c r="G1643" s="98">
        <v>8271</v>
      </c>
      <c r="H1643" s="98">
        <v>7800</v>
      </c>
      <c r="I1643" s="98">
        <v>7800</v>
      </c>
      <c r="J1643" s="98">
        <v>7800</v>
      </c>
      <c r="K1643" s="180">
        <v>8300</v>
      </c>
      <c r="L1643" s="180">
        <v>8300</v>
      </c>
      <c r="M1643" s="180">
        <v>8300</v>
      </c>
      <c r="N1643" s="180">
        <v>8900</v>
      </c>
      <c r="O1643" s="180">
        <v>8900</v>
      </c>
      <c r="P1643" s="180">
        <v>8900</v>
      </c>
      <c r="Q1643" s="180">
        <v>9500</v>
      </c>
      <c r="R1643" s="180">
        <v>9500</v>
      </c>
    </row>
    <row r="1644" spans="1:18" x14ac:dyDescent="0.25">
      <c r="A1644" s="52" t="s">
        <v>1033</v>
      </c>
      <c r="B1644" s="53"/>
      <c r="C1644" s="54">
        <v>2219</v>
      </c>
      <c r="D1644" s="50">
        <v>2991</v>
      </c>
      <c r="E1644" s="50">
        <v>7574</v>
      </c>
      <c r="F1644" s="43">
        <v>13378</v>
      </c>
      <c r="G1644" s="43">
        <v>31185</v>
      </c>
      <c r="H1644" s="43">
        <v>10000</v>
      </c>
      <c r="I1644" s="54">
        <f>H1644*1.023</f>
        <v>10230</v>
      </c>
      <c r="J1644" s="54">
        <f>I1644*1.024</f>
        <v>10475.52</v>
      </c>
      <c r="K1644" s="54">
        <f>J1644*1.024</f>
        <v>10726.932480000001</v>
      </c>
      <c r="L1644" s="54">
        <f>K1644*1.023</f>
        <v>10973.65192704</v>
      </c>
      <c r="M1644" s="54">
        <f>L1644*1.022</f>
        <v>11215.072269434881</v>
      </c>
      <c r="N1644" s="54">
        <f>M1644*1.023</f>
        <v>11473.018931631881</v>
      </c>
      <c r="O1644" s="54">
        <f>N1644*1.025</f>
        <v>11759.844404922676</v>
      </c>
      <c r="P1644" s="54">
        <f>O1644*1.025</f>
        <v>12053.840515045742</v>
      </c>
      <c r="Q1644" s="54">
        <f>P1644*1.024</f>
        <v>12343.13268740684</v>
      </c>
      <c r="R1644" s="54">
        <f>Q1644*1.024</f>
        <v>12639.367871904604</v>
      </c>
    </row>
    <row r="1645" spans="1:18" x14ac:dyDescent="0.25">
      <c r="A1645" s="43" t="s">
        <v>1034</v>
      </c>
      <c r="C1645" s="54">
        <v>26470</v>
      </c>
      <c r="D1645" s="50">
        <v>16707</v>
      </c>
      <c r="E1645" s="43">
        <v>27585</v>
      </c>
      <c r="F1645" s="43">
        <v>10767</v>
      </c>
      <c r="G1645" s="43">
        <v>36957</v>
      </c>
      <c r="H1645" s="43">
        <v>30000</v>
      </c>
      <c r="I1645" s="54">
        <f t="shared" ref="I1645:I1649" si="907">H1645*1.023</f>
        <v>30689.999999999996</v>
      </c>
      <c r="J1645" s="54">
        <f t="shared" ref="J1645:K1649" si="908">I1645*1.024</f>
        <v>31426.559999999998</v>
      </c>
      <c r="K1645" s="54">
        <f t="shared" si="908"/>
        <v>32180.797439999998</v>
      </c>
      <c r="L1645" s="54">
        <f t="shared" ref="L1645:L1649" si="909">K1645*1.023</f>
        <v>32920.955781119992</v>
      </c>
      <c r="M1645" s="54">
        <f t="shared" ref="M1645:M1649" si="910">L1645*1.022</f>
        <v>33645.216808304634</v>
      </c>
      <c r="N1645" s="54">
        <f t="shared" ref="N1645:N1649" si="911">M1645*1.023</f>
        <v>34419.056794895638</v>
      </c>
      <c r="O1645" s="54">
        <f t="shared" ref="O1645:P1649" si="912">N1645*1.025</f>
        <v>35279.533214768024</v>
      </c>
      <c r="P1645" s="54">
        <f t="shared" si="912"/>
        <v>36161.521545137221</v>
      </c>
      <c r="Q1645" s="54">
        <f t="shared" ref="Q1645:R1649" si="913">P1645*1.024</f>
        <v>37029.398062220513</v>
      </c>
      <c r="R1645" s="54">
        <f t="shared" si="913"/>
        <v>37918.103615713808</v>
      </c>
    </row>
    <row r="1646" spans="1:18" x14ac:dyDescent="0.25">
      <c r="A1646" s="43" t="s">
        <v>1035</v>
      </c>
      <c r="C1646" s="54">
        <v>16522</v>
      </c>
      <c r="D1646" s="54">
        <v>20809</v>
      </c>
      <c r="E1646" s="50">
        <f>31628-13409.07</f>
        <v>18218.93</v>
      </c>
      <c r="F1646" s="43">
        <v>18107</v>
      </c>
      <c r="G1646" s="43">
        <v>18160</v>
      </c>
      <c r="H1646" s="43">
        <v>22500</v>
      </c>
      <c r="I1646" s="54">
        <f t="shared" si="907"/>
        <v>23017.499999999996</v>
      </c>
      <c r="J1646" s="54">
        <f t="shared" si="908"/>
        <v>23569.919999999998</v>
      </c>
      <c r="K1646" s="54">
        <f t="shared" si="908"/>
        <v>24135.59808</v>
      </c>
      <c r="L1646" s="54">
        <f t="shared" si="909"/>
        <v>24690.716835839998</v>
      </c>
      <c r="M1646" s="54">
        <f t="shared" si="910"/>
        <v>25233.912606228478</v>
      </c>
      <c r="N1646" s="54">
        <f t="shared" si="911"/>
        <v>25814.29259617173</v>
      </c>
      <c r="O1646" s="54">
        <f t="shared" si="912"/>
        <v>26459.64991107602</v>
      </c>
      <c r="P1646" s="54">
        <f t="shared" si="912"/>
        <v>27121.141158852919</v>
      </c>
      <c r="Q1646" s="54">
        <f t="shared" si="913"/>
        <v>27772.048546665388</v>
      </c>
      <c r="R1646" s="54">
        <f t="shared" si="913"/>
        <v>28438.577711785358</v>
      </c>
    </row>
    <row r="1647" spans="1:18" x14ac:dyDescent="0.25">
      <c r="A1647" s="43" t="s">
        <v>1036</v>
      </c>
      <c r="C1647" s="54">
        <v>58763</v>
      </c>
      <c r="D1647" s="54">
        <v>50385</v>
      </c>
      <c r="E1647" s="52">
        <v>35916</v>
      </c>
      <c r="F1647" s="43">
        <v>38040</v>
      </c>
      <c r="G1647" s="43">
        <v>50315</v>
      </c>
      <c r="H1647" s="43">
        <v>47000</v>
      </c>
      <c r="I1647" s="54">
        <f t="shared" si="907"/>
        <v>48080.999999999993</v>
      </c>
      <c r="J1647" s="54">
        <f t="shared" si="908"/>
        <v>49234.943999999996</v>
      </c>
      <c r="K1647" s="54">
        <f t="shared" si="908"/>
        <v>50416.582655999999</v>
      </c>
      <c r="L1647" s="54">
        <f t="shared" si="909"/>
        <v>51576.164057087997</v>
      </c>
      <c r="M1647" s="54">
        <f t="shared" si="910"/>
        <v>52710.839666343934</v>
      </c>
      <c r="N1647" s="54">
        <f t="shared" si="911"/>
        <v>53923.188978669838</v>
      </c>
      <c r="O1647" s="54">
        <f t="shared" si="912"/>
        <v>55271.268703136579</v>
      </c>
      <c r="P1647" s="54">
        <f t="shared" si="912"/>
        <v>56653.050420714986</v>
      </c>
      <c r="Q1647" s="54">
        <f t="shared" si="913"/>
        <v>58012.72363081215</v>
      </c>
      <c r="R1647" s="54">
        <f t="shared" si="913"/>
        <v>59405.028997951646</v>
      </c>
    </row>
    <row r="1648" spans="1:18" x14ac:dyDescent="0.25">
      <c r="A1648" s="43" t="s">
        <v>1037</v>
      </c>
      <c r="C1648" s="54">
        <v>972</v>
      </c>
      <c r="D1648" s="54">
        <v>1154</v>
      </c>
      <c r="E1648" s="43">
        <v>782</v>
      </c>
      <c r="F1648" s="43">
        <v>3997</v>
      </c>
      <c r="G1648" s="43">
        <v>1530</v>
      </c>
      <c r="H1648" s="43">
        <v>1900</v>
      </c>
      <c r="I1648" s="54">
        <f t="shared" si="907"/>
        <v>1943.6999999999998</v>
      </c>
      <c r="J1648" s="54">
        <f t="shared" si="908"/>
        <v>1990.3487999999998</v>
      </c>
      <c r="K1648" s="54">
        <f t="shared" si="908"/>
        <v>2038.1171711999998</v>
      </c>
      <c r="L1648" s="54">
        <f t="shared" si="909"/>
        <v>2084.9938661375995</v>
      </c>
      <c r="M1648" s="54">
        <f t="shared" si="910"/>
        <v>2130.8637311926268</v>
      </c>
      <c r="N1648" s="54">
        <f t="shared" si="911"/>
        <v>2179.873597010057</v>
      </c>
      <c r="O1648" s="54">
        <f t="shared" si="912"/>
        <v>2234.3704369353081</v>
      </c>
      <c r="P1648" s="54">
        <f t="shared" si="912"/>
        <v>2290.2296978586905</v>
      </c>
      <c r="Q1648" s="54">
        <f t="shared" si="913"/>
        <v>2345.195210607299</v>
      </c>
      <c r="R1648" s="54">
        <f t="shared" si="913"/>
        <v>2401.4798956618743</v>
      </c>
    </row>
    <row r="1649" spans="1:18" x14ac:dyDescent="0.25">
      <c r="A1649" s="43" t="s">
        <v>1038</v>
      </c>
      <c r="C1649" s="54">
        <v>26095</v>
      </c>
      <c r="D1649" s="54">
        <v>33835</v>
      </c>
      <c r="E1649">
        <f>7920+5440</f>
        <v>13360</v>
      </c>
      <c r="F1649" s="43">
        <v>0</v>
      </c>
      <c r="G1649" s="43">
        <v>5950</v>
      </c>
      <c r="H1649" s="43">
        <v>30000</v>
      </c>
      <c r="I1649" s="54">
        <f t="shared" si="907"/>
        <v>30689.999999999996</v>
      </c>
      <c r="J1649" s="54">
        <f t="shared" si="908"/>
        <v>31426.559999999998</v>
      </c>
      <c r="K1649" s="54">
        <f t="shared" si="908"/>
        <v>32180.797439999998</v>
      </c>
      <c r="L1649" s="54">
        <f t="shared" si="909"/>
        <v>32920.955781119992</v>
      </c>
      <c r="M1649" s="54">
        <f t="shared" si="910"/>
        <v>33645.216808304634</v>
      </c>
      <c r="N1649" s="54">
        <f t="shared" si="911"/>
        <v>34419.056794895638</v>
      </c>
      <c r="O1649" s="54">
        <f t="shared" si="912"/>
        <v>35279.533214768024</v>
      </c>
      <c r="P1649" s="54">
        <f t="shared" si="912"/>
        <v>36161.521545137221</v>
      </c>
      <c r="Q1649" s="54">
        <f t="shared" si="913"/>
        <v>37029.398062220513</v>
      </c>
      <c r="R1649" s="54">
        <f t="shared" si="913"/>
        <v>37918.103615713808</v>
      </c>
    </row>
    <row r="1650" spans="1:18" x14ac:dyDescent="0.25">
      <c r="A1650" s="52" t="s">
        <v>1039</v>
      </c>
      <c r="C1650" s="54"/>
      <c r="D1650" s="54"/>
      <c r="E1650" s="50">
        <v>0</v>
      </c>
      <c r="I1650" s="54"/>
      <c r="J1650" s="54"/>
      <c r="K1650" s="54"/>
      <c r="L1650" s="54"/>
      <c r="M1650" s="54"/>
      <c r="N1650" s="54"/>
      <c r="O1650" s="54"/>
      <c r="P1650" s="54"/>
      <c r="Q1650" s="54"/>
      <c r="R1650" s="54"/>
    </row>
    <row r="1651" spans="1:18" x14ac:dyDescent="0.25">
      <c r="A1651" s="52" t="s">
        <v>1040</v>
      </c>
      <c r="C1651" s="54">
        <v>0</v>
      </c>
      <c r="D1651" s="54"/>
      <c r="E1651" s="54"/>
      <c r="F1651" s="54"/>
      <c r="G1651" s="54"/>
      <c r="H1651" s="54"/>
      <c r="I1651" s="54"/>
      <c r="J1651" s="54"/>
      <c r="K1651" s="54"/>
      <c r="L1651" s="54"/>
      <c r="M1651" s="54"/>
      <c r="N1651" s="54"/>
      <c r="O1651" s="54"/>
      <c r="P1651" s="54"/>
      <c r="Q1651" s="54"/>
      <c r="R1651" s="54"/>
    </row>
    <row r="1652" spans="1:18" x14ac:dyDescent="0.25">
      <c r="A1652" s="52" t="s">
        <v>1041</v>
      </c>
      <c r="B1652" s="53"/>
      <c r="C1652" s="54">
        <v>3000</v>
      </c>
      <c r="D1652" s="50"/>
      <c r="E1652" s="50">
        <v>0</v>
      </c>
      <c r="F1652" s="50">
        <v>0</v>
      </c>
      <c r="G1652" s="50">
        <v>0</v>
      </c>
      <c r="H1652" s="50">
        <v>1100</v>
      </c>
      <c r="I1652" s="50">
        <f>H1652*1.059</f>
        <v>1164.8999999999999</v>
      </c>
      <c r="J1652" s="54">
        <f>I1652*1.05</f>
        <v>1223.145</v>
      </c>
      <c r="K1652" s="54">
        <f>J1652*1.05</f>
        <v>1284.30225</v>
      </c>
      <c r="L1652" s="54">
        <f t="shared" ref="L1652:R1653" si="914">K1652*1.05</f>
        <v>1348.5173625</v>
      </c>
      <c r="M1652" s="54">
        <f t="shared" si="914"/>
        <v>1415.9432306250001</v>
      </c>
      <c r="N1652" s="54">
        <f t="shared" si="914"/>
        <v>1486.7403921562502</v>
      </c>
      <c r="O1652" s="54">
        <f t="shared" si="914"/>
        <v>1561.0774117640628</v>
      </c>
      <c r="P1652" s="54">
        <f t="shared" si="914"/>
        <v>1639.131282352266</v>
      </c>
      <c r="Q1652" s="54">
        <f t="shared" si="914"/>
        <v>1721.0878464698794</v>
      </c>
      <c r="R1652" s="54">
        <f t="shared" si="914"/>
        <v>1807.1422387933735</v>
      </c>
    </row>
    <row r="1653" spans="1:18" s="43" customFormat="1" x14ac:dyDescent="0.25">
      <c r="A1653" s="52" t="s">
        <v>1042</v>
      </c>
      <c r="B1653" s="53"/>
      <c r="C1653" s="54">
        <v>0</v>
      </c>
      <c r="D1653" s="50">
        <v>2000</v>
      </c>
      <c r="E1653" s="43">
        <v>2000</v>
      </c>
      <c r="F1653" s="50">
        <v>2000</v>
      </c>
      <c r="G1653" s="50">
        <v>4000</v>
      </c>
      <c r="H1653" s="50">
        <v>4400</v>
      </c>
      <c r="I1653" s="50">
        <v>8480</v>
      </c>
      <c r="J1653" s="54">
        <f>I1653*1.05</f>
        <v>8904</v>
      </c>
      <c r="K1653" s="54">
        <f>J1653*1.05</f>
        <v>9349.2000000000007</v>
      </c>
      <c r="L1653" s="54">
        <f t="shared" si="914"/>
        <v>9816.6600000000017</v>
      </c>
      <c r="M1653" s="54">
        <f t="shared" si="914"/>
        <v>10307.493000000002</v>
      </c>
      <c r="N1653" s="54">
        <f t="shared" si="914"/>
        <v>10822.867650000002</v>
      </c>
      <c r="O1653" s="54">
        <f t="shared" si="914"/>
        <v>11364.011032500002</v>
      </c>
      <c r="P1653" s="54">
        <f t="shared" si="914"/>
        <v>11932.211584125003</v>
      </c>
      <c r="Q1653" s="54">
        <f t="shared" si="914"/>
        <v>12528.822163331253</v>
      </c>
      <c r="R1653" s="54">
        <f t="shared" si="914"/>
        <v>13155.263271497817</v>
      </c>
    </row>
    <row r="1654" spans="1:18" x14ac:dyDescent="0.25">
      <c r="A1654" s="52" t="s">
        <v>1043</v>
      </c>
      <c r="B1654" s="53"/>
      <c r="C1654" s="59">
        <v>13200</v>
      </c>
      <c r="D1654" s="54">
        <v>13200</v>
      </c>
      <c r="E1654">
        <v>13200</v>
      </c>
      <c r="F1654" s="54">
        <v>13200</v>
      </c>
      <c r="G1654" s="54">
        <v>13200</v>
      </c>
      <c r="H1654" s="54">
        <v>13200</v>
      </c>
      <c r="I1654" s="50">
        <v>14530</v>
      </c>
      <c r="J1654" s="54">
        <f t="shared" ref="J1654:K1655" si="915">I1654*1.024</f>
        <v>14878.720000000001</v>
      </c>
      <c r="K1654" s="54">
        <f t="shared" si="915"/>
        <v>15235.809280000001</v>
      </c>
      <c r="L1654" s="54">
        <f t="shared" ref="L1654:L1655" si="916">K1654*1.023</f>
        <v>15586.232893439999</v>
      </c>
      <c r="M1654" s="54">
        <f t="shared" ref="M1654:M1655" si="917">L1654*1.022</f>
        <v>15929.13001709568</v>
      </c>
      <c r="N1654" s="54">
        <f t="shared" ref="N1654:N1655" si="918">M1654*1.023</f>
        <v>16295.500007488879</v>
      </c>
      <c r="O1654" s="54">
        <f t="shared" ref="O1654:P1655" si="919">N1654*1.025</f>
        <v>16702.8875076761</v>
      </c>
      <c r="P1654" s="54">
        <f t="shared" si="919"/>
        <v>17120.459695368001</v>
      </c>
      <c r="Q1654" s="54">
        <f t="shared" ref="Q1654:R1655" si="920">P1654*1.024</f>
        <v>17531.350728056834</v>
      </c>
      <c r="R1654" s="54">
        <f t="shared" si="920"/>
        <v>17952.103145530196</v>
      </c>
    </row>
    <row r="1655" spans="1:18" x14ac:dyDescent="0.25">
      <c r="A1655" s="52" t="s">
        <v>1044</v>
      </c>
      <c r="B1655" s="53"/>
      <c r="C1655" s="59">
        <v>16894</v>
      </c>
      <c r="D1655" s="50">
        <v>17501</v>
      </c>
      <c r="E1655" s="54">
        <v>12491</v>
      </c>
      <c r="F1655" s="54">
        <v>22078</v>
      </c>
      <c r="G1655" s="50">
        <v>57247</v>
      </c>
      <c r="H1655" s="50">
        <f>21000+6000</f>
        <v>27000</v>
      </c>
      <c r="I1655" s="54">
        <f t="shared" ref="I1655" si="921">H1655*1.023</f>
        <v>27620.999999999996</v>
      </c>
      <c r="J1655" s="54">
        <f t="shared" si="915"/>
        <v>28283.903999999999</v>
      </c>
      <c r="K1655" s="54">
        <f t="shared" si="915"/>
        <v>28962.717696</v>
      </c>
      <c r="L1655" s="54">
        <f t="shared" si="916"/>
        <v>29628.860203007996</v>
      </c>
      <c r="M1655" s="54">
        <f t="shared" si="917"/>
        <v>30280.695127474173</v>
      </c>
      <c r="N1655" s="54">
        <f t="shared" si="918"/>
        <v>30977.151115406075</v>
      </c>
      <c r="O1655" s="54">
        <f t="shared" si="919"/>
        <v>31751.579893291226</v>
      </c>
      <c r="P1655" s="54">
        <f t="shared" si="919"/>
        <v>32545.369390623502</v>
      </c>
      <c r="Q1655" s="54">
        <f t="shared" si="920"/>
        <v>33326.45825599847</v>
      </c>
      <c r="R1655" s="54">
        <f t="shared" si="920"/>
        <v>34126.293254142431</v>
      </c>
    </row>
    <row r="1656" spans="1:18" x14ac:dyDescent="0.25">
      <c r="A1656" s="52" t="s">
        <v>1045</v>
      </c>
      <c r="B1656" s="53"/>
      <c r="C1656" s="59"/>
      <c r="D1656" s="50"/>
      <c r="E1656" s="54"/>
      <c r="F1656" s="54"/>
      <c r="G1656" s="50"/>
      <c r="H1656" s="50"/>
      <c r="I1656" s="54"/>
      <c r="J1656" s="54"/>
      <c r="K1656" s="54"/>
      <c r="L1656" s="54"/>
      <c r="M1656" s="54"/>
      <c r="N1656" s="54"/>
      <c r="O1656" s="54"/>
      <c r="P1656" s="54"/>
      <c r="Q1656" s="54"/>
      <c r="R1656" s="54"/>
    </row>
    <row r="1657" spans="1:18" x14ac:dyDescent="0.25">
      <c r="A1657" s="52" t="s">
        <v>1046</v>
      </c>
      <c r="B1657" s="53"/>
      <c r="C1657" s="59"/>
      <c r="D1657" s="50">
        <v>0</v>
      </c>
      <c r="E1657">
        <v>20340</v>
      </c>
      <c r="F1657" s="50"/>
      <c r="G1657" s="50"/>
      <c r="H1657" s="50"/>
      <c r="I1657" s="54">
        <v>30000</v>
      </c>
      <c r="J1657" s="54">
        <f t="shared" ref="J1657:K1657" si="922">I1657*1.024</f>
        <v>30720</v>
      </c>
      <c r="K1657" s="54">
        <f t="shared" si="922"/>
        <v>31457.279999999999</v>
      </c>
      <c r="L1657" s="54">
        <f t="shared" ref="L1657" si="923">K1657*1.023</f>
        <v>32180.797439999995</v>
      </c>
      <c r="M1657" s="54">
        <f t="shared" ref="M1657" si="924">L1657*1.022</f>
        <v>32888.774983679992</v>
      </c>
      <c r="N1657" s="54">
        <f t="shared" ref="N1657" si="925">M1657*1.023</f>
        <v>33645.216808304627</v>
      </c>
      <c r="O1657" s="54">
        <f t="shared" ref="O1657:P1657" si="926">N1657*1.025</f>
        <v>34486.347228512241</v>
      </c>
      <c r="P1657" s="54">
        <f t="shared" si="926"/>
        <v>35348.505909225045</v>
      </c>
      <c r="Q1657" s="54">
        <f t="shared" ref="Q1657:R1657" si="927">P1657*1.024</f>
        <v>36196.870051046448</v>
      </c>
      <c r="R1657" s="54">
        <f t="shared" si="927"/>
        <v>37065.594932271561</v>
      </c>
    </row>
    <row r="1658" spans="1:18" x14ac:dyDescent="0.25">
      <c r="A1658" s="59" t="s">
        <v>1047</v>
      </c>
      <c r="B1658" s="53"/>
      <c r="C1658" s="59"/>
      <c r="D1658" s="50">
        <v>62856</v>
      </c>
      <c r="E1658">
        <v>44510</v>
      </c>
      <c r="F1658" s="50"/>
      <c r="G1658" s="50"/>
      <c r="H1658" s="50"/>
      <c r="I1658" s="54"/>
      <c r="J1658" s="54"/>
      <c r="K1658" s="54"/>
      <c r="L1658" s="54"/>
      <c r="M1658" s="54"/>
      <c r="N1658" s="54"/>
      <c r="O1658" s="54"/>
      <c r="P1658" s="54"/>
      <c r="Q1658" s="54"/>
      <c r="R1658" s="54"/>
    </row>
    <row r="1659" spans="1:18" x14ac:dyDescent="0.25">
      <c r="A1659" s="52" t="s">
        <v>1048</v>
      </c>
      <c r="B1659" s="53"/>
      <c r="C1659" s="59"/>
      <c r="D1659" s="50"/>
      <c r="E1659">
        <f>36180+11795</f>
        <v>47975</v>
      </c>
      <c r="F1659" s="50"/>
      <c r="G1659" s="50"/>
      <c r="H1659" s="50"/>
      <c r="I1659" s="54"/>
      <c r="J1659" s="54"/>
      <c r="K1659" s="54"/>
      <c r="L1659" s="54"/>
      <c r="M1659" s="54"/>
      <c r="N1659" s="54"/>
      <c r="O1659" s="54"/>
      <c r="P1659" s="54"/>
      <c r="Q1659" s="54"/>
      <c r="R1659" s="54"/>
    </row>
    <row r="1660" spans="1:18" x14ac:dyDescent="0.25">
      <c r="A1660" s="52" t="s">
        <v>1049</v>
      </c>
      <c r="B1660" s="53"/>
      <c r="C1660" s="59"/>
      <c r="D1660" s="50"/>
      <c r="E1660">
        <v>0</v>
      </c>
      <c r="F1660" s="50">
        <v>0</v>
      </c>
      <c r="G1660" s="50">
        <v>40081</v>
      </c>
      <c r="H1660" s="50">
        <v>40000</v>
      </c>
      <c r="I1660" s="54"/>
      <c r="J1660" s="54"/>
      <c r="K1660" s="54"/>
      <c r="L1660" s="54"/>
      <c r="M1660" s="54"/>
      <c r="N1660" s="54"/>
      <c r="O1660" s="54"/>
      <c r="P1660" s="54"/>
      <c r="Q1660" s="54"/>
      <c r="R1660" s="54"/>
    </row>
    <row r="1661" spans="1:18" x14ac:dyDescent="0.25">
      <c r="A1661" s="52" t="s">
        <v>1050</v>
      </c>
      <c r="B1661" s="53"/>
      <c r="C1661" s="50">
        <v>0</v>
      </c>
      <c r="D1661" s="54">
        <f>C1661*1.024</f>
        <v>0</v>
      </c>
      <c r="E1661" s="54">
        <f>D1661*1.024</f>
        <v>0</v>
      </c>
      <c r="F1661" s="54">
        <v>0</v>
      </c>
      <c r="G1661" s="54">
        <v>0</v>
      </c>
      <c r="H1661" s="54">
        <v>0</v>
      </c>
      <c r="I1661" s="54">
        <v>0</v>
      </c>
      <c r="J1661" s="54">
        <v>0</v>
      </c>
      <c r="K1661" s="54">
        <v>0</v>
      </c>
      <c r="L1661" s="54">
        <v>0</v>
      </c>
      <c r="M1661" s="54">
        <v>0</v>
      </c>
      <c r="N1661" s="54">
        <v>0</v>
      </c>
      <c r="O1661" s="54">
        <v>0</v>
      </c>
      <c r="P1661" s="54">
        <v>0</v>
      </c>
      <c r="Q1661" s="54">
        <f>P1661*1.028</f>
        <v>0</v>
      </c>
      <c r="R1661" s="54">
        <f>Q1661*1.028</f>
        <v>0</v>
      </c>
    </row>
    <row r="1662" spans="1:18" x14ac:dyDescent="0.25">
      <c r="A1662" s="52" t="s">
        <v>1051</v>
      </c>
      <c r="B1662" s="53"/>
      <c r="C1662" s="50"/>
      <c r="D1662" s="50"/>
      <c r="E1662" s="50"/>
      <c r="F1662" s="50"/>
      <c r="G1662" s="50"/>
      <c r="H1662" s="50"/>
      <c r="I1662" s="50"/>
      <c r="J1662" s="50"/>
      <c r="K1662" s="50"/>
      <c r="L1662" s="50"/>
      <c r="M1662" s="50"/>
      <c r="N1662" s="50"/>
      <c r="O1662" s="50"/>
      <c r="P1662" s="50"/>
      <c r="Q1662" s="50"/>
      <c r="R1662" s="50"/>
    </row>
    <row r="1663" spans="1:18" x14ac:dyDescent="0.25">
      <c r="A1663" s="52" t="s">
        <v>1052</v>
      </c>
      <c r="B1663" s="53"/>
      <c r="C1663" s="54">
        <v>29777</v>
      </c>
      <c r="D1663" s="54">
        <v>27158</v>
      </c>
      <c r="E1663">
        <v>28596</v>
      </c>
      <c r="F1663" s="43">
        <v>33040</v>
      </c>
      <c r="G1663" s="43">
        <v>37917</v>
      </c>
      <c r="H1663" s="43">
        <v>39100</v>
      </c>
      <c r="I1663" s="54">
        <f t="shared" ref="I1663:I1664" si="928">H1663*1.023</f>
        <v>39999.299999999996</v>
      </c>
      <c r="J1663" s="54">
        <f t="shared" ref="J1663:K1664" si="929">I1663*1.024</f>
        <v>40959.283199999998</v>
      </c>
      <c r="K1663" s="54">
        <f t="shared" si="929"/>
        <v>41942.305996800002</v>
      </c>
      <c r="L1663" s="54">
        <f t="shared" ref="L1663:L1664" si="930">K1663*1.023</f>
        <v>42906.979034726399</v>
      </c>
      <c r="M1663" s="54">
        <f t="shared" ref="M1663:M1664" si="931">L1663*1.022</f>
        <v>43850.932573490383</v>
      </c>
      <c r="N1663" s="54">
        <f t="shared" ref="N1663:N1664" si="932">M1663*1.023</f>
        <v>44859.50402268066</v>
      </c>
      <c r="O1663" s="54">
        <f t="shared" ref="O1663:P1664" si="933">N1663*1.025</f>
        <v>45980.991623247675</v>
      </c>
      <c r="P1663" s="54">
        <f t="shared" si="933"/>
        <v>47130.51641382886</v>
      </c>
      <c r="Q1663" s="54">
        <f t="shared" ref="Q1663:R1664" si="934">P1663*1.024</f>
        <v>48261.648807760757</v>
      </c>
      <c r="R1663" s="54">
        <f t="shared" si="934"/>
        <v>49419.928379147015</v>
      </c>
    </row>
    <row r="1664" spans="1:18" x14ac:dyDescent="0.25">
      <c r="A1664" s="52" t="s">
        <v>1053</v>
      </c>
      <c r="B1664" s="53"/>
      <c r="C1664" s="54">
        <v>18437</v>
      </c>
      <c r="D1664" s="54">
        <v>18937</v>
      </c>
      <c r="E1664">
        <f>20154+45</f>
        <v>20199</v>
      </c>
      <c r="F1664" s="54">
        <v>20823</v>
      </c>
      <c r="G1664" s="54">
        <v>18136</v>
      </c>
      <c r="H1664" s="54">
        <v>22200</v>
      </c>
      <c r="I1664" s="54">
        <f t="shared" si="928"/>
        <v>22710.6</v>
      </c>
      <c r="J1664" s="54">
        <f t="shared" si="929"/>
        <v>23255.654399999999</v>
      </c>
      <c r="K1664" s="54">
        <f t="shared" si="929"/>
        <v>23813.790105600001</v>
      </c>
      <c r="L1664" s="54">
        <f t="shared" si="930"/>
        <v>24361.507278028799</v>
      </c>
      <c r="M1664" s="54">
        <f t="shared" si="931"/>
        <v>24897.460438145434</v>
      </c>
      <c r="N1664" s="54">
        <f t="shared" si="932"/>
        <v>25470.102028222776</v>
      </c>
      <c r="O1664" s="54">
        <f t="shared" si="933"/>
        <v>26106.854578928345</v>
      </c>
      <c r="P1664" s="54">
        <f t="shared" si="933"/>
        <v>26759.525943401553</v>
      </c>
      <c r="Q1664" s="54">
        <f t="shared" si="934"/>
        <v>27401.75456604319</v>
      </c>
      <c r="R1664" s="54">
        <f t="shared" si="934"/>
        <v>28059.396675628228</v>
      </c>
    </row>
    <row r="1665" spans="1:18" x14ac:dyDescent="0.25">
      <c r="A1665" s="43" t="s">
        <v>1054</v>
      </c>
      <c r="B1665" s="53"/>
      <c r="C1665" s="59">
        <v>0</v>
      </c>
      <c r="D1665" s="54"/>
      <c r="E1665" s="54"/>
      <c r="F1665" s="54"/>
      <c r="G1665" s="54"/>
      <c r="H1665" s="54"/>
      <c r="I1665" s="54"/>
      <c r="J1665" s="54"/>
      <c r="K1665" s="54"/>
      <c r="L1665" s="54"/>
      <c r="M1665" s="54"/>
      <c r="N1665" s="54"/>
      <c r="O1665" s="54"/>
      <c r="P1665" s="54"/>
      <c r="Q1665" s="54"/>
      <c r="R1665" s="54"/>
    </row>
    <row r="1666" spans="1:18" x14ac:dyDescent="0.25">
      <c r="A1666" s="43" t="s">
        <v>1055</v>
      </c>
      <c r="B1666" s="53"/>
      <c r="C1666" s="59"/>
      <c r="D1666" s="54"/>
      <c r="E1666" s="54"/>
      <c r="F1666" s="54"/>
      <c r="G1666" s="54"/>
      <c r="H1666" s="54"/>
      <c r="I1666" s="54"/>
      <c r="J1666" s="54"/>
      <c r="K1666" s="54"/>
      <c r="L1666" s="54"/>
      <c r="M1666" s="54"/>
      <c r="N1666" s="54"/>
      <c r="O1666" s="54"/>
      <c r="P1666" s="54"/>
      <c r="Q1666" s="54"/>
      <c r="R1666" s="54"/>
    </row>
    <row r="1667" spans="1:18" x14ac:dyDescent="0.25">
      <c r="A1667" s="52" t="s">
        <v>1056</v>
      </c>
      <c r="B1667" s="53"/>
      <c r="C1667" s="59">
        <v>10830</v>
      </c>
      <c r="D1667" s="54">
        <v>19528</v>
      </c>
      <c r="E1667">
        <v>201290</v>
      </c>
      <c r="F1667" s="43">
        <v>309461</v>
      </c>
      <c r="G1667" s="43">
        <v>53809</v>
      </c>
      <c r="H1667" s="43">
        <v>20000</v>
      </c>
      <c r="I1667" s="54">
        <f t="shared" ref="I1667" si="935">H1667*1.023</f>
        <v>20460</v>
      </c>
      <c r="J1667" s="54">
        <f t="shared" ref="J1667:K1667" si="936">I1667*1.024</f>
        <v>20951.04</v>
      </c>
      <c r="K1667" s="54">
        <f t="shared" si="936"/>
        <v>21453.864960000003</v>
      </c>
      <c r="L1667" s="54">
        <f t="shared" ref="L1667" si="937">K1667*1.023</f>
        <v>21947.303854080001</v>
      </c>
      <c r="M1667" s="54">
        <f t="shared" ref="M1667" si="938">L1667*1.022</f>
        <v>22430.144538869761</v>
      </c>
      <c r="N1667" s="54">
        <f t="shared" ref="N1667" si="939">M1667*1.023</f>
        <v>22946.037863263762</v>
      </c>
      <c r="O1667" s="54">
        <f t="shared" ref="O1667:P1667" si="940">N1667*1.025</f>
        <v>23519.688809845353</v>
      </c>
      <c r="P1667" s="54">
        <f t="shared" si="940"/>
        <v>24107.681030091484</v>
      </c>
      <c r="Q1667" s="54">
        <f t="shared" ref="Q1667:R1667" si="941">P1667*1.024</f>
        <v>24686.26537481368</v>
      </c>
      <c r="R1667" s="54">
        <f t="shared" si="941"/>
        <v>25278.735743809208</v>
      </c>
    </row>
    <row r="1668" spans="1:18" x14ac:dyDescent="0.25">
      <c r="A1668" s="52" t="s">
        <v>1057</v>
      </c>
      <c r="B1668" s="53"/>
      <c r="C1668" s="50"/>
      <c r="D1668" s="54"/>
      <c r="E1668">
        <v>0</v>
      </c>
      <c r="F1668" s="54"/>
      <c r="G1668" s="54"/>
      <c r="H1668" s="54"/>
      <c r="I1668" s="54"/>
      <c r="J1668" s="54"/>
      <c r="K1668" s="54"/>
      <c r="L1668" s="54"/>
      <c r="M1668" s="54"/>
      <c r="N1668" s="54"/>
      <c r="O1668" s="54"/>
      <c r="P1668" s="54"/>
      <c r="Q1668" s="54"/>
      <c r="R1668" s="54"/>
    </row>
    <row r="1669" spans="1:18" x14ac:dyDescent="0.25">
      <c r="A1669" s="52" t="s">
        <v>1058</v>
      </c>
      <c r="B1669" s="53"/>
      <c r="C1669" s="59">
        <v>40487</v>
      </c>
      <c r="D1669" s="50">
        <v>39110</v>
      </c>
      <c r="E1669" s="54">
        <v>40090</v>
      </c>
      <c r="F1669" s="50">
        <v>41090</v>
      </c>
      <c r="G1669" s="50">
        <v>42120</v>
      </c>
      <c r="H1669" s="50">
        <v>43150</v>
      </c>
      <c r="I1669" s="54">
        <f t="shared" ref="I1669:I1674" si="942">H1669*1.023</f>
        <v>44142.45</v>
      </c>
      <c r="J1669" s="54">
        <f t="shared" ref="J1669:K1674" si="943">I1669*1.024</f>
        <v>45201.868799999997</v>
      </c>
      <c r="K1669" s="54">
        <f t="shared" si="943"/>
        <v>46286.7136512</v>
      </c>
      <c r="L1669" s="54">
        <f t="shared" ref="L1669:L1674" si="944">K1669*1.023</f>
        <v>47351.308065177596</v>
      </c>
      <c r="M1669" s="54">
        <f t="shared" ref="M1669:M1674" si="945">L1669*1.022</f>
        <v>48393.036842611502</v>
      </c>
      <c r="N1669" s="54">
        <f t="shared" ref="N1669:N1674" si="946">M1669*1.023</f>
        <v>49506.076689991562</v>
      </c>
      <c r="O1669" s="54">
        <f t="shared" ref="O1669:P1674" si="947">N1669*1.025</f>
        <v>50743.728607241348</v>
      </c>
      <c r="P1669" s="54">
        <f t="shared" si="947"/>
        <v>52012.321822422375</v>
      </c>
      <c r="Q1669" s="54">
        <f t="shared" ref="Q1669:R1674" si="948">P1669*1.024</f>
        <v>53260.617546160516</v>
      </c>
      <c r="R1669" s="54">
        <f t="shared" si="948"/>
        <v>54538.87236726837</v>
      </c>
    </row>
    <row r="1670" spans="1:18" x14ac:dyDescent="0.25">
      <c r="A1670" s="52" t="s">
        <v>1059</v>
      </c>
      <c r="B1670" s="53"/>
      <c r="C1670" s="68">
        <v>124033</v>
      </c>
      <c r="D1670" s="50">
        <v>125510</v>
      </c>
      <c r="E1670" s="54">
        <v>128660</v>
      </c>
      <c r="F1670" s="50">
        <v>131880</v>
      </c>
      <c r="G1670" s="50">
        <v>135170</v>
      </c>
      <c r="H1670" s="50">
        <v>138530</v>
      </c>
      <c r="I1670" s="54">
        <f t="shared" si="942"/>
        <v>141716.18999999997</v>
      </c>
      <c r="J1670" s="54">
        <f t="shared" si="943"/>
        <v>145117.37855999998</v>
      </c>
      <c r="K1670" s="54">
        <f t="shared" si="943"/>
        <v>148600.19564543999</v>
      </c>
      <c r="L1670" s="54">
        <f t="shared" si="944"/>
        <v>152018.0001452851</v>
      </c>
      <c r="M1670" s="54">
        <f t="shared" si="945"/>
        <v>155362.39614848138</v>
      </c>
      <c r="N1670" s="54">
        <f t="shared" si="946"/>
        <v>158935.73125989645</v>
      </c>
      <c r="O1670" s="54">
        <f t="shared" si="947"/>
        <v>162909.12454139386</v>
      </c>
      <c r="P1670" s="54">
        <f t="shared" si="947"/>
        <v>166981.85265492869</v>
      </c>
      <c r="Q1670" s="54">
        <f t="shared" si="948"/>
        <v>170989.41711864699</v>
      </c>
      <c r="R1670" s="54">
        <f t="shared" si="948"/>
        <v>175093.16312949453</v>
      </c>
    </row>
    <row r="1671" spans="1:18" x14ac:dyDescent="0.25">
      <c r="A1671" s="52" t="s">
        <v>1060</v>
      </c>
      <c r="B1671" s="53"/>
      <c r="C1671" s="54">
        <f>36842+1704</f>
        <v>38546</v>
      </c>
      <c r="D1671" s="50">
        <v>44730</v>
      </c>
      <c r="E1671" s="54">
        <f>15856-630.46</f>
        <v>15225.54</v>
      </c>
      <c r="F1671" s="50">
        <v>18024</v>
      </c>
      <c r="G1671" s="50">
        <v>36202</v>
      </c>
      <c r="H1671" s="50">
        <v>40000</v>
      </c>
      <c r="I1671" s="54">
        <f t="shared" si="942"/>
        <v>40920</v>
      </c>
      <c r="J1671" s="54">
        <f t="shared" si="943"/>
        <v>41902.080000000002</v>
      </c>
      <c r="K1671" s="54">
        <f t="shared" si="943"/>
        <v>42907.729920000005</v>
      </c>
      <c r="L1671" s="54">
        <f t="shared" si="944"/>
        <v>43894.607708160001</v>
      </c>
      <c r="M1671" s="54">
        <f t="shared" si="945"/>
        <v>44860.289077739522</v>
      </c>
      <c r="N1671" s="54">
        <f t="shared" si="946"/>
        <v>45892.075726527524</v>
      </c>
      <c r="O1671" s="54">
        <f t="shared" si="947"/>
        <v>47039.377619690706</v>
      </c>
      <c r="P1671" s="54">
        <f t="shared" si="947"/>
        <v>48215.362060182968</v>
      </c>
      <c r="Q1671" s="54">
        <f t="shared" si="948"/>
        <v>49372.53074962736</v>
      </c>
      <c r="R1671" s="54">
        <f t="shared" si="948"/>
        <v>50557.471487618415</v>
      </c>
    </row>
    <row r="1672" spans="1:18" x14ac:dyDescent="0.25">
      <c r="A1672" s="52" t="s">
        <v>1061</v>
      </c>
      <c r="B1672" s="53"/>
      <c r="C1672" s="59">
        <v>0</v>
      </c>
      <c r="D1672" s="54">
        <v>0</v>
      </c>
      <c r="E1672">
        <v>0</v>
      </c>
      <c r="F1672" s="50">
        <v>0</v>
      </c>
      <c r="G1672" s="50">
        <v>0</v>
      </c>
      <c r="H1672" s="50">
        <v>2000</v>
      </c>
      <c r="I1672" s="54">
        <f t="shared" si="942"/>
        <v>2045.9999999999998</v>
      </c>
      <c r="J1672" s="54">
        <f t="shared" si="943"/>
        <v>2095.1039999999998</v>
      </c>
      <c r="K1672" s="54">
        <f t="shared" si="943"/>
        <v>2145.3864960000001</v>
      </c>
      <c r="L1672" s="54">
        <f t="shared" si="944"/>
        <v>2194.7303854080001</v>
      </c>
      <c r="M1672" s="54">
        <f t="shared" si="945"/>
        <v>2243.0144538869763</v>
      </c>
      <c r="N1672" s="54">
        <f t="shared" si="946"/>
        <v>2294.6037863263764</v>
      </c>
      <c r="O1672" s="54">
        <f t="shared" si="947"/>
        <v>2351.9688809845356</v>
      </c>
      <c r="P1672" s="54">
        <f t="shared" si="947"/>
        <v>2410.7681030091489</v>
      </c>
      <c r="Q1672" s="54">
        <f t="shared" si="948"/>
        <v>2468.6265374813684</v>
      </c>
      <c r="R1672" s="54">
        <f t="shared" si="948"/>
        <v>2527.8735743809211</v>
      </c>
    </row>
    <row r="1673" spans="1:18" x14ac:dyDescent="0.25">
      <c r="A1673" s="52" t="s">
        <v>1062</v>
      </c>
      <c r="B1673" s="53"/>
      <c r="C1673" s="59">
        <v>0</v>
      </c>
      <c r="D1673" s="50">
        <v>5710</v>
      </c>
      <c r="E1673">
        <v>1861</v>
      </c>
      <c r="F1673" s="50">
        <v>0</v>
      </c>
      <c r="G1673" s="50">
        <v>8326</v>
      </c>
      <c r="H1673" s="50">
        <v>14000</v>
      </c>
      <c r="I1673" s="54">
        <f t="shared" si="942"/>
        <v>14321.999999999998</v>
      </c>
      <c r="J1673" s="54">
        <f t="shared" si="943"/>
        <v>14665.727999999999</v>
      </c>
      <c r="K1673" s="54">
        <f t="shared" si="943"/>
        <v>15017.705472</v>
      </c>
      <c r="L1673" s="54">
        <f t="shared" si="944"/>
        <v>15363.112697855999</v>
      </c>
      <c r="M1673" s="54">
        <f t="shared" si="945"/>
        <v>15701.101177208831</v>
      </c>
      <c r="N1673" s="54">
        <f t="shared" si="946"/>
        <v>16062.226504284634</v>
      </c>
      <c r="O1673" s="54">
        <f t="shared" si="947"/>
        <v>16463.78216689175</v>
      </c>
      <c r="P1673" s="54">
        <f t="shared" si="947"/>
        <v>16875.376721064044</v>
      </c>
      <c r="Q1673" s="54">
        <f t="shared" si="948"/>
        <v>17280.38576236958</v>
      </c>
      <c r="R1673" s="54">
        <f t="shared" si="948"/>
        <v>17695.11502066645</v>
      </c>
    </row>
    <row r="1674" spans="1:18" x14ac:dyDescent="0.25">
      <c r="A1674" s="52" t="s">
        <v>1063</v>
      </c>
      <c r="B1674" s="53"/>
      <c r="C1674" s="68">
        <v>0</v>
      </c>
      <c r="D1674" s="54">
        <v>2326</v>
      </c>
      <c r="E1674">
        <v>4123</v>
      </c>
      <c r="F1674" s="54">
        <v>9936</v>
      </c>
      <c r="G1674" s="54">
        <v>13837</v>
      </c>
      <c r="H1674" s="54">
        <v>12000</v>
      </c>
      <c r="I1674" s="54">
        <f t="shared" si="942"/>
        <v>12275.999999999998</v>
      </c>
      <c r="J1674" s="54">
        <f t="shared" si="943"/>
        <v>12570.623999999998</v>
      </c>
      <c r="K1674" s="54">
        <f t="shared" si="943"/>
        <v>12872.318975999999</v>
      </c>
      <c r="L1674" s="54">
        <f t="shared" si="944"/>
        <v>13168.382312447997</v>
      </c>
      <c r="M1674" s="54">
        <f t="shared" si="945"/>
        <v>13458.086723321852</v>
      </c>
      <c r="N1674" s="54">
        <f t="shared" si="946"/>
        <v>13767.622717958253</v>
      </c>
      <c r="O1674" s="54">
        <f t="shared" si="947"/>
        <v>14111.813285907208</v>
      </c>
      <c r="P1674" s="54">
        <f t="shared" si="947"/>
        <v>14464.608618054888</v>
      </c>
      <c r="Q1674" s="54">
        <f t="shared" si="948"/>
        <v>14811.759224888207</v>
      </c>
      <c r="R1674" s="54">
        <f t="shared" si="948"/>
        <v>15167.241446285523</v>
      </c>
    </row>
    <row r="1675" spans="1:18" x14ac:dyDescent="0.25">
      <c r="A1675" s="43" t="s">
        <v>1064</v>
      </c>
      <c r="C1675" s="50">
        <v>2000</v>
      </c>
      <c r="D1675" s="54">
        <v>2000</v>
      </c>
      <c r="E1675">
        <v>1000</v>
      </c>
      <c r="F1675" s="54">
        <v>1000</v>
      </c>
      <c r="G1675" s="54">
        <v>4000</v>
      </c>
      <c r="H1675" s="54">
        <v>4400</v>
      </c>
      <c r="I1675" s="50">
        <v>7400</v>
      </c>
      <c r="J1675" s="54">
        <f>I1675*1.05</f>
        <v>7770</v>
      </c>
      <c r="K1675" s="54">
        <f>J1675*1.05</f>
        <v>8158.5</v>
      </c>
      <c r="L1675" s="54">
        <f t="shared" ref="L1675:R1675" si="949">K1675*1.05</f>
        <v>8566.4250000000011</v>
      </c>
      <c r="M1675" s="54">
        <f t="shared" si="949"/>
        <v>8994.746250000002</v>
      </c>
      <c r="N1675" s="54">
        <f t="shared" si="949"/>
        <v>9444.4835625000032</v>
      </c>
      <c r="O1675" s="54">
        <f t="shared" si="949"/>
        <v>9916.7077406250046</v>
      </c>
      <c r="P1675" s="54">
        <f t="shared" si="949"/>
        <v>10412.543127656256</v>
      </c>
      <c r="Q1675" s="54">
        <f t="shared" si="949"/>
        <v>10933.17028403907</v>
      </c>
      <c r="R1675" s="54">
        <f t="shared" si="949"/>
        <v>11479.828798241024</v>
      </c>
    </row>
    <row r="1676" spans="1:18" x14ac:dyDescent="0.25">
      <c r="A1676" s="43" t="s">
        <v>1065</v>
      </c>
      <c r="C1676" s="50">
        <v>0</v>
      </c>
      <c r="D1676" s="50">
        <v>5000</v>
      </c>
      <c r="E1676">
        <v>0</v>
      </c>
      <c r="F1676" s="50">
        <v>0</v>
      </c>
      <c r="G1676" s="50">
        <v>0</v>
      </c>
      <c r="H1676" s="50">
        <v>0</v>
      </c>
      <c r="I1676" s="50">
        <v>0</v>
      </c>
      <c r="J1676" s="50">
        <v>0</v>
      </c>
      <c r="K1676" s="50">
        <v>0</v>
      </c>
      <c r="L1676" s="50">
        <v>0</v>
      </c>
      <c r="M1676" s="50">
        <v>0</v>
      </c>
      <c r="N1676" s="50">
        <v>0</v>
      </c>
      <c r="O1676" s="50">
        <v>0</v>
      </c>
      <c r="P1676" s="50">
        <v>0</v>
      </c>
      <c r="Q1676" s="50">
        <v>0</v>
      </c>
      <c r="R1676" s="50">
        <v>0</v>
      </c>
    </row>
    <row r="1677" spans="1:18" x14ac:dyDescent="0.25">
      <c r="A1677" s="43" t="s">
        <v>1066</v>
      </c>
      <c r="C1677" s="59">
        <v>15974</v>
      </c>
      <c r="D1677" s="54">
        <v>16707</v>
      </c>
      <c r="E1677">
        <v>23700</v>
      </c>
      <c r="F1677" s="54">
        <v>23637</v>
      </c>
      <c r="G1677" s="54">
        <v>25137</v>
      </c>
      <c r="H1677" s="54">
        <v>26000</v>
      </c>
      <c r="I1677" s="54">
        <f t="shared" ref="I1677" si="950">H1677*1.023</f>
        <v>26597.999999999996</v>
      </c>
      <c r="J1677" s="54">
        <f t="shared" ref="J1677:K1677" si="951">I1677*1.024</f>
        <v>27236.351999999995</v>
      </c>
      <c r="K1677" s="54">
        <f t="shared" si="951"/>
        <v>27890.024447999996</v>
      </c>
      <c r="L1677" s="54">
        <f t="shared" ref="L1677" si="952">K1677*1.023</f>
        <v>28531.495010303996</v>
      </c>
      <c r="M1677" s="54">
        <f t="shared" ref="M1677" si="953">L1677*1.022</f>
        <v>29159.187900530684</v>
      </c>
      <c r="N1677" s="54">
        <f t="shared" ref="N1677" si="954">M1677*1.023</f>
        <v>29829.849222242887</v>
      </c>
      <c r="O1677" s="54">
        <f t="shared" ref="O1677:P1677" si="955">N1677*1.025</f>
        <v>30575.595452798956</v>
      </c>
      <c r="P1677" s="54">
        <f t="shared" si="955"/>
        <v>31339.985339118928</v>
      </c>
      <c r="Q1677" s="54">
        <f t="shared" ref="Q1677:R1677" si="956">P1677*1.024</f>
        <v>32092.144987257783</v>
      </c>
      <c r="R1677" s="54">
        <f t="shared" si="956"/>
        <v>32862.356466951969</v>
      </c>
    </row>
    <row r="1678" spans="1:18" x14ac:dyDescent="0.25">
      <c r="A1678" s="43" t="s">
        <v>1067</v>
      </c>
      <c r="C1678" s="68">
        <f>-8454</f>
        <v>-8454</v>
      </c>
      <c r="D1678" s="50">
        <v>0</v>
      </c>
      <c r="E1678">
        <v>0</v>
      </c>
      <c r="F1678" s="50"/>
      <c r="G1678" s="50">
        <v>0</v>
      </c>
      <c r="H1678" s="50"/>
      <c r="I1678" s="54"/>
      <c r="J1678" s="54"/>
      <c r="K1678" s="54"/>
      <c r="L1678" s="54"/>
      <c r="M1678" s="54"/>
      <c r="N1678" s="54"/>
      <c r="O1678" s="54"/>
      <c r="P1678" s="54"/>
      <c r="Q1678" s="54"/>
      <c r="R1678" s="54"/>
    </row>
    <row r="1679" spans="1:18" x14ac:dyDescent="0.25">
      <c r="A1679" s="43" t="s">
        <v>1068</v>
      </c>
      <c r="C1679" s="59">
        <v>24958</v>
      </c>
      <c r="D1679" s="54">
        <v>25532</v>
      </c>
      <c r="E1679">
        <v>26145</v>
      </c>
      <c r="F1679" s="54">
        <v>6693</v>
      </c>
      <c r="G1679" s="54">
        <v>48595</v>
      </c>
      <c r="H1679" s="54">
        <v>48600</v>
      </c>
      <c r="I1679" s="50">
        <v>53690</v>
      </c>
      <c r="J1679" s="54">
        <f t="shared" ref="J1679:K1680" si="957">I1679*1.024</f>
        <v>54978.559999999998</v>
      </c>
      <c r="K1679" s="54">
        <f t="shared" si="957"/>
        <v>56298.045440000002</v>
      </c>
      <c r="L1679" s="54">
        <f t="shared" ref="L1679:L1680" si="958">K1679*1.023</f>
        <v>57592.900485119993</v>
      </c>
      <c r="M1679" s="54">
        <f t="shared" ref="M1679:M1680" si="959">L1679*1.022</f>
        <v>58859.944295792637</v>
      </c>
      <c r="N1679" s="54">
        <f t="shared" ref="N1679:N1680" si="960">M1679*1.023</f>
        <v>60213.72301459586</v>
      </c>
      <c r="O1679" s="54">
        <f t="shared" ref="O1679:P1680" si="961">N1679*1.025</f>
        <v>61719.066089960754</v>
      </c>
      <c r="P1679" s="54">
        <f t="shared" si="961"/>
        <v>63262.042742209764</v>
      </c>
      <c r="Q1679" s="54">
        <f t="shared" ref="Q1679:R1680" si="962">P1679*1.024</f>
        <v>64780.331768022799</v>
      </c>
      <c r="R1679" s="54">
        <f t="shared" si="962"/>
        <v>66335.059730455352</v>
      </c>
    </row>
    <row r="1680" spans="1:18" x14ac:dyDescent="0.25">
      <c r="A1680" s="43" t="s">
        <v>1069</v>
      </c>
      <c r="C1680" s="50">
        <v>180</v>
      </c>
      <c r="D1680" s="54">
        <v>100</v>
      </c>
      <c r="E1680">
        <v>0</v>
      </c>
      <c r="F1680" s="54">
        <v>0</v>
      </c>
      <c r="G1680" s="54">
        <v>250</v>
      </c>
      <c r="H1680" s="54">
        <v>2000</v>
      </c>
      <c r="I1680" s="54">
        <f t="shared" ref="I1680" si="963">H1680*1.023</f>
        <v>2045.9999999999998</v>
      </c>
      <c r="J1680" s="54">
        <f t="shared" si="957"/>
        <v>2095.1039999999998</v>
      </c>
      <c r="K1680" s="54">
        <f t="shared" si="957"/>
        <v>2145.3864960000001</v>
      </c>
      <c r="L1680" s="54">
        <f t="shared" si="958"/>
        <v>2194.7303854080001</v>
      </c>
      <c r="M1680" s="54">
        <f t="shared" si="959"/>
        <v>2243.0144538869763</v>
      </c>
      <c r="N1680" s="54">
        <f t="shared" si="960"/>
        <v>2294.6037863263764</v>
      </c>
      <c r="O1680" s="54">
        <f t="shared" si="961"/>
        <v>2351.9688809845356</v>
      </c>
      <c r="P1680" s="54">
        <f t="shared" si="961"/>
        <v>2410.7681030091489</v>
      </c>
      <c r="Q1680" s="54">
        <f t="shared" si="962"/>
        <v>2468.6265374813684</v>
      </c>
      <c r="R1680" s="54">
        <f t="shared" si="962"/>
        <v>2527.8735743809211</v>
      </c>
    </row>
    <row r="1681" spans="1:18" x14ac:dyDescent="0.25">
      <c r="A1681" s="43" t="s">
        <v>1070</v>
      </c>
      <c r="C1681" s="59">
        <v>0</v>
      </c>
      <c r="D1681" s="50">
        <v>0</v>
      </c>
      <c r="E1681">
        <v>0</v>
      </c>
      <c r="F1681" s="50">
        <v>480</v>
      </c>
      <c r="G1681" s="50">
        <v>84912</v>
      </c>
      <c r="H1681" s="50"/>
      <c r="I1681" s="54"/>
      <c r="J1681" s="54">
        <v>91500</v>
      </c>
      <c r="K1681" s="50"/>
      <c r="L1681" s="50"/>
      <c r="M1681" s="50"/>
      <c r="N1681" s="50">
        <v>100000</v>
      </c>
      <c r="O1681" s="50"/>
      <c r="P1681" s="54"/>
      <c r="Q1681" s="54"/>
      <c r="R1681" s="54"/>
    </row>
    <row r="1682" spans="1:18" x14ac:dyDescent="0.25">
      <c r="A1682" s="52" t="s">
        <v>1071</v>
      </c>
      <c r="C1682" s="50">
        <v>3636</v>
      </c>
      <c r="D1682" s="50"/>
      <c r="E1682" s="50"/>
      <c r="F1682" s="50"/>
      <c r="G1682" s="50"/>
      <c r="H1682" s="50"/>
      <c r="I1682" s="50"/>
      <c r="J1682" s="50"/>
      <c r="K1682" s="50"/>
      <c r="L1682" s="50"/>
      <c r="M1682" s="50"/>
      <c r="N1682" s="50"/>
      <c r="O1682" s="50"/>
      <c r="P1682" s="50"/>
      <c r="Q1682" s="50"/>
      <c r="R1682" s="50"/>
    </row>
    <row r="1683" spans="1:18" x14ac:dyDescent="0.25">
      <c r="A1683" s="52" t="s">
        <v>1027</v>
      </c>
      <c r="C1683" s="50">
        <v>909</v>
      </c>
      <c r="D1683" s="50"/>
      <c r="E1683" s="50"/>
      <c r="F1683" s="50"/>
      <c r="G1683" s="50"/>
      <c r="H1683" s="50"/>
      <c r="I1683" s="50"/>
      <c r="J1683" s="50"/>
      <c r="K1683" s="50"/>
      <c r="L1683" s="50"/>
      <c r="M1683" s="50"/>
      <c r="N1683" s="50"/>
      <c r="O1683" s="50"/>
      <c r="P1683" s="50"/>
      <c r="Q1683" s="50"/>
      <c r="R1683" s="50"/>
    </row>
    <row r="1684" spans="1:18" x14ac:dyDescent="0.25">
      <c r="C1684" s="50"/>
      <c r="D1684" s="50"/>
      <c r="E1684" s="50"/>
      <c r="F1684" s="50"/>
      <c r="G1684" s="50"/>
      <c r="H1684" s="50"/>
      <c r="I1684" s="50"/>
      <c r="J1684" s="50"/>
      <c r="K1684" s="50"/>
      <c r="L1684" s="50"/>
      <c r="M1684" s="50"/>
      <c r="N1684" s="50"/>
      <c r="O1684" s="50"/>
      <c r="P1684" s="50"/>
      <c r="Q1684" s="50"/>
      <c r="R1684" s="50"/>
    </row>
    <row r="1685" spans="1:18" x14ac:dyDescent="0.25">
      <c r="A1685" s="41" t="s">
        <v>230</v>
      </c>
      <c r="B1685" s="44"/>
      <c r="C1685" s="51">
        <f t="shared" ref="C1685:Q1685" si="964">SUM(C1640:C1684)</f>
        <v>861055</v>
      </c>
      <c r="D1685" s="51">
        <f t="shared" si="964"/>
        <v>1022002</v>
      </c>
      <c r="E1685" s="51">
        <f t="shared" si="964"/>
        <v>1202209.47</v>
      </c>
      <c r="F1685" s="51">
        <f t="shared" si="964"/>
        <v>1190465</v>
      </c>
      <c r="G1685" s="51">
        <f t="shared" si="964"/>
        <v>1302652</v>
      </c>
      <c r="H1685" s="51">
        <f t="shared" si="964"/>
        <v>1273080</v>
      </c>
      <c r="I1685" s="51">
        <f t="shared" si="964"/>
        <v>1304409.8399999999</v>
      </c>
      <c r="J1685" s="51">
        <f t="shared" si="964"/>
        <v>1430630.1810600003</v>
      </c>
      <c r="K1685" s="51">
        <f t="shared" si="964"/>
        <v>1376597.6202979397</v>
      </c>
      <c r="L1685" s="51">
        <f t="shared" si="964"/>
        <v>1415277.6281759676</v>
      </c>
      <c r="M1685" s="51">
        <f t="shared" si="964"/>
        <v>1453706.5581045782</v>
      </c>
      <c r="N1685" s="51">
        <f t="shared" si="964"/>
        <v>1593111.4297320067</v>
      </c>
      <c r="O1685" s="51">
        <f t="shared" si="964"/>
        <v>1535911.7315253904</v>
      </c>
      <c r="P1685" s="51">
        <f t="shared" si="964"/>
        <v>1581492.9281470871</v>
      </c>
      <c r="Q1685" s="51">
        <f t="shared" si="964"/>
        <v>1628311.2323646026</v>
      </c>
      <c r="R1685" s="51">
        <f t="shared" ref="R1685" si="965">SUM(R1640:R1684)</f>
        <v>1675936.9396939399</v>
      </c>
    </row>
    <row r="1686" spans="1:18" x14ac:dyDescent="0.25">
      <c r="C1686" s="50"/>
      <c r="D1686" s="50"/>
      <c r="E1686" s="50"/>
      <c r="F1686" s="50"/>
      <c r="G1686" s="50"/>
      <c r="H1686" s="50"/>
      <c r="I1686" s="50"/>
      <c r="J1686" s="50"/>
      <c r="K1686" s="50"/>
      <c r="L1686" s="50"/>
      <c r="M1686" s="50"/>
      <c r="N1686" s="50"/>
      <c r="O1686" s="50"/>
      <c r="P1686" s="50"/>
      <c r="Q1686" s="50"/>
      <c r="R1686" s="50"/>
    </row>
    <row r="1687" spans="1:18" x14ac:dyDescent="0.25">
      <c r="A1687" s="41" t="s">
        <v>171</v>
      </c>
      <c r="C1687" s="50"/>
      <c r="D1687" s="50"/>
      <c r="E1687" s="50"/>
      <c r="F1687" s="50"/>
      <c r="G1687" s="50"/>
      <c r="H1687" s="50"/>
      <c r="I1687" s="50"/>
      <c r="J1687" s="50"/>
      <c r="K1687" s="50"/>
      <c r="L1687" s="50"/>
      <c r="M1687" s="50"/>
      <c r="N1687" s="50"/>
      <c r="O1687" s="50"/>
      <c r="P1687" s="50"/>
      <c r="Q1687" s="50"/>
      <c r="R1687" s="50"/>
    </row>
    <row r="1688" spans="1:18" x14ac:dyDescent="0.25">
      <c r="A1688" s="41"/>
      <c r="C1688" s="50"/>
      <c r="D1688" s="50"/>
      <c r="E1688" s="50"/>
      <c r="F1688" s="50"/>
      <c r="G1688" s="50"/>
      <c r="H1688" s="50"/>
      <c r="I1688" s="50"/>
      <c r="J1688" s="50"/>
      <c r="K1688" s="50"/>
      <c r="L1688" s="50"/>
      <c r="M1688" s="50"/>
      <c r="N1688" s="50"/>
      <c r="O1688" s="50"/>
      <c r="P1688" s="50"/>
      <c r="Q1688" s="50"/>
      <c r="R1688" s="50"/>
    </row>
    <row r="1689" spans="1:18" x14ac:dyDescent="0.25">
      <c r="A1689" s="52" t="s">
        <v>1072</v>
      </c>
      <c r="C1689" s="50">
        <v>0</v>
      </c>
      <c r="D1689" s="50">
        <v>0</v>
      </c>
      <c r="E1689" s="50">
        <v>0</v>
      </c>
      <c r="F1689" s="50">
        <v>0</v>
      </c>
      <c r="G1689" s="50">
        <v>0</v>
      </c>
      <c r="H1689" s="50">
        <v>0</v>
      </c>
      <c r="I1689" s="50">
        <v>0</v>
      </c>
      <c r="J1689" s="50">
        <v>0</v>
      </c>
      <c r="K1689" s="50">
        <v>0</v>
      </c>
      <c r="L1689" s="50">
        <v>0</v>
      </c>
      <c r="M1689" s="50">
        <v>0</v>
      </c>
      <c r="N1689" s="50">
        <v>0</v>
      </c>
      <c r="O1689" s="50">
        <v>0</v>
      </c>
      <c r="P1689" s="50">
        <v>0</v>
      </c>
      <c r="Q1689" s="50">
        <v>0</v>
      </c>
      <c r="R1689" s="50">
        <v>0</v>
      </c>
    </row>
    <row r="1690" spans="1:18" x14ac:dyDescent="0.25">
      <c r="A1690" s="52" t="s">
        <v>1073</v>
      </c>
      <c r="B1690" s="52"/>
      <c r="C1690" s="50"/>
      <c r="D1690" s="50">
        <v>51765</v>
      </c>
      <c r="E1690" s="50"/>
      <c r="F1690" s="50">
        <v>1529</v>
      </c>
      <c r="G1690" s="50">
        <v>7572</v>
      </c>
      <c r="H1690" s="50"/>
      <c r="I1690" s="50"/>
      <c r="J1690" s="50"/>
      <c r="K1690" s="50"/>
      <c r="L1690" s="50"/>
      <c r="M1690" s="50"/>
      <c r="N1690" s="50"/>
      <c r="O1690" s="50"/>
      <c r="P1690" s="50"/>
      <c r="Q1690" s="50"/>
      <c r="R1690" s="50"/>
    </row>
    <row r="1691" spans="1:18" x14ac:dyDescent="0.25">
      <c r="A1691" s="41"/>
      <c r="C1691" s="50"/>
      <c r="D1691" s="50"/>
      <c r="E1691" s="50"/>
      <c r="F1691" s="50"/>
      <c r="G1691" s="50"/>
      <c r="H1691" s="50"/>
      <c r="I1691" s="50"/>
      <c r="J1691" s="50"/>
      <c r="K1691" s="50"/>
      <c r="L1691" s="50"/>
      <c r="M1691" s="50"/>
      <c r="N1691" s="50"/>
      <c r="O1691" s="50"/>
      <c r="P1691" s="50"/>
      <c r="Q1691" s="50"/>
      <c r="R1691" s="50"/>
    </row>
    <row r="1692" spans="1:18" x14ac:dyDescent="0.25">
      <c r="A1692" s="41" t="s">
        <v>107</v>
      </c>
      <c r="C1692" s="51">
        <f t="shared" ref="C1692:R1692" si="966">SUM(C1689:C1691)</f>
        <v>0</v>
      </c>
      <c r="D1692" s="51">
        <f t="shared" si="966"/>
        <v>51765</v>
      </c>
      <c r="E1692" s="51">
        <f t="shared" si="966"/>
        <v>0</v>
      </c>
      <c r="F1692" s="51">
        <f t="shared" si="966"/>
        <v>1529</v>
      </c>
      <c r="G1692" s="51">
        <f t="shared" si="966"/>
        <v>7572</v>
      </c>
      <c r="H1692" s="51">
        <f t="shared" si="966"/>
        <v>0</v>
      </c>
      <c r="I1692" s="51">
        <f t="shared" si="966"/>
        <v>0</v>
      </c>
      <c r="J1692" s="51">
        <f t="shared" si="966"/>
        <v>0</v>
      </c>
      <c r="K1692" s="51">
        <f t="shared" si="966"/>
        <v>0</v>
      </c>
      <c r="L1692" s="51">
        <f t="shared" si="966"/>
        <v>0</v>
      </c>
      <c r="M1692" s="51">
        <f t="shared" si="966"/>
        <v>0</v>
      </c>
      <c r="N1692" s="51">
        <f t="shared" si="966"/>
        <v>0</v>
      </c>
      <c r="O1692" s="51">
        <f t="shared" si="966"/>
        <v>0</v>
      </c>
      <c r="P1692" s="51">
        <f t="shared" si="966"/>
        <v>0</v>
      </c>
      <c r="Q1692" s="51">
        <f t="shared" si="966"/>
        <v>0</v>
      </c>
      <c r="R1692" s="51">
        <f t="shared" si="966"/>
        <v>0</v>
      </c>
    </row>
    <row r="1693" spans="1:18" x14ac:dyDescent="0.25">
      <c r="C1693" s="50"/>
      <c r="D1693" s="50"/>
      <c r="E1693" s="50"/>
      <c r="F1693" s="50"/>
      <c r="G1693" s="50"/>
      <c r="H1693" s="50"/>
      <c r="I1693" s="50"/>
      <c r="J1693" s="50"/>
      <c r="K1693" s="50"/>
      <c r="L1693" s="50"/>
      <c r="M1693" s="50"/>
      <c r="N1693" s="50"/>
      <c r="O1693" s="50"/>
      <c r="P1693" s="50"/>
      <c r="Q1693" s="50"/>
      <c r="R1693" s="50"/>
    </row>
    <row r="1694" spans="1:18" x14ac:dyDescent="0.25">
      <c r="C1694" s="50"/>
      <c r="D1694" s="50"/>
      <c r="E1694" s="50"/>
      <c r="F1694" s="50"/>
      <c r="G1694" s="50"/>
      <c r="H1694" s="50"/>
      <c r="I1694" s="50"/>
      <c r="J1694" s="50"/>
      <c r="K1694" s="50"/>
      <c r="L1694" s="50"/>
      <c r="M1694" s="50"/>
      <c r="N1694" s="50"/>
      <c r="O1694" s="50"/>
      <c r="P1694" s="50"/>
      <c r="Q1694" s="50"/>
      <c r="R1694" s="50"/>
    </row>
    <row r="1695" spans="1:18" x14ac:dyDescent="0.25">
      <c r="A1695" s="41" t="s">
        <v>1074</v>
      </c>
      <c r="B1695" s="44"/>
      <c r="C1695" s="51">
        <f>C1685-C1635</f>
        <v>860055</v>
      </c>
      <c r="D1695" s="51">
        <f t="shared" ref="D1695:R1695" si="967">D1685-D1635+D1692</f>
        <v>1055335</v>
      </c>
      <c r="E1695" s="51">
        <f t="shared" si="967"/>
        <v>1202209.47</v>
      </c>
      <c r="F1695" s="51">
        <f t="shared" si="967"/>
        <v>1125539</v>
      </c>
      <c r="G1695" s="51">
        <f t="shared" si="967"/>
        <v>1238534</v>
      </c>
      <c r="H1695" s="51">
        <f t="shared" si="967"/>
        <v>1000580</v>
      </c>
      <c r="I1695" s="51">
        <f t="shared" si="967"/>
        <v>1304409.8399999999</v>
      </c>
      <c r="J1695" s="51">
        <f t="shared" si="967"/>
        <v>1430630.1810600003</v>
      </c>
      <c r="K1695" s="51">
        <f t="shared" si="967"/>
        <v>1376597.6202979397</v>
      </c>
      <c r="L1695" s="51">
        <f t="shared" si="967"/>
        <v>1415277.6281759676</v>
      </c>
      <c r="M1695" s="51">
        <f t="shared" si="967"/>
        <v>1453706.5581045782</v>
      </c>
      <c r="N1695" s="51">
        <f t="shared" si="967"/>
        <v>1593111.4297320067</v>
      </c>
      <c r="O1695" s="51">
        <f t="shared" si="967"/>
        <v>1535911.7315253904</v>
      </c>
      <c r="P1695" s="51">
        <f t="shared" si="967"/>
        <v>1581492.9281470871</v>
      </c>
      <c r="Q1695" s="51">
        <f t="shared" si="967"/>
        <v>1628311.2323646026</v>
      </c>
      <c r="R1695" s="51">
        <f t="shared" si="967"/>
        <v>1675936.9396939399</v>
      </c>
    </row>
    <row r="1696" spans="1:18" x14ac:dyDescent="0.25">
      <c r="C1696" s="50"/>
      <c r="D1696" s="50"/>
      <c r="E1696" s="50"/>
      <c r="F1696" s="50"/>
      <c r="G1696" s="50"/>
      <c r="H1696" s="50"/>
      <c r="I1696" s="50"/>
      <c r="J1696" s="50"/>
      <c r="K1696" s="50"/>
      <c r="L1696" s="50"/>
      <c r="M1696" s="50"/>
      <c r="N1696" s="50"/>
      <c r="O1696" s="50"/>
      <c r="P1696" s="50"/>
      <c r="Q1696" s="50"/>
      <c r="R1696" s="50"/>
    </row>
    <row r="1697" spans="1:18" x14ac:dyDescent="0.25">
      <c r="C1697" s="50"/>
      <c r="D1697" s="50"/>
      <c r="E1697" s="50"/>
      <c r="F1697" s="50"/>
      <c r="G1697" s="50"/>
      <c r="H1697" s="50"/>
      <c r="I1697" s="50"/>
      <c r="J1697" s="50"/>
      <c r="K1697" s="50"/>
      <c r="L1697" s="50"/>
      <c r="M1697" s="50"/>
      <c r="N1697" s="50"/>
      <c r="O1697" s="50"/>
      <c r="P1697" s="50"/>
      <c r="Q1697" s="50"/>
      <c r="R1697" s="50"/>
    </row>
    <row r="1698" spans="1:18" x14ac:dyDescent="0.25">
      <c r="A1698" s="41" t="s">
        <v>1075</v>
      </c>
      <c r="B1698" s="44"/>
      <c r="C1698" s="50"/>
      <c r="D1698" s="50"/>
      <c r="E1698" s="50"/>
      <c r="F1698" s="50"/>
      <c r="G1698" s="50"/>
      <c r="H1698" s="50"/>
      <c r="I1698" s="50"/>
      <c r="J1698" s="50"/>
      <c r="K1698" s="50"/>
      <c r="L1698" s="50"/>
      <c r="M1698" s="50"/>
      <c r="N1698" s="50"/>
      <c r="O1698" s="50"/>
      <c r="P1698" s="50"/>
      <c r="Q1698" s="50"/>
      <c r="R1698" s="50"/>
    </row>
    <row r="1699" spans="1:18" x14ac:dyDescent="0.25">
      <c r="C1699" s="50"/>
      <c r="D1699" s="50"/>
      <c r="E1699" s="50"/>
      <c r="F1699" s="50"/>
      <c r="G1699" s="50"/>
      <c r="H1699" s="50"/>
      <c r="I1699" s="50"/>
      <c r="J1699" s="50"/>
      <c r="K1699" s="50"/>
      <c r="L1699" s="50"/>
      <c r="M1699" s="50"/>
      <c r="N1699" s="50"/>
      <c r="O1699" s="50"/>
      <c r="P1699" s="50"/>
      <c r="Q1699" s="50"/>
      <c r="R1699" s="50"/>
    </row>
    <row r="1700" spans="1:18" x14ac:dyDescent="0.25">
      <c r="A1700" s="41" t="s">
        <v>202</v>
      </c>
      <c r="C1700" s="50"/>
      <c r="D1700" s="50"/>
      <c r="E1700" s="50"/>
      <c r="F1700" s="50"/>
      <c r="G1700" s="50"/>
      <c r="H1700" s="50"/>
      <c r="I1700" s="50"/>
      <c r="J1700" s="50"/>
      <c r="K1700" s="50"/>
      <c r="L1700" s="50"/>
      <c r="M1700" s="50"/>
      <c r="N1700" s="50"/>
      <c r="O1700" s="50"/>
      <c r="P1700" s="50"/>
      <c r="Q1700" s="50"/>
      <c r="R1700" s="50"/>
    </row>
    <row r="1701" spans="1:18" x14ac:dyDescent="0.25">
      <c r="A1701" s="59" t="s">
        <v>1076</v>
      </c>
      <c r="C1701" s="50"/>
      <c r="D1701" s="50"/>
      <c r="E1701" s="50"/>
      <c r="F1701" s="59">
        <v>294703</v>
      </c>
      <c r="G1701" s="50">
        <v>251</v>
      </c>
      <c r="H1701" s="50"/>
      <c r="I1701" s="50"/>
      <c r="J1701" s="50"/>
      <c r="K1701" s="50"/>
      <c r="L1701" s="50"/>
      <c r="M1701" s="50"/>
      <c r="N1701" s="50"/>
      <c r="O1701" s="50"/>
      <c r="P1701" s="50"/>
      <c r="Q1701" s="50"/>
      <c r="R1701" s="50"/>
    </row>
    <row r="1702" spans="1:18" x14ac:dyDescent="0.25">
      <c r="C1702" s="50"/>
      <c r="D1702" s="50"/>
      <c r="E1702" s="50"/>
      <c r="F1702" s="50"/>
      <c r="G1702" s="50"/>
      <c r="H1702" s="50"/>
      <c r="I1702" s="50"/>
      <c r="J1702" s="50"/>
      <c r="K1702" s="50"/>
      <c r="L1702" s="50"/>
      <c r="M1702" s="50"/>
      <c r="N1702" s="50"/>
      <c r="O1702" s="50"/>
      <c r="P1702" s="50"/>
      <c r="Q1702" s="50"/>
      <c r="R1702" s="50"/>
    </row>
    <row r="1703" spans="1:18" x14ac:dyDescent="0.25">
      <c r="A1703" s="41" t="s">
        <v>216</v>
      </c>
      <c r="C1703" s="50"/>
      <c r="D1703" s="50"/>
      <c r="E1703" s="50"/>
      <c r="F1703" s="51">
        <f>SUM(F1701:F1702)</f>
        <v>294703</v>
      </c>
      <c r="G1703" s="51">
        <f t="shared" ref="G1703" si="968">SUM(G1701:G1702)</f>
        <v>251</v>
      </c>
      <c r="H1703" s="50"/>
      <c r="I1703" s="50"/>
      <c r="J1703" s="50"/>
      <c r="K1703" s="50"/>
      <c r="L1703" s="50"/>
      <c r="M1703" s="50"/>
      <c r="N1703" s="50"/>
      <c r="O1703" s="50"/>
      <c r="P1703" s="50"/>
      <c r="Q1703" s="50"/>
      <c r="R1703" s="50"/>
    </row>
    <row r="1704" spans="1:18" x14ac:dyDescent="0.25">
      <c r="C1704" s="50"/>
      <c r="D1704" s="50"/>
      <c r="E1704" s="50"/>
      <c r="F1704" s="50"/>
      <c r="G1704" s="50"/>
      <c r="H1704" s="50"/>
      <c r="I1704" s="50"/>
      <c r="J1704" s="50"/>
      <c r="K1704" s="50"/>
      <c r="L1704" s="50"/>
      <c r="M1704" s="50"/>
      <c r="N1704" s="50"/>
      <c r="O1704" s="50"/>
      <c r="P1704" s="50"/>
      <c r="Q1704" s="50"/>
      <c r="R1704" s="50"/>
    </row>
    <row r="1705" spans="1:18" x14ac:dyDescent="0.25">
      <c r="A1705" s="41" t="s">
        <v>165</v>
      </c>
      <c r="B1705" s="44"/>
      <c r="C1705" s="50"/>
      <c r="D1705" s="50"/>
      <c r="E1705" s="50"/>
      <c r="F1705" s="50"/>
      <c r="G1705" s="50"/>
      <c r="H1705" s="50"/>
      <c r="I1705" s="50"/>
      <c r="J1705" s="50"/>
      <c r="K1705" s="50"/>
      <c r="L1705" s="50"/>
      <c r="M1705" s="50"/>
      <c r="N1705" s="50"/>
      <c r="O1705" s="50"/>
      <c r="P1705" s="50"/>
      <c r="Q1705" s="50"/>
      <c r="R1705" s="50"/>
    </row>
    <row r="1706" spans="1:18" x14ac:dyDescent="0.25">
      <c r="C1706" s="50"/>
      <c r="D1706" s="50"/>
      <c r="E1706" s="50"/>
      <c r="F1706" s="50"/>
      <c r="G1706" s="50"/>
      <c r="H1706" s="50"/>
      <c r="I1706" s="50"/>
      <c r="J1706" s="50"/>
      <c r="K1706" s="50"/>
      <c r="L1706" s="50"/>
      <c r="M1706" s="50"/>
      <c r="N1706" s="50"/>
      <c r="O1706" s="50"/>
      <c r="P1706" s="50"/>
      <c r="Q1706" s="50"/>
      <c r="R1706" s="50"/>
    </row>
    <row r="1707" spans="1:18" x14ac:dyDescent="0.25">
      <c r="A1707" s="43" t="s">
        <v>217</v>
      </c>
      <c r="C1707" s="54">
        <v>281671</v>
      </c>
      <c r="D1707" s="54">
        <v>288685</v>
      </c>
      <c r="E1707" s="43">
        <v>292766</v>
      </c>
      <c r="F1707" s="43">
        <v>280539</v>
      </c>
      <c r="G1707" s="43">
        <v>298942</v>
      </c>
      <c r="H1707" s="43">
        <v>324400</v>
      </c>
      <c r="I1707" s="50">
        <f>H1707*1.025</f>
        <v>332510</v>
      </c>
      <c r="J1707" s="50">
        <f>I1707*1.029</f>
        <v>342152.79</v>
      </c>
      <c r="K1707" s="54">
        <f>J1707*1.031</f>
        <v>352759.52648999996</v>
      </c>
      <c r="L1707" s="54">
        <f>K1707*1.033</f>
        <v>364400.59086416994</v>
      </c>
      <c r="M1707" s="54">
        <f>L1707*1.032</f>
        <v>376061.40977182338</v>
      </c>
      <c r="N1707" s="54">
        <f>M1707*1.03</f>
        <v>387343.25206497812</v>
      </c>
      <c r="O1707" s="54">
        <f>N1707*1.032</f>
        <v>399738.23613105743</v>
      </c>
      <c r="P1707" s="54">
        <f>O1707*1.034</f>
        <v>413329.33615951339</v>
      </c>
      <c r="Q1707" s="54">
        <f>P1707*1.034</f>
        <v>427382.53358893684</v>
      </c>
      <c r="R1707" s="54">
        <f>Q1707*1.034</f>
        <v>441913.53973096074</v>
      </c>
    </row>
    <row r="1708" spans="1:18" x14ac:dyDescent="0.25">
      <c r="A1708" s="43" t="s">
        <v>1077</v>
      </c>
      <c r="C1708" s="54">
        <v>0</v>
      </c>
      <c r="D1708" s="54">
        <v>0</v>
      </c>
      <c r="E1708" s="43">
        <v>17</v>
      </c>
      <c r="F1708" s="54">
        <v>0</v>
      </c>
      <c r="G1708" s="54">
        <v>90</v>
      </c>
      <c r="H1708" s="54">
        <v>100</v>
      </c>
      <c r="I1708" s="54">
        <f>H1708*1.023</f>
        <v>102.3</v>
      </c>
      <c r="J1708" s="54">
        <f>I1708*1.024</f>
        <v>104.7552</v>
      </c>
      <c r="K1708" s="54">
        <f>J1708*1.024</f>
        <v>107.26932480000001</v>
      </c>
      <c r="L1708" s="54">
        <f>K1708*1.023</f>
        <v>109.7365192704</v>
      </c>
      <c r="M1708" s="54">
        <f>L1708*1.022</f>
        <v>112.1507226943488</v>
      </c>
      <c r="N1708" s="54">
        <f>M1708*1.023</f>
        <v>114.73018931631881</v>
      </c>
      <c r="O1708" s="54">
        <f>N1708*1.025</f>
        <v>117.59844404922677</v>
      </c>
      <c r="P1708" s="54">
        <f>O1708*1.025</f>
        <v>120.53840515045744</v>
      </c>
      <c r="Q1708" s="54">
        <f>P1708*1.024</f>
        <v>123.43132687406842</v>
      </c>
      <c r="R1708" s="54">
        <f>Q1708*1.024</f>
        <v>126.39367871904606</v>
      </c>
    </row>
    <row r="1709" spans="1:18" x14ac:dyDescent="0.25">
      <c r="A1709" s="43" t="s">
        <v>220</v>
      </c>
      <c r="C1709" s="50">
        <v>31467</v>
      </c>
      <c r="D1709" s="54">
        <v>39376</v>
      </c>
      <c r="E1709" s="43">
        <v>40564</v>
      </c>
      <c r="F1709" s="54">
        <v>32799</v>
      </c>
      <c r="G1709" s="54">
        <v>40194</v>
      </c>
      <c r="H1709" s="54">
        <v>39300</v>
      </c>
      <c r="I1709" s="50">
        <f>H1709*1.025</f>
        <v>40282.5</v>
      </c>
      <c r="J1709" s="50">
        <f>I1709*1.029</f>
        <v>41450.692499999997</v>
      </c>
      <c r="K1709" s="54">
        <f>J1709*1.031</f>
        <v>42735.663967499997</v>
      </c>
      <c r="L1709" s="54">
        <f>K1709*1.033</f>
        <v>44145.940878427493</v>
      </c>
      <c r="M1709" s="54">
        <f>L1709*1.032</f>
        <v>45558.610986537176</v>
      </c>
      <c r="N1709" s="54">
        <f>M1709*1.03</f>
        <v>46925.369316133292</v>
      </c>
      <c r="O1709" s="54">
        <f>N1709*1.032</f>
        <v>48426.98113424956</v>
      </c>
      <c r="P1709" s="54">
        <f>O1709*1.034</f>
        <v>50073.498492814047</v>
      </c>
      <c r="Q1709" s="54">
        <f>P1709*1.034</f>
        <v>51775.997441569729</v>
      </c>
      <c r="R1709" s="54">
        <f>Q1709*1.034</f>
        <v>53536.3813545831</v>
      </c>
    </row>
    <row r="1710" spans="1:18" x14ac:dyDescent="0.25">
      <c r="A1710" s="52" t="s">
        <v>226</v>
      </c>
      <c r="B1710" s="53"/>
      <c r="C1710" s="54">
        <v>1336</v>
      </c>
      <c r="D1710" s="54">
        <v>837</v>
      </c>
      <c r="E1710" s="43">
        <v>1155</v>
      </c>
      <c r="F1710" s="54">
        <v>1260</v>
      </c>
      <c r="G1710" s="54">
        <v>1214</v>
      </c>
      <c r="H1710" s="54">
        <v>2000</v>
      </c>
      <c r="I1710" s="54">
        <f t="shared" ref="I1710:I1713" si="969">H1710*1.023</f>
        <v>2045.9999999999998</v>
      </c>
      <c r="J1710" s="54">
        <f t="shared" ref="J1710:K1713" si="970">I1710*1.024</f>
        <v>2095.1039999999998</v>
      </c>
      <c r="K1710" s="54">
        <f t="shared" si="970"/>
        <v>2145.3864960000001</v>
      </c>
      <c r="L1710" s="54">
        <f t="shared" ref="L1710:L1713" si="971">K1710*1.023</f>
        <v>2194.7303854080001</v>
      </c>
      <c r="M1710" s="54">
        <f t="shared" ref="M1710:M1713" si="972">L1710*1.022</f>
        <v>2243.0144538869763</v>
      </c>
      <c r="N1710" s="54">
        <f t="shared" ref="N1710:N1713" si="973">M1710*1.023</f>
        <v>2294.6037863263764</v>
      </c>
      <c r="O1710" s="54">
        <f t="shared" ref="O1710:P1713" si="974">N1710*1.025</f>
        <v>2351.9688809845356</v>
      </c>
      <c r="P1710" s="54">
        <f t="shared" si="974"/>
        <v>2410.7681030091489</v>
      </c>
      <c r="Q1710" s="54">
        <f t="shared" ref="Q1710:R1713" si="975">P1710*1.024</f>
        <v>2468.6265374813684</v>
      </c>
      <c r="R1710" s="54">
        <f t="shared" si="975"/>
        <v>2527.8735743809211</v>
      </c>
    </row>
    <row r="1711" spans="1:18" x14ac:dyDescent="0.25">
      <c r="A1711" s="52" t="s">
        <v>1078</v>
      </c>
      <c r="B1711" s="53"/>
      <c r="C1711" s="54">
        <v>13965</v>
      </c>
      <c r="D1711" s="54">
        <v>14037</v>
      </c>
      <c r="E1711" s="43">
        <v>13799</v>
      </c>
      <c r="F1711" s="54">
        <v>14548</v>
      </c>
      <c r="G1711" s="54">
        <v>13841</v>
      </c>
      <c r="H1711" s="54">
        <v>16000</v>
      </c>
      <c r="I1711" s="54">
        <f t="shared" si="969"/>
        <v>16367.999999999998</v>
      </c>
      <c r="J1711" s="54">
        <f t="shared" si="970"/>
        <v>16760.831999999999</v>
      </c>
      <c r="K1711" s="54">
        <f t="shared" si="970"/>
        <v>17163.091968000001</v>
      </c>
      <c r="L1711" s="54">
        <f t="shared" si="971"/>
        <v>17557.843083264001</v>
      </c>
      <c r="M1711" s="54">
        <f t="shared" si="972"/>
        <v>17944.11563109581</v>
      </c>
      <c r="N1711" s="54">
        <f t="shared" si="973"/>
        <v>18356.830290611011</v>
      </c>
      <c r="O1711" s="54">
        <f t="shared" si="974"/>
        <v>18815.751047876285</v>
      </c>
      <c r="P1711" s="54">
        <f t="shared" si="974"/>
        <v>19286.144824073192</v>
      </c>
      <c r="Q1711" s="54">
        <f t="shared" si="975"/>
        <v>19749.012299850947</v>
      </c>
      <c r="R1711" s="54">
        <f t="shared" si="975"/>
        <v>20222.988595047369</v>
      </c>
    </row>
    <row r="1712" spans="1:18" x14ac:dyDescent="0.25">
      <c r="A1712" s="52" t="s">
        <v>1079</v>
      </c>
      <c r="B1712" s="53"/>
      <c r="C1712" s="54">
        <v>111026</v>
      </c>
      <c r="D1712" s="54">
        <v>116831</v>
      </c>
      <c r="E1712" s="50">
        <v>130797</v>
      </c>
      <c r="F1712" s="52">
        <v>138208</v>
      </c>
      <c r="G1712" s="52">
        <v>149746</v>
      </c>
      <c r="H1712" s="52">
        <v>230000</v>
      </c>
      <c r="I1712" s="54">
        <f t="shared" si="969"/>
        <v>235289.99999999997</v>
      </c>
      <c r="J1712" s="54">
        <f t="shared" si="970"/>
        <v>240936.95999999996</v>
      </c>
      <c r="K1712" s="54">
        <f t="shared" si="970"/>
        <v>246719.44703999997</v>
      </c>
      <c r="L1712" s="54">
        <f t="shared" si="971"/>
        <v>252393.99432191995</v>
      </c>
      <c r="M1712" s="54">
        <f t="shared" si="972"/>
        <v>257946.66219700218</v>
      </c>
      <c r="N1712" s="54">
        <f t="shared" si="973"/>
        <v>263879.43542753323</v>
      </c>
      <c r="O1712" s="54">
        <f t="shared" si="974"/>
        <v>270476.42131322151</v>
      </c>
      <c r="P1712" s="54">
        <f t="shared" si="974"/>
        <v>277238.33184605202</v>
      </c>
      <c r="Q1712" s="54">
        <f t="shared" si="975"/>
        <v>283892.05181035725</v>
      </c>
      <c r="R1712" s="54">
        <f t="shared" si="975"/>
        <v>290705.46105380583</v>
      </c>
    </row>
    <row r="1713" spans="1:18" x14ac:dyDescent="0.25">
      <c r="A1713" s="52" t="s">
        <v>1080</v>
      </c>
      <c r="B1713" s="53"/>
      <c r="C1713" s="54"/>
      <c r="D1713" s="54"/>
      <c r="E1713" s="50"/>
      <c r="F1713" s="52"/>
      <c r="G1713" s="52"/>
      <c r="H1713" s="50">
        <v>10000</v>
      </c>
      <c r="I1713" s="54">
        <f t="shared" si="969"/>
        <v>10230</v>
      </c>
      <c r="J1713" s="54">
        <f t="shared" si="970"/>
        <v>10475.52</v>
      </c>
      <c r="K1713" s="54">
        <f t="shared" si="970"/>
        <v>10726.932480000001</v>
      </c>
      <c r="L1713" s="54">
        <f t="shared" si="971"/>
        <v>10973.65192704</v>
      </c>
      <c r="M1713" s="54">
        <f t="shared" si="972"/>
        <v>11215.072269434881</v>
      </c>
      <c r="N1713" s="54">
        <f t="shared" si="973"/>
        <v>11473.018931631881</v>
      </c>
      <c r="O1713" s="54">
        <f t="shared" si="974"/>
        <v>11759.844404922676</v>
      </c>
      <c r="P1713" s="54">
        <f t="shared" si="974"/>
        <v>12053.840515045742</v>
      </c>
      <c r="Q1713" s="54">
        <f t="shared" si="975"/>
        <v>12343.13268740684</v>
      </c>
      <c r="R1713" s="54">
        <f t="shared" si="975"/>
        <v>12639.367871904604</v>
      </c>
    </row>
    <row r="1714" spans="1:18" x14ac:dyDescent="0.25">
      <c r="A1714" s="52" t="s">
        <v>1081</v>
      </c>
      <c r="B1714" s="53"/>
      <c r="C1714" s="54"/>
      <c r="D1714" s="54"/>
      <c r="E1714" s="50"/>
      <c r="F1714" s="52"/>
      <c r="G1714" s="52"/>
      <c r="H1714" s="50">
        <v>45000</v>
      </c>
      <c r="I1714" s="50">
        <f>H1714*1.025</f>
        <v>46124.999999999993</v>
      </c>
      <c r="J1714" s="50">
        <f>I1714*1.029</f>
        <v>47462.624999999985</v>
      </c>
      <c r="K1714" s="54">
        <f>J1714*1.031</f>
        <v>48933.966374999982</v>
      </c>
      <c r="L1714" s="54">
        <f>K1714*1.033</f>
        <v>50548.78726537498</v>
      </c>
      <c r="M1714" s="54">
        <f>L1714*1.032</f>
        <v>52166.348457866981</v>
      </c>
      <c r="N1714" s="54">
        <f>M1714*1.03</f>
        <v>53731.338911602994</v>
      </c>
      <c r="O1714" s="54">
        <f>N1714*1.032</f>
        <v>55450.741756774289</v>
      </c>
      <c r="P1714" s="54">
        <f>O1714*1.034</f>
        <v>57336.066976504619</v>
      </c>
      <c r="Q1714" s="54">
        <f>P1714*1.034</f>
        <v>59285.493253705776</v>
      </c>
      <c r="R1714" s="54">
        <f>Q1714*1.034</f>
        <v>61301.200024331774</v>
      </c>
    </row>
    <row r="1715" spans="1:18" s="43" customFormat="1" x14ac:dyDescent="0.25">
      <c r="A1715" s="59" t="s">
        <v>1076</v>
      </c>
      <c r="B1715" s="53"/>
      <c r="C1715" s="50"/>
      <c r="D1715" s="50"/>
      <c r="E1715" s="50"/>
      <c r="F1715" s="122">
        <v>294703</v>
      </c>
      <c r="G1715" s="52"/>
      <c r="H1715" s="50"/>
      <c r="I1715" s="50"/>
      <c r="J1715" s="50"/>
      <c r="K1715" s="50"/>
      <c r="L1715" s="50"/>
      <c r="M1715" s="50"/>
      <c r="N1715" s="50"/>
      <c r="O1715" s="50"/>
      <c r="P1715" s="50"/>
      <c r="Q1715" s="50"/>
      <c r="R1715" s="50"/>
    </row>
    <row r="1716" spans="1:18" x14ac:dyDescent="0.25">
      <c r="C1716" s="50"/>
      <c r="D1716" s="50"/>
      <c r="E1716" s="50"/>
      <c r="F1716" s="50"/>
      <c r="G1716" s="50"/>
      <c r="H1716" s="50"/>
      <c r="I1716" s="50"/>
      <c r="J1716" s="50"/>
      <c r="K1716" s="50"/>
      <c r="L1716" s="50"/>
      <c r="M1716" s="50"/>
      <c r="N1716" s="50"/>
      <c r="O1716" s="50"/>
      <c r="P1716" s="50"/>
      <c r="Q1716" s="50"/>
      <c r="R1716" s="50"/>
    </row>
    <row r="1717" spans="1:18" x14ac:dyDescent="0.25">
      <c r="A1717" s="41" t="s">
        <v>230</v>
      </c>
      <c r="B1717" s="44"/>
      <c r="C1717" s="51">
        <f t="shared" ref="C1717" si="976">SUM(C1707:C1716)</f>
        <v>439465</v>
      </c>
      <c r="D1717" s="51">
        <f t="shared" ref="D1717:E1717" si="977">SUM(D1707:D1716)</f>
        <v>459766</v>
      </c>
      <c r="E1717" s="51">
        <f t="shared" si="977"/>
        <v>479098</v>
      </c>
      <c r="F1717" s="51">
        <f>SUM(F1707:F1716)</f>
        <v>762057</v>
      </c>
      <c r="G1717" s="51">
        <f>SUM(G1707:G1716)</f>
        <v>504027</v>
      </c>
      <c r="H1717" s="51">
        <f t="shared" ref="H1717:R1717" si="978">SUM(H1707:H1716)</f>
        <v>666800</v>
      </c>
      <c r="I1717" s="51">
        <f t="shared" si="978"/>
        <v>682953.79999999993</v>
      </c>
      <c r="J1717" s="51">
        <f t="shared" si="978"/>
        <v>701439.27869999991</v>
      </c>
      <c r="K1717" s="51">
        <f t="shared" si="978"/>
        <v>721291.28414129978</v>
      </c>
      <c r="L1717" s="51">
        <f t="shared" si="978"/>
        <v>742325.27524487476</v>
      </c>
      <c r="M1717" s="51">
        <f t="shared" si="978"/>
        <v>763247.38449034176</v>
      </c>
      <c r="N1717" s="51">
        <f t="shared" si="978"/>
        <v>784118.57891813328</v>
      </c>
      <c r="O1717" s="51">
        <f t="shared" si="978"/>
        <v>807137.54311313538</v>
      </c>
      <c r="P1717" s="51">
        <f t="shared" si="978"/>
        <v>831848.52532216266</v>
      </c>
      <c r="Q1717" s="51">
        <f t="shared" si="978"/>
        <v>857020.27894618292</v>
      </c>
      <c r="R1717" s="51">
        <f t="shared" si="978"/>
        <v>882973.20588373346</v>
      </c>
    </row>
    <row r="1718" spans="1:18" x14ac:dyDescent="0.25">
      <c r="C1718" s="50"/>
      <c r="D1718" s="50"/>
      <c r="E1718" s="50"/>
      <c r="F1718" s="50"/>
      <c r="G1718" s="50"/>
      <c r="H1718" s="50"/>
      <c r="I1718" s="50"/>
      <c r="J1718" s="50"/>
      <c r="K1718" s="50"/>
      <c r="L1718" s="50"/>
      <c r="M1718" s="50"/>
      <c r="N1718" s="50"/>
      <c r="O1718" s="50"/>
      <c r="P1718" s="50"/>
      <c r="Q1718" s="50"/>
      <c r="R1718" s="50"/>
    </row>
    <row r="1719" spans="1:18" x14ac:dyDescent="0.25">
      <c r="A1719" s="41" t="s">
        <v>171</v>
      </c>
      <c r="B1719" s="44"/>
      <c r="C1719" s="50"/>
      <c r="D1719" s="50"/>
      <c r="E1719" s="50"/>
      <c r="F1719" s="50"/>
      <c r="G1719" s="50"/>
      <c r="H1719" s="50"/>
      <c r="I1719" s="50"/>
      <c r="J1719" s="50"/>
      <c r="K1719" s="50"/>
      <c r="L1719" s="50"/>
      <c r="M1719" s="50"/>
      <c r="N1719" s="50"/>
      <c r="O1719" s="50"/>
      <c r="P1719" s="50"/>
      <c r="Q1719" s="50"/>
      <c r="R1719" s="50"/>
    </row>
    <row r="1720" spans="1:18" x14ac:dyDescent="0.25">
      <c r="C1720" s="50"/>
      <c r="D1720" s="50"/>
      <c r="E1720" s="50"/>
      <c r="F1720" s="50"/>
      <c r="G1720" s="50"/>
      <c r="H1720" s="50"/>
      <c r="I1720" s="50"/>
      <c r="J1720" s="50"/>
      <c r="K1720" s="50"/>
      <c r="L1720" s="50"/>
      <c r="M1720" s="50"/>
      <c r="N1720" s="50"/>
      <c r="O1720" s="50"/>
      <c r="P1720" s="50"/>
      <c r="Q1720" s="50"/>
      <c r="R1720" s="50"/>
    </row>
    <row r="1721" spans="1:18" x14ac:dyDescent="0.25">
      <c r="A1721" s="43" t="s">
        <v>1082</v>
      </c>
      <c r="C1721" s="50"/>
      <c r="D1721" s="50"/>
      <c r="E1721" s="50"/>
      <c r="F1721" s="50"/>
      <c r="G1721" s="50"/>
      <c r="H1721" s="50"/>
      <c r="I1721" s="50"/>
      <c r="J1721" s="50"/>
      <c r="K1721" s="50"/>
      <c r="L1721" s="50"/>
      <c r="M1721" s="50"/>
      <c r="N1721" s="50"/>
      <c r="O1721" s="50"/>
      <c r="P1721" s="50"/>
      <c r="Q1721" s="50"/>
      <c r="R1721" s="50"/>
    </row>
    <row r="1722" spans="1:18" x14ac:dyDescent="0.25">
      <c r="A1722" s="43" t="s">
        <v>1083</v>
      </c>
      <c r="C1722" s="54">
        <v>30104</v>
      </c>
      <c r="D1722" s="50">
        <v>30357</v>
      </c>
      <c r="E1722" s="50">
        <v>6902</v>
      </c>
      <c r="F1722" s="50">
        <v>7390</v>
      </c>
      <c r="G1722" s="50">
        <v>40562</v>
      </c>
      <c r="H1722" s="50">
        <v>70000</v>
      </c>
      <c r="I1722" s="50">
        <v>47000</v>
      </c>
      <c r="J1722" s="50">
        <v>25000</v>
      </c>
      <c r="K1722" s="50">
        <v>70000</v>
      </c>
      <c r="L1722" s="50">
        <v>64000</v>
      </c>
      <c r="M1722" s="50">
        <v>25000</v>
      </c>
      <c r="N1722" s="50">
        <v>45000</v>
      </c>
      <c r="O1722" s="50">
        <v>25000</v>
      </c>
      <c r="P1722" s="50">
        <v>25000</v>
      </c>
      <c r="Q1722" s="50">
        <v>25000</v>
      </c>
      <c r="R1722" s="50">
        <v>25000</v>
      </c>
    </row>
    <row r="1723" spans="1:18" x14ac:dyDescent="0.25">
      <c r="A1723" s="43" t="s">
        <v>1084</v>
      </c>
      <c r="C1723" s="54">
        <v>29233</v>
      </c>
      <c r="D1723" s="50">
        <v>13340</v>
      </c>
      <c r="E1723" s="43">
        <v>16749</v>
      </c>
      <c r="F1723" s="50">
        <v>6600</v>
      </c>
      <c r="G1723" s="50">
        <v>47663.5</v>
      </c>
      <c r="H1723" s="50">
        <v>30000</v>
      </c>
      <c r="I1723" s="50"/>
      <c r="J1723" s="50">
        <v>30000</v>
      </c>
      <c r="K1723" s="50">
        <v>30000</v>
      </c>
      <c r="L1723" s="50">
        <v>30000</v>
      </c>
      <c r="M1723" s="50">
        <v>30000</v>
      </c>
      <c r="N1723" s="50">
        <v>45000</v>
      </c>
      <c r="O1723" s="50">
        <v>30000</v>
      </c>
      <c r="P1723" s="50">
        <v>30000</v>
      </c>
      <c r="Q1723" s="50">
        <v>30000</v>
      </c>
      <c r="R1723" s="50">
        <v>30000</v>
      </c>
    </row>
    <row r="1724" spans="1:18" x14ac:dyDescent="0.25">
      <c r="A1724" s="43" t="s">
        <v>1085</v>
      </c>
      <c r="C1724" s="54"/>
      <c r="D1724" s="50"/>
      <c r="F1724" s="50"/>
      <c r="G1724" s="50"/>
      <c r="H1724" s="50"/>
      <c r="I1724" s="50">
        <v>45000</v>
      </c>
      <c r="J1724" s="50"/>
      <c r="K1724" s="50"/>
      <c r="L1724" s="50"/>
      <c r="M1724" s="50"/>
      <c r="N1724" s="50"/>
      <c r="O1724" s="50"/>
      <c r="P1724" s="50"/>
      <c r="Q1724" s="50"/>
      <c r="R1724" s="50"/>
    </row>
    <row r="1725" spans="1:18" x14ac:dyDescent="0.25">
      <c r="A1725" s="52" t="s">
        <v>1086</v>
      </c>
      <c r="C1725" s="54"/>
      <c r="D1725" s="50"/>
      <c r="F1725" s="50"/>
      <c r="G1725" s="50"/>
      <c r="H1725" s="50"/>
      <c r="I1725" s="50"/>
      <c r="J1725" s="50"/>
      <c r="K1725" s="50"/>
      <c r="L1725" s="50"/>
      <c r="M1725" s="50"/>
      <c r="N1725" s="50"/>
      <c r="O1725" s="50"/>
      <c r="P1725" s="50"/>
      <c r="Q1725" s="50"/>
      <c r="R1725" s="50"/>
    </row>
    <row r="1726" spans="1:18" x14ac:dyDescent="0.25">
      <c r="A1726" s="43" t="s">
        <v>1087</v>
      </c>
      <c r="B1726" s="53"/>
      <c r="C1726" s="68"/>
      <c r="D1726" s="50"/>
      <c r="E1726" s="43">
        <v>0</v>
      </c>
      <c r="F1726" s="50"/>
      <c r="G1726" s="50"/>
      <c r="H1726" s="50"/>
      <c r="I1726" s="50"/>
      <c r="J1726" s="50"/>
      <c r="K1726" s="50"/>
      <c r="L1726" s="50"/>
      <c r="M1726" s="50"/>
      <c r="N1726" s="50"/>
      <c r="O1726" s="50"/>
      <c r="P1726" s="50"/>
      <c r="Q1726" s="50"/>
      <c r="R1726" s="50"/>
    </row>
    <row r="1727" spans="1:18" x14ac:dyDescent="0.25">
      <c r="A1727" s="43" t="s">
        <v>1088</v>
      </c>
      <c r="B1727" s="53"/>
      <c r="C1727" s="54">
        <v>24830</v>
      </c>
      <c r="D1727" s="50">
        <v>0</v>
      </c>
      <c r="E1727" s="43">
        <v>0</v>
      </c>
      <c r="F1727" s="50">
        <v>0</v>
      </c>
      <c r="G1727" s="50">
        <v>0</v>
      </c>
      <c r="H1727" s="50">
        <v>65000</v>
      </c>
      <c r="I1727" s="50">
        <v>0</v>
      </c>
      <c r="J1727" s="50">
        <v>0</v>
      </c>
      <c r="K1727" s="50">
        <v>0</v>
      </c>
      <c r="L1727" s="50">
        <v>0</v>
      </c>
      <c r="M1727" s="50">
        <v>0</v>
      </c>
      <c r="N1727" s="50">
        <v>0</v>
      </c>
      <c r="O1727" s="50">
        <v>0</v>
      </c>
      <c r="P1727" s="50">
        <v>0</v>
      </c>
      <c r="Q1727" s="50">
        <v>0</v>
      </c>
      <c r="R1727" s="50">
        <v>0</v>
      </c>
    </row>
    <row r="1728" spans="1:18" x14ac:dyDescent="0.25">
      <c r="A1728" s="43" t="s">
        <v>1089</v>
      </c>
      <c r="B1728" s="53"/>
      <c r="C1728" s="68"/>
      <c r="D1728" s="50">
        <v>0</v>
      </c>
      <c r="E1728" s="43">
        <v>0</v>
      </c>
      <c r="F1728" s="50">
        <v>0</v>
      </c>
      <c r="G1728" s="50">
        <v>0</v>
      </c>
      <c r="H1728" s="50">
        <v>0</v>
      </c>
      <c r="I1728" s="50">
        <v>0</v>
      </c>
      <c r="J1728" s="50">
        <v>0</v>
      </c>
      <c r="K1728" s="50">
        <v>0</v>
      </c>
      <c r="L1728" s="50">
        <v>0</v>
      </c>
      <c r="M1728" s="50">
        <v>0</v>
      </c>
      <c r="N1728" s="50">
        <v>0</v>
      </c>
      <c r="O1728" s="50">
        <v>0</v>
      </c>
      <c r="P1728" s="50">
        <v>0</v>
      </c>
      <c r="Q1728" s="50">
        <v>0</v>
      </c>
      <c r="R1728" s="50">
        <v>0</v>
      </c>
    </row>
    <row r="1729" spans="1:18" x14ac:dyDescent="0.25">
      <c r="A1729" s="52" t="s">
        <v>1090</v>
      </c>
      <c r="B1729" s="53"/>
      <c r="C1729" s="59"/>
      <c r="D1729" s="50">
        <v>4975</v>
      </c>
      <c r="E1729" s="43">
        <v>0</v>
      </c>
      <c r="F1729" s="50"/>
      <c r="G1729" s="50"/>
      <c r="H1729" s="50">
        <v>56000</v>
      </c>
      <c r="I1729" s="50">
        <v>0</v>
      </c>
      <c r="J1729" s="50"/>
      <c r="K1729" s="50"/>
      <c r="L1729" s="50"/>
      <c r="M1729" s="50"/>
      <c r="N1729" s="50"/>
      <c r="O1729" s="50"/>
      <c r="P1729" s="50"/>
      <c r="Q1729" s="50"/>
      <c r="R1729" s="50"/>
    </row>
    <row r="1730" spans="1:18" x14ac:dyDescent="0.25">
      <c r="A1730" s="52" t="s">
        <v>1091</v>
      </c>
      <c r="B1730" s="53"/>
      <c r="C1730" s="59"/>
      <c r="D1730" s="50"/>
      <c r="F1730" s="50"/>
      <c r="G1730" s="50"/>
      <c r="H1730" s="50">
        <v>300000</v>
      </c>
      <c r="I1730" s="50">
        <v>0</v>
      </c>
      <c r="J1730" s="50"/>
      <c r="K1730" s="50"/>
      <c r="L1730" s="50"/>
      <c r="M1730" s="50"/>
      <c r="N1730" s="50"/>
      <c r="O1730" s="50"/>
      <c r="P1730" s="50"/>
      <c r="Q1730" s="50"/>
      <c r="R1730" s="50"/>
    </row>
    <row r="1731" spans="1:18" x14ac:dyDescent="0.25">
      <c r="A1731" s="43" t="s">
        <v>1092</v>
      </c>
      <c r="B1731" s="53"/>
      <c r="C1731" s="50"/>
      <c r="D1731" s="50"/>
      <c r="E1731" s="43">
        <v>16281</v>
      </c>
      <c r="F1731" s="50"/>
      <c r="G1731" s="50"/>
      <c r="H1731" s="50"/>
      <c r="I1731" s="50"/>
      <c r="J1731" s="50"/>
      <c r="K1731" s="50"/>
      <c r="L1731" s="50"/>
      <c r="M1731" s="50"/>
      <c r="N1731" s="50"/>
      <c r="O1731" s="50"/>
      <c r="P1731" s="50"/>
      <c r="Q1731" s="50"/>
      <c r="R1731" s="50"/>
    </row>
    <row r="1732" spans="1:18" x14ac:dyDescent="0.25">
      <c r="A1732" s="43" t="s">
        <v>1093</v>
      </c>
      <c r="B1732" s="53"/>
      <c r="C1732" s="50"/>
      <c r="D1732" s="50">
        <v>0</v>
      </c>
      <c r="E1732" s="43">
        <v>0</v>
      </c>
      <c r="F1732" s="50"/>
      <c r="G1732" s="50"/>
      <c r="H1732" s="50"/>
      <c r="I1732" s="50"/>
      <c r="J1732" s="50"/>
      <c r="K1732" s="50"/>
      <c r="L1732" s="50"/>
      <c r="M1732" s="50"/>
      <c r="N1732" s="50"/>
      <c r="O1732" s="50"/>
      <c r="P1732" s="50"/>
      <c r="Q1732" s="50"/>
      <c r="R1732" s="50"/>
    </row>
    <row r="1733" spans="1:18" x14ac:dyDescent="0.25">
      <c r="A1733" s="43" t="s">
        <v>1094</v>
      </c>
      <c r="B1733" s="53"/>
      <c r="C1733" s="50">
        <v>0</v>
      </c>
      <c r="D1733" s="50">
        <v>18800</v>
      </c>
      <c r="E1733" s="43">
        <v>0</v>
      </c>
      <c r="F1733" s="50"/>
      <c r="G1733" s="50"/>
      <c r="H1733" s="50"/>
      <c r="I1733" s="50"/>
      <c r="J1733" s="50"/>
      <c r="K1733" s="50"/>
      <c r="L1733" s="50"/>
      <c r="M1733" s="50"/>
      <c r="N1733" s="50"/>
      <c r="O1733" s="50"/>
      <c r="P1733" s="50"/>
      <c r="Q1733" s="50"/>
      <c r="R1733" s="50"/>
    </row>
    <row r="1734" spans="1:18" x14ac:dyDescent="0.25">
      <c r="A1734" s="43" t="s">
        <v>1095</v>
      </c>
      <c r="B1734" s="53"/>
      <c r="C1734" s="50"/>
      <c r="D1734" s="50"/>
      <c r="E1734" s="43">
        <v>0</v>
      </c>
      <c r="F1734" s="50"/>
      <c r="G1734" s="50"/>
      <c r="H1734" s="50"/>
      <c r="I1734" s="50"/>
      <c r="J1734" s="50"/>
      <c r="K1734" s="50"/>
      <c r="L1734" s="50"/>
      <c r="M1734" s="50"/>
      <c r="N1734" s="50"/>
      <c r="O1734" s="50"/>
      <c r="P1734" s="50"/>
      <c r="Q1734" s="50"/>
      <c r="R1734" s="50"/>
    </row>
    <row r="1735" spans="1:18" x14ac:dyDescent="0.25">
      <c r="A1735" s="43" t="s">
        <v>1096</v>
      </c>
      <c r="B1735" s="53"/>
      <c r="C1735" s="50">
        <v>50404</v>
      </c>
      <c r="D1735" s="50">
        <v>0</v>
      </c>
      <c r="E1735" s="43">
        <v>1500</v>
      </c>
      <c r="F1735" s="50"/>
      <c r="G1735" s="50"/>
      <c r="H1735" s="50"/>
      <c r="I1735" s="50"/>
      <c r="J1735" s="50"/>
      <c r="K1735" s="50"/>
      <c r="L1735" s="50"/>
      <c r="M1735" s="50"/>
      <c r="N1735" s="50"/>
      <c r="O1735" s="50"/>
      <c r="P1735" s="50"/>
      <c r="Q1735" s="50"/>
      <c r="R1735" s="50"/>
    </row>
    <row r="1736" spans="1:18" x14ac:dyDescent="0.25">
      <c r="A1736" s="109" t="s">
        <v>1097</v>
      </c>
      <c r="B1736" s="53"/>
      <c r="C1736" s="50"/>
      <c r="D1736" s="50"/>
      <c r="F1736" s="50"/>
      <c r="G1736" s="50">
        <v>0</v>
      </c>
      <c r="H1736" s="50">
        <v>60000</v>
      </c>
      <c r="I1736" s="50"/>
      <c r="J1736" s="50"/>
      <c r="K1736" s="50"/>
      <c r="L1736" s="50"/>
      <c r="M1736" s="50"/>
      <c r="N1736" s="50"/>
      <c r="O1736" s="50"/>
      <c r="P1736" s="50"/>
      <c r="Q1736" s="50"/>
      <c r="R1736" s="50"/>
    </row>
    <row r="1737" spans="1:18" x14ac:dyDescent="0.25">
      <c r="C1737" s="50"/>
      <c r="D1737" s="50"/>
      <c r="E1737" s="50"/>
      <c r="F1737" s="50"/>
      <c r="G1737" s="50"/>
      <c r="H1737" s="50"/>
      <c r="I1737" s="50"/>
      <c r="J1737" s="50"/>
      <c r="K1737" s="50"/>
      <c r="L1737" s="50"/>
      <c r="M1737" s="50"/>
      <c r="N1737" s="50"/>
      <c r="O1737" s="50"/>
      <c r="P1737" s="50"/>
      <c r="Q1737" s="50"/>
      <c r="R1737" s="50"/>
    </row>
    <row r="1738" spans="1:18" x14ac:dyDescent="0.25">
      <c r="A1738" s="41" t="s">
        <v>107</v>
      </c>
      <c r="B1738" s="44"/>
      <c r="C1738" s="51">
        <f t="shared" ref="C1738:R1738" si="979">SUM(C1721:C1737)</f>
        <v>134571</v>
      </c>
      <c r="D1738" s="51">
        <f t="shared" si="979"/>
        <v>67472</v>
      </c>
      <c r="E1738" s="51">
        <f t="shared" si="979"/>
        <v>41432</v>
      </c>
      <c r="F1738" s="51">
        <f t="shared" si="979"/>
        <v>13990</v>
      </c>
      <c r="G1738" s="51">
        <f>SUM(G1721:G1737)</f>
        <v>88225.5</v>
      </c>
      <c r="H1738" s="51">
        <f t="shared" si="979"/>
        <v>581000</v>
      </c>
      <c r="I1738" s="51">
        <f t="shared" si="979"/>
        <v>92000</v>
      </c>
      <c r="J1738" s="51">
        <f t="shared" si="979"/>
        <v>55000</v>
      </c>
      <c r="K1738" s="51">
        <f t="shared" si="979"/>
        <v>100000</v>
      </c>
      <c r="L1738" s="51">
        <f t="shared" si="979"/>
        <v>94000</v>
      </c>
      <c r="M1738" s="51">
        <f t="shared" si="979"/>
        <v>55000</v>
      </c>
      <c r="N1738" s="51">
        <f t="shared" si="979"/>
        <v>90000</v>
      </c>
      <c r="O1738" s="51">
        <f t="shared" si="979"/>
        <v>55000</v>
      </c>
      <c r="P1738" s="51">
        <f t="shared" si="979"/>
        <v>55000</v>
      </c>
      <c r="Q1738" s="51">
        <f t="shared" si="979"/>
        <v>55000</v>
      </c>
      <c r="R1738" s="51">
        <f t="shared" si="979"/>
        <v>55000</v>
      </c>
    </row>
    <row r="1739" spans="1:18" x14ac:dyDescent="0.25">
      <c r="C1739" s="50"/>
      <c r="D1739" s="50"/>
      <c r="E1739" s="50"/>
      <c r="F1739" s="50"/>
      <c r="G1739" s="50"/>
      <c r="H1739" s="50"/>
      <c r="I1739" s="50"/>
      <c r="J1739" s="50"/>
      <c r="K1739" s="50"/>
      <c r="L1739" s="50"/>
      <c r="M1739" s="50"/>
      <c r="N1739" s="50"/>
      <c r="O1739" s="50"/>
      <c r="P1739" s="50"/>
      <c r="Q1739" s="50"/>
      <c r="R1739" s="50"/>
    </row>
    <row r="1740" spans="1:18" x14ac:dyDescent="0.25">
      <c r="A1740" s="41" t="s">
        <v>1098</v>
      </c>
      <c r="B1740" s="44"/>
      <c r="C1740" s="51">
        <f>C1738+C1717</f>
        <v>574036</v>
      </c>
      <c r="D1740" s="51">
        <f>D1738+D1717</f>
        <v>527238</v>
      </c>
      <c r="E1740" s="51">
        <f>E1738+E1717</f>
        <v>520530</v>
      </c>
      <c r="F1740" s="51">
        <f>F1738+F1717-F1703</f>
        <v>481344</v>
      </c>
      <c r="G1740" s="51">
        <f>G1738+G1717-G1703</f>
        <v>592001.5</v>
      </c>
      <c r="H1740" s="51">
        <f t="shared" ref="H1740:R1740" si="980">H1738+H1717</f>
        <v>1247800</v>
      </c>
      <c r="I1740" s="51">
        <f t="shared" si="980"/>
        <v>774953.79999999993</v>
      </c>
      <c r="J1740" s="51">
        <f t="shared" si="980"/>
        <v>756439.27869999991</v>
      </c>
      <c r="K1740" s="51">
        <f t="shared" si="980"/>
        <v>821291.28414129978</v>
      </c>
      <c r="L1740" s="51">
        <f t="shared" si="980"/>
        <v>836325.27524487476</v>
      </c>
      <c r="M1740" s="51">
        <f t="shared" si="980"/>
        <v>818247.38449034176</v>
      </c>
      <c r="N1740" s="51">
        <f t="shared" si="980"/>
        <v>874118.57891813328</v>
      </c>
      <c r="O1740" s="51">
        <f t="shared" si="980"/>
        <v>862137.54311313538</v>
      </c>
      <c r="P1740" s="51">
        <f t="shared" si="980"/>
        <v>886848.52532216266</v>
      </c>
      <c r="Q1740" s="51">
        <f t="shared" si="980"/>
        <v>912020.27894618292</v>
      </c>
      <c r="R1740" s="51">
        <f t="shared" si="980"/>
        <v>937973.20588373346</v>
      </c>
    </row>
    <row r="1741" spans="1:18" x14ac:dyDescent="0.25">
      <c r="C1741" s="50"/>
      <c r="D1741" s="50"/>
      <c r="E1741" s="50"/>
      <c r="F1741" s="50"/>
      <c r="G1741" s="50"/>
      <c r="H1741" s="50"/>
      <c r="I1741" s="50"/>
      <c r="J1741" s="50"/>
      <c r="K1741" s="50"/>
      <c r="L1741" s="50"/>
      <c r="M1741" s="50"/>
      <c r="N1741" s="50"/>
      <c r="O1741" s="50"/>
      <c r="P1741" s="50"/>
      <c r="Q1741" s="50"/>
      <c r="R1741" s="50"/>
    </row>
    <row r="1742" spans="1:18" x14ac:dyDescent="0.25">
      <c r="C1742" s="50"/>
      <c r="D1742" s="50"/>
      <c r="E1742" s="50"/>
      <c r="F1742" s="50"/>
      <c r="G1742" s="50"/>
      <c r="H1742" s="50"/>
      <c r="I1742" s="50"/>
      <c r="J1742" s="50"/>
      <c r="K1742" s="50"/>
      <c r="L1742" s="50"/>
      <c r="M1742" s="50"/>
      <c r="N1742" s="50"/>
      <c r="O1742" s="50"/>
      <c r="P1742" s="50"/>
      <c r="Q1742" s="50"/>
      <c r="R1742" s="50"/>
    </row>
    <row r="1743" spans="1:18" x14ac:dyDescent="0.25">
      <c r="A1743" s="41" t="s">
        <v>1099</v>
      </c>
      <c r="B1743" s="44"/>
      <c r="C1743" s="50"/>
      <c r="D1743" s="50"/>
      <c r="E1743" s="50"/>
      <c r="F1743" s="50"/>
      <c r="G1743" s="50"/>
      <c r="H1743" s="50"/>
      <c r="I1743" s="50"/>
      <c r="J1743" s="50"/>
      <c r="K1743" s="50"/>
      <c r="L1743" s="50"/>
      <c r="M1743" s="50"/>
      <c r="N1743" s="50"/>
      <c r="O1743" s="50"/>
      <c r="P1743" s="50"/>
      <c r="Q1743" s="50"/>
      <c r="R1743" s="50"/>
    </row>
    <row r="1744" spans="1:18" x14ac:dyDescent="0.25">
      <c r="A1744" s="41"/>
      <c r="B1744" s="44"/>
      <c r="C1744" s="50"/>
      <c r="D1744" s="50"/>
      <c r="E1744" s="50"/>
      <c r="F1744" s="50"/>
      <c r="G1744" s="50"/>
      <c r="H1744" s="50"/>
      <c r="I1744" s="50"/>
      <c r="J1744" s="50"/>
      <c r="K1744" s="50"/>
      <c r="L1744" s="50"/>
      <c r="M1744" s="50"/>
      <c r="N1744" s="50"/>
      <c r="O1744" s="50"/>
      <c r="P1744" s="50"/>
      <c r="Q1744" s="50"/>
      <c r="R1744" s="50"/>
    </row>
    <row r="1745" spans="1:18" x14ac:dyDescent="0.25">
      <c r="A1745" s="41" t="s">
        <v>202</v>
      </c>
      <c r="B1745" s="44"/>
      <c r="C1745" s="50"/>
      <c r="D1745" s="50"/>
      <c r="E1745" s="50"/>
      <c r="F1745" s="50"/>
      <c r="G1745" s="50"/>
      <c r="H1745" s="50"/>
      <c r="I1745" s="50"/>
      <c r="J1745" s="50"/>
      <c r="K1745" s="50"/>
      <c r="L1745" s="50"/>
      <c r="M1745" s="50"/>
      <c r="N1745" s="50"/>
      <c r="O1745" s="50"/>
      <c r="P1745" s="50"/>
      <c r="Q1745" s="50"/>
      <c r="R1745" s="50"/>
    </row>
    <row r="1746" spans="1:18" x14ac:dyDescent="0.25">
      <c r="A1746" s="41"/>
      <c r="B1746" s="44"/>
      <c r="C1746" s="50"/>
      <c r="D1746" s="50"/>
      <c r="E1746" s="50"/>
      <c r="F1746" s="50"/>
      <c r="G1746" s="50"/>
      <c r="H1746" s="50"/>
      <c r="I1746" s="50"/>
      <c r="J1746" s="50"/>
      <c r="K1746" s="50"/>
      <c r="L1746" s="50"/>
      <c r="M1746" s="50"/>
      <c r="N1746" s="50"/>
      <c r="O1746" s="50"/>
      <c r="P1746" s="50"/>
      <c r="Q1746" s="50"/>
      <c r="R1746" s="50"/>
    </row>
    <row r="1747" spans="1:18" x14ac:dyDescent="0.25">
      <c r="A1747" s="52" t="s">
        <v>1100</v>
      </c>
      <c r="B1747" s="53"/>
      <c r="C1747" s="54">
        <v>15930</v>
      </c>
      <c r="D1747" s="54">
        <v>18037</v>
      </c>
      <c r="E1747" s="43">
        <v>16866</v>
      </c>
      <c r="F1747" s="54">
        <v>26694</v>
      </c>
      <c r="G1747" s="54">
        <v>15240</v>
      </c>
      <c r="H1747" s="54">
        <v>15500</v>
      </c>
      <c r="I1747" s="54">
        <f t="shared" ref="I1747" si="981">H1747*1.023</f>
        <v>15856.499999999998</v>
      </c>
      <c r="J1747" s="54">
        <f t="shared" ref="J1747:K1747" si="982">I1747*1.024</f>
        <v>16237.055999999999</v>
      </c>
      <c r="K1747" s="54">
        <f t="shared" si="982"/>
        <v>16626.745343999999</v>
      </c>
      <c r="L1747" s="54">
        <f t="shared" ref="L1747" si="983">K1747*1.023</f>
        <v>17009.160486911998</v>
      </c>
      <c r="M1747" s="54">
        <f t="shared" ref="M1747" si="984">L1747*1.022</f>
        <v>17383.362017624062</v>
      </c>
      <c r="N1747" s="54">
        <f t="shared" ref="N1747" si="985">M1747*1.023</f>
        <v>17783.179344029413</v>
      </c>
      <c r="O1747" s="54">
        <f t="shared" ref="O1747:P1747" si="986">N1747*1.025</f>
        <v>18227.758827630147</v>
      </c>
      <c r="P1747" s="54">
        <f t="shared" si="986"/>
        <v>18683.452798320897</v>
      </c>
      <c r="Q1747" s="54">
        <f t="shared" ref="Q1747:R1747" si="987">P1747*1.024</f>
        <v>19131.855665480598</v>
      </c>
      <c r="R1747" s="54">
        <f t="shared" si="987"/>
        <v>19591.020201452131</v>
      </c>
    </row>
    <row r="1748" spans="1:18" x14ac:dyDescent="0.25">
      <c r="A1748" s="52" t="s">
        <v>1101</v>
      </c>
      <c r="B1748" s="53"/>
      <c r="C1748" s="54">
        <v>9279</v>
      </c>
      <c r="D1748" s="54"/>
      <c r="E1748" s="54"/>
      <c r="F1748" s="54">
        <v>12107</v>
      </c>
      <c r="G1748" s="54"/>
      <c r="H1748" s="54"/>
      <c r="I1748" s="54"/>
      <c r="J1748" s="54"/>
      <c r="K1748" s="54"/>
      <c r="L1748" s="54"/>
      <c r="M1748" s="54"/>
      <c r="N1748" s="54"/>
      <c r="O1748" s="54"/>
      <c r="P1748" s="54"/>
      <c r="Q1748" s="54"/>
      <c r="R1748" s="54"/>
    </row>
    <row r="1749" spans="1:18" x14ac:dyDescent="0.25">
      <c r="A1749" s="41"/>
      <c r="B1749" s="44"/>
      <c r="C1749" s="50"/>
      <c r="D1749" s="50"/>
      <c r="E1749" s="50"/>
      <c r="F1749" s="50"/>
      <c r="G1749" s="50"/>
      <c r="H1749" s="50"/>
      <c r="I1749" s="50"/>
      <c r="J1749" s="50"/>
      <c r="K1749" s="50"/>
      <c r="L1749" s="50"/>
      <c r="M1749" s="50"/>
      <c r="N1749" s="50"/>
      <c r="O1749" s="50"/>
      <c r="P1749" s="50"/>
      <c r="Q1749" s="50"/>
      <c r="R1749" s="50"/>
    </row>
    <row r="1750" spans="1:18" x14ac:dyDescent="0.25">
      <c r="A1750" s="41" t="s">
        <v>216</v>
      </c>
      <c r="B1750" s="44"/>
      <c r="C1750" s="51">
        <f t="shared" ref="C1750" si="988">SUM(C1747:C1749)</f>
        <v>25209</v>
      </c>
      <c r="D1750" s="51">
        <f t="shared" ref="D1750:R1750" si="989">SUM(D1747:D1749)</f>
        <v>18037</v>
      </c>
      <c r="E1750" s="51">
        <f t="shared" si="989"/>
        <v>16866</v>
      </c>
      <c r="F1750" s="51">
        <f t="shared" si="989"/>
        <v>38801</v>
      </c>
      <c r="G1750" s="51">
        <f t="shared" si="989"/>
        <v>15240</v>
      </c>
      <c r="H1750" s="51">
        <f t="shared" si="989"/>
        <v>15500</v>
      </c>
      <c r="I1750" s="51">
        <f t="shared" si="989"/>
        <v>15856.499999999998</v>
      </c>
      <c r="J1750" s="51">
        <f t="shared" si="989"/>
        <v>16237.055999999999</v>
      </c>
      <c r="K1750" s="51">
        <f t="shared" si="989"/>
        <v>16626.745343999999</v>
      </c>
      <c r="L1750" s="51">
        <f t="shared" si="989"/>
        <v>17009.160486911998</v>
      </c>
      <c r="M1750" s="51">
        <f t="shared" si="989"/>
        <v>17383.362017624062</v>
      </c>
      <c r="N1750" s="51">
        <f t="shared" si="989"/>
        <v>17783.179344029413</v>
      </c>
      <c r="O1750" s="51">
        <f t="shared" si="989"/>
        <v>18227.758827630147</v>
      </c>
      <c r="P1750" s="51">
        <f t="shared" si="989"/>
        <v>18683.452798320897</v>
      </c>
      <c r="Q1750" s="51">
        <f t="shared" si="989"/>
        <v>19131.855665480598</v>
      </c>
      <c r="R1750" s="51">
        <f t="shared" si="989"/>
        <v>19591.020201452131</v>
      </c>
    </row>
    <row r="1751" spans="1:18" x14ac:dyDescent="0.25">
      <c r="A1751" s="41"/>
      <c r="B1751" s="44"/>
      <c r="C1751" s="50"/>
      <c r="D1751" s="50"/>
      <c r="E1751" s="50"/>
      <c r="F1751" s="50"/>
      <c r="G1751" s="50"/>
      <c r="H1751" s="50"/>
      <c r="I1751" s="50"/>
      <c r="J1751" s="50"/>
      <c r="K1751" s="50"/>
      <c r="L1751" s="50"/>
      <c r="M1751" s="50"/>
      <c r="N1751" s="50"/>
      <c r="O1751" s="50"/>
      <c r="P1751" s="50"/>
      <c r="Q1751" s="50"/>
      <c r="R1751" s="50"/>
    </row>
    <row r="1752" spans="1:18" x14ac:dyDescent="0.25">
      <c r="A1752" s="41" t="s">
        <v>165</v>
      </c>
      <c r="B1752" s="44"/>
      <c r="C1752" s="50"/>
      <c r="D1752" s="50"/>
      <c r="E1752" s="50"/>
      <c r="F1752" s="50"/>
      <c r="G1752" s="50"/>
      <c r="H1752" s="50"/>
      <c r="I1752" s="50"/>
      <c r="J1752" s="50"/>
      <c r="K1752" s="50"/>
      <c r="L1752" s="50"/>
      <c r="M1752" s="50"/>
      <c r="N1752" s="50"/>
      <c r="O1752" s="50"/>
      <c r="P1752" s="50"/>
      <c r="Q1752" s="50"/>
      <c r="R1752" s="50"/>
    </row>
    <row r="1753" spans="1:18" x14ac:dyDescent="0.25">
      <c r="A1753" s="41"/>
      <c r="B1753" s="44"/>
      <c r="C1753" s="50"/>
      <c r="D1753" s="50"/>
      <c r="E1753" s="50"/>
      <c r="F1753" s="50"/>
      <c r="G1753" s="50"/>
      <c r="H1753" s="50"/>
      <c r="I1753" s="50"/>
      <c r="J1753" s="50"/>
      <c r="K1753" s="50"/>
      <c r="L1753" s="50"/>
      <c r="M1753" s="50"/>
      <c r="N1753" s="50"/>
      <c r="O1753" s="50"/>
      <c r="P1753" s="50"/>
      <c r="Q1753" s="50"/>
      <c r="R1753" s="50"/>
    </row>
    <row r="1754" spans="1:18" x14ac:dyDescent="0.25">
      <c r="A1754" s="43" t="s">
        <v>217</v>
      </c>
      <c r="C1754" s="54">
        <f>148169+25</f>
        <v>148194</v>
      </c>
      <c r="D1754" s="54">
        <f>166266+93</f>
        <v>166359</v>
      </c>
      <c r="E1754" s="43">
        <v>158870</v>
      </c>
      <c r="F1754" s="52">
        <v>181971</v>
      </c>
      <c r="G1754" s="52">
        <v>192691</v>
      </c>
      <c r="H1754" s="52">
        <v>189300</v>
      </c>
      <c r="I1754" s="50">
        <f>H1754*1.025</f>
        <v>194032.49999999997</v>
      </c>
      <c r="J1754" s="50">
        <f>I1754*1.029</f>
        <v>199659.44249999995</v>
      </c>
      <c r="K1754" s="54">
        <f>J1754*1.031</f>
        <v>205848.88521749992</v>
      </c>
      <c r="L1754" s="54">
        <f>K1754*1.033</f>
        <v>212641.89842967741</v>
      </c>
      <c r="M1754" s="54">
        <f>L1754*1.032</f>
        <v>219446.43917942711</v>
      </c>
      <c r="N1754" s="54">
        <f>M1754*1.03</f>
        <v>226029.83235480991</v>
      </c>
      <c r="O1754" s="54">
        <f>N1754*1.032</f>
        <v>233262.78699016385</v>
      </c>
      <c r="P1754" s="54">
        <f t="shared" ref="P1754:R1755" si="990">O1754*1.034</f>
        <v>241193.72174782943</v>
      </c>
      <c r="Q1754" s="54">
        <f t="shared" si="990"/>
        <v>249394.30828725564</v>
      </c>
      <c r="R1754" s="54">
        <f t="shared" si="990"/>
        <v>257873.71476902234</v>
      </c>
    </row>
    <row r="1755" spans="1:18" x14ac:dyDescent="0.25">
      <c r="A1755" s="43" t="s">
        <v>220</v>
      </c>
      <c r="C1755" s="50">
        <v>17408</v>
      </c>
      <c r="D1755" s="54">
        <v>24136</v>
      </c>
      <c r="E1755" s="43">
        <v>24567</v>
      </c>
      <c r="F1755" s="54">
        <v>18077</v>
      </c>
      <c r="G1755" s="54">
        <v>28568</v>
      </c>
      <c r="H1755" s="54">
        <v>22700</v>
      </c>
      <c r="I1755" s="50">
        <f>H1755*1.025</f>
        <v>23267.499999999996</v>
      </c>
      <c r="J1755" s="50">
        <f>I1755*1.029</f>
        <v>23942.257499999996</v>
      </c>
      <c r="K1755" s="54">
        <f>J1755*1.031</f>
        <v>24684.467482499993</v>
      </c>
      <c r="L1755" s="54">
        <f>K1755*1.033</f>
        <v>25499.054909422492</v>
      </c>
      <c r="M1755" s="54">
        <f>L1755*1.032</f>
        <v>26315.024666524012</v>
      </c>
      <c r="N1755" s="54">
        <f>M1755*1.03</f>
        <v>27104.475406519734</v>
      </c>
      <c r="O1755" s="54">
        <f>N1755*1.032</f>
        <v>27971.818619528367</v>
      </c>
      <c r="P1755" s="54">
        <f t="shared" si="990"/>
        <v>28922.860452592333</v>
      </c>
      <c r="Q1755" s="54">
        <f t="shared" si="990"/>
        <v>29906.237707980472</v>
      </c>
      <c r="R1755" s="54">
        <f t="shared" si="990"/>
        <v>30923.049790051809</v>
      </c>
    </row>
    <row r="1756" spans="1:18" x14ac:dyDescent="0.25">
      <c r="A1756" s="52" t="s">
        <v>1102</v>
      </c>
      <c r="B1756" s="53"/>
      <c r="C1756" s="54">
        <v>19370</v>
      </c>
      <c r="D1756" s="54">
        <v>13251</v>
      </c>
      <c r="E1756" s="43">
        <v>5779</v>
      </c>
      <c r="F1756" s="54">
        <v>20768</v>
      </c>
      <c r="G1756" s="54">
        <v>5059</v>
      </c>
      <c r="H1756" s="54">
        <v>15500</v>
      </c>
      <c r="I1756" s="54">
        <f t="shared" ref="I1756:I1757" si="991">H1756*1.023</f>
        <v>15856.499999999998</v>
      </c>
      <c r="J1756" s="54">
        <f t="shared" ref="J1756:K1757" si="992">I1756*1.024</f>
        <v>16237.055999999999</v>
      </c>
      <c r="K1756" s="54">
        <f t="shared" si="992"/>
        <v>16626.745343999999</v>
      </c>
      <c r="L1756" s="54">
        <f t="shared" ref="L1756:L1757" si="993">K1756*1.023</f>
        <v>17009.160486911998</v>
      </c>
      <c r="M1756" s="54">
        <f t="shared" ref="M1756:M1757" si="994">L1756*1.022</f>
        <v>17383.362017624062</v>
      </c>
      <c r="N1756" s="54">
        <f t="shared" ref="N1756:N1757" si="995">M1756*1.023</f>
        <v>17783.179344029413</v>
      </c>
      <c r="O1756" s="54">
        <f t="shared" ref="O1756:P1757" si="996">N1756*1.025</f>
        <v>18227.758827630147</v>
      </c>
      <c r="P1756" s="54">
        <f t="shared" si="996"/>
        <v>18683.452798320897</v>
      </c>
      <c r="Q1756" s="54">
        <f t="shared" ref="Q1756:R1757" si="997">P1756*1.024</f>
        <v>19131.855665480598</v>
      </c>
      <c r="R1756" s="54">
        <f t="shared" si="997"/>
        <v>19591.020201452131</v>
      </c>
    </row>
    <row r="1757" spans="1:18" x14ac:dyDescent="0.25">
      <c r="A1757" s="43" t="s">
        <v>1103</v>
      </c>
      <c r="C1757" s="54">
        <f>46409+5</f>
        <v>46414</v>
      </c>
      <c r="D1757" s="54">
        <v>40115</v>
      </c>
      <c r="E1757" s="43">
        <v>57607</v>
      </c>
      <c r="F1757" s="54">
        <v>35319</v>
      </c>
      <c r="G1757" s="50">
        <v>43897</v>
      </c>
      <c r="H1757" s="50">
        <f>53000-1000-2000</f>
        <v>50000</v>
      </c>
      <c r="I1757" s="54">
        <f t="shared" si="991"/>
        <v>51149.999999999993</v>
      </c>
      <c r="J1757" s="54">
        <f t="shared" si="992"/>
        <v>52377.599999999991</v>
      </c>
      <c r="K1757" s="54">
        <f t="shared" si="992"/>
        <v>53634.662399999994</v>
      </c>
      <c r="L1757" s="54">
        <f t="shared" si="993"/>
        <v>54868.259635199989</v>
      </c>
      <c r="M1757" s="54">
        <f t="shared" si="994"/>
        <v>56075.361347174388</v>
      </c>
      <c r="N1757" s="54">
        <f t="shared" si="995"/>
        <v>57365.094658159396</v>
      </c>
      <c r="O1757" s="54">
        <f t="shared" si="996"/>
        <v>58799.222024613373</v>
      </c>
      <c r="P1757" s="54">
        <f t="shared" si="996"/>
        <v>60269.202575228701</v>
      </c>
      <c r="Q1757" s="54">
        <f t="shared" si="997"/>
        <v>61715.663437034193</v>
      </c>
      <c r="R1757" s="54">
        <f t="shared" si="997"/>
        <v>63196.839359523015</v>
      </c>
    </row>
    <row r="1758" spans="1:18" x14ac:dyDescent="0.25">
      <c r="A1758" s="43" t="s">
        <v>1104</v>
      </c>
      <c r="C1758" s="54">
        <v>3484</v>
      </c>
      <c r="D1758" s="54">
        <v>4380</v>
      </c>
      <c r="E1758" s="43">
        <v>15158</v>
      </c>
      <c r="F1758" s="54">
        <v>9363</v>
      </c>
      <c r="G1758" s="54">
        <v>2493</v>
      </c>
      <c r="H1758" s="54">
        <v>20000</v>
      </c>
      <c r="I1758" s="50">
        <f>H1758*1.025</f>
        <v>20500</v>
      </c>
      <c r="J1758" s="50">
        <f>I1758*1.029</f>
        <v>21094.5</v>
      </c>
      <c r="K1758" s="54">
        <f>J1758*1.031</f>
        <v>21748.429499999998</v>
      </c>
      <c r="L1758" s="54">
        <f>K1758*1.033</f>
        <v>22466.127673499996</v>
      </c>
      <c r="M1758" s="54">
        <f>L1758*1.032</f>
        <v>23185.043759051998</v>
      </c>
      <c r="N1758" s="54">
        <f>M1758*1.03</f>
        <v>23880.595071823558</v>
      </c>
      <c r="O1758" s="54">
        <f>N1758*1.032</f>
        <v>24644.774114121912</v>
      </c>
      <c r="P1758" s="54">
        <f>O1758*1.034</f>
        <v>25482.696434002057</v>
      </c>
      <c r="Q1758" s="54">
        <f>P1758*1.034</f>
        <v>26349.108112758127</v>
      </c>
      <c r="R1758" s="54">
        <f>Q1758*1.034</f>
        <v>27244.977788591903</v>
      </c>
    </row>
    <row r="1759" spans="1:18" x14ac:dyDescent="0.25">
      <c r="A1759" s="43" t="s">
        <v>1105</v>
      </c>
      <c r="C1759" s="54">
        <v>0</v>
      </c>
      <c r="D1759" s="54">
        <f>C1759*1.038</f>
        <v>0</v>
      </c>
      <c r="E1759" s="43">
        <f>1188-1188</f>
        <v>0</v>
      </c>
      <c r="F1759" s="54">
        <v>0</v>
      </c>
      <c r="G1759" s="54">
        <v>0</v>
      </c>
      <c r="H1759" s="54">
        <v>0</v>
      </c>
      <c r="I1759" s="54">
        <v>0</v>
      </c>
      <c r="J1759" s="54">
        <v>0</v>
      </c>
      <c r="K1759" s="54">
        <v>0</v>
      </c>
      <c r="L1759" s="54">
        <v>0</v>
      </c>
      <c r="M1759" s="54">
        <v>0</v>
      </c>
      <c r="N1759" s="54">
        <v>0</v>
      </c>
      <c r="O1759" s="54">
        <v>0</v>
      </c>
      <c r="P1759" s="54">
        <v>0</v>
      </c>
      <c r="Q1759" s="54">
        <f>P1759*1.042</f>
        <v>0</v>
      </c>
      <c r="R1759" s="54">
        <f>Q1759*1.042</f>
        <v>0</v>
      </c>
    </row>
    <row r="1760" spans="1:18" x14ac:dyDescent="0.25">
      <c r="A1760" s="43" t="s">
        <v>1106</v>
      </c>
      <c r="C1760" s="54">
        <v>802</v>
      </c>
      <c r="D1760" s="54">
        <v>5928</v>
      </c>
      <c r="E1760" s="43">
        <v>11330</v>
      </c>
      <c r="F1760" s="54">
        <v>7480</v>
      </c>
      <c r="G1760" s="54">
        <v>0</v>
      </c>
      <c r="H1760" s="54">
        <v>11000</v>
      </c>
      <c r="I1760" s="54">
        <f t="shared" ref="I1760:I1761" si="998">H1760*1.023</f>
        <v>11252.999999999998</v>
      </c>
      <c r="J1760" s="54">
        <f t="shared" ref="J1760:K1761" si="999">I1760*1.024</f>
        <v>11523.071999999998</v>
      </c>
      <c r="K1760" s="54">
        <f t="shared" si="999"/>
        <v>11799.625727999999</v>
      </c>
      <c r="L1760" s="54">
        <f t="shared" ref="L1760:L1761" si="1000">K1760*1.023</f>
        <v>12071.017119743998</v>
      </c>
      <c r="M1760" s="54">
        <f t="shared" ref="M1760:M1761" si="1001">L1760*1.022</f>
        <v>12336.579496378366</v>
      </c>
      <c r="N1760" s="54">
        <f t="shared" ref="N1760:N1761" si="1002">M1760*1.023</f>
        <v>12620.320824795068</v>
      </c>
      <c r="O1760" s="54">
        <f t="shared" ref="O1760:P1761" si="1003">N1760*1.025</f>
        <v>12935.828845414944</v>
      </c>
      <c r="P1760" s="54">
        <f t="shared" si="1003"/>
        <v>13259.224566550316</v>
      </c>
      <c r="Q1760" s="54">
        <f t="shared" ref="Q1760:R1761" si="1004">P1760*1.024</f>
        <v>13577.445956147523</v>
      </c>
      <c r="R1760" s="54">
        <f t="shared" si="1004"/>
        <v>13903.304659095063</v>
      </c>
    </row>
    <row r="1761" spans="1:18" x14ac:dyDescent="0.25">
      <c r="A1761" s="52" t="s">
        <v>226</v>
      </c>
      <c r="B1761" s="53"/>
      <c r="C1761" s="54">
        <v>0</v>
      </c>
      <c r="D1761" s="54">
        <v>44</v>
      </c>
      <c r="E1761" s="43">
        <v>0</v>
      </c>
      <c r="F1761" s="54">
        <v>8</v>
      </c>
      <c r="G1761" s="54">
        <v>705</v>
      </c>
      <c r="H1761" s="54">
        <v>800</v>
      </c>
      <c r="I1761" s="54">
        <f t="shared" si="998"/>
        <v>818.4</v>
      </c>
      <c r="J1761" s="54">
        <f t="shared" si="999"/>
        <v>838.04160000000002</v>
      </c>
      <c r="K1761" s="54">
        <f t="shared" si="999"/>
        <v>858.15459840000005</v>
      </c>
      <c r="L1761" s="54">
        <f t="shared" si="1000"/>
        <v>877.89215416319996</v>
      </c>
      <c r="M1761" s="54">
        <f t="shared" si="1001"/>
        <v>897.20578155479041</v>
      </c>
      <c r="N1761" s="54">
        <f t="shared" si="1002"/>
        <v>917.84151453055051</v>
      </c>
      <c r="O1761" s="54">
        <f t="shared" si="1003"/>
        <v>940.78755239381417</v>
      </c>
      <c r="P1761" s="54">
        <f t="shared" si="1003"/>
        <v>964.30724120365949</v>
      </c>
      <c r="Q1761" s="54">
        <f t="shared" si="1004"/>
        <v>987.45061499254734</v>
      </c>
      <c r="R1761" s="54">
        <f t="shared" si="1004"/>
        <v>1011.1494297523685</v>
      </c>
    </row>
    <row r="1762" spans="1:18" x14ac:dyDescent="0.25">
      <c r="A1762" s="52" t="s">
        <v>1107</v>
      </c>
      <c r="B1762" s="53"/>
      <c r="C1762" s="59"/>
      <c r="D1762" s="50"/>
      <c r="E1762" s="43">
        <v>0</v>
      </c>
      <c r="F1762" s="50"/>
      <c r="G1762" s="50"/>
      <c r="H1762" s="50"/>
      <c r="I1762" s="50"/>
      <c r="J1762" s="50"/>
      <c r="K1762" s="50"/>
      <c r="L1762" s="50"/>
      <c r="M1762" s="50"/>
      <c r="N1762" s="50"/>
      <c r="O1762" s="50"/>
      <c r="P1762" s="50"/>
      <c r="Q1762" s="50"/>
      <c r="R1762" s="50"/>
    </row>
    <row r="1763" spans="1:18" x14ac:dyDescent="0.25">
      <c r="A1763" s="43" t="s">
        <v>1108</v>
      </c>
      <c r="C1763" s="50">
        <v>20496</v>
      </c>
      <c r="D1763" s="54">
        <v>19472</v>
      </c>
      <c r="E1763" s="43">
        <v>21424</v>
      </c>
      <c r="F1763" s="54">
        <v>18084</v>
      </c>
      <c r="G1763" s="54">
        <v>94614</v>
      </c>
      <c r="H1763" s="54">
        <v>46700</v>
      </c>
      <c r="I1763" s="50">
        <f>H1763*1.025</f>
        <v>47867.499999999993</v>
      </c>
      <c r="J1763" s="50">
        <f>I1763*1.029</f>
        <v>49255.657499999987</v>
      </c>
      <c r="K1763" s="54">
        <f>J1763*1.031</f>
        <v>50782.582882499984</v>
      </c>
      <c r="L1763" s="54">
        <f>K1763*1.033</f>
        <v>52458.408117622479</v>
      </c>
      <c r="M1763" s="54">
        <f>L1763*1.032</f>
        <v>54137.077177386403</v>
      </c>
      <c r="N1763" s="54">
        <f>M1763*1.03</f>
        <v>55761.189492707999</v>
      </c>
      <c r="O1763" s="54">
        <f>N1763*1.032</f>
        <v>57545.547556474659</v>
      </c>
      <c r="P1763" s="54">
        <f t="shared" ref="P1763:R1766" si="1005">O1763*1.034</f>
        <v>59502.096173394799</v>
      </c>
      <c r="Q1763" s="54">
        <f t="shared" si="1005"/>
        <v>61525.167443290222</v>
      </c>
      <c r="R1763" s="54">
        <f t="shared" si="1005"/>
        <v>63617.023136362091</v>
      </c>
    </row>
    <row r="1764" spans="1:18" x14ac:dyDescent="0.25">
      <c r="A1764" s="43" t="s">
        <v>1109</v>
      </c>
      <c r="B1764" s="53"/>
      <c r="C1764" s="50">
        <v>506919</v>
      </c>
      <c r="D1764" s="54">
        <v>536218</v>
      </c>
      <c r="E1764" s="50">
        <f>565560-282.75+62.73</f>
        <v>565339.98</v>
      </c>
      <c r="F1764" s="50">
        <v>511389</v>
      </c>
      <c r="G1764" s="50">
        <v>505577</v>
      </c>
      <c r="H1764" s="50">
        <v>584300</v>
      </c>
      <c r="I1764" s="50">
        <f>H1764*1.025</f>
        <v>598907.5</v>
      </c>
      <c r="J1764" s="50">
        <f>I1764*1.029</f>
        <v>616275.8175</v>
      </c>
      <c r="K1764" s="54">
        <f>J1764*(1.031+0.053)</f>
        <v>668042.98616999993</v>
      </c>
      <c r="L1764" s="54">
        <f>K1764*(1.033+0.05)</f>
        <v>723490.55402210995</v>
      </c>
      <c r="M1764" s="54">
        <f>L1764*(1.032+0.048)</f>
        <v>781369.79834387882</v>
      </c>
      <c r="N1764" s="54">
        <f>M1764*(1.03+0.045)</f>
        <v>839972.53321966971</v>
      </c>
      <c r="O1764" s="54">
        <f>N1764*(1.032+0.043)</f>
        <v>902970.47321114491</v>
      </c>
      <c r="P1764" s="54">
        <f t="shared" si="1005"/>
        <v>933671.46930032386</v>
      </c>
      <c r="Q1764" s="54">
        <f t="shared" si="1005"/>
        <v>965416.2992565349</v>
      </c>
      <c r="R1764" s="54">
        <f t="shared" si="1005"/>
        <v>998240.45343125716</v>
      </c>
    </row>
    <row r="1765" spans="1:18" x14ac:dyDescent="0.25">
      <c r="A1765" s="43" t="s">
        <v>1110</v>
      </c>
      <c r="C1765" s="50">
        <v>39811</v>
      </c>
      <c r="D1765" s="54">
        <v>55549</v>
      </c>
      <c r="E1765" s="50">
        <f>40753+678.08</f>
        <v>41431.08</v>
      </c>
      <c r="F1765" s="54">
        <v>51401</v>
      </c>
      <c r="G1765" s="54">
        <v>54991</v>
      </c>
      <c r="H1765" s="54">
        <v>52600</v>
      </c>
      <c r="I1765" s="50">
        <f t="shared" ref="I1765:I1766" si="1006">H1765*1.025</f>
        <v>53914.999999999993</v>
      </c>
      <c r="J1765" s="50">
        <f t="shared" ref="J1765:J1766" si="1007">I1765*1.029</f>
        <v>55478.534999999989</v>
      </c>
      <c r="K1765" s="54">
        <f t="shared" ref="K1765:K1766" si="1008">J1765*1.031</f>
        <v>57198.369584999986</v>
      </c>
      <c r="L1765" s="54">
        <f t="shared" ref="L1765:L1766" si="1009">K1765*1.033</f>
        <v>59085.915781304982</v>
      </c>
      <c r="M1765" s="54">
        <f t="shared" ref="M1765:M1766" si="1010">L1765*1.032</f>
        <v>60976.665086306741</v>
      </c>
      <c r="N1765" s="54">
        <f t="shared" ref="N1765:N1766" si="1011">M1765*1.03</f>
        <v>62805.965038895942</v>
      </c>
      <c r="O1765" s="54">
        <f t="shared" ref="O1765:O1766" si="1012">N1765*1.032</f>
        <v>64815.755920140611</v>
      </c>
      <c r="P1765" s="54">
        <f t="shared" si="1005"/>
        <v>67019.49162142539</v>
      </c>
      <c r="Q1765" s="54">
        <f t="shared" si="1005"/>
        <v>69298.154336553853</v>
      </c>
      <c r="R1765" s="54">
        <f t="shared" si="1005"/>
        <v>71654.291583996688</v>
      </c>
    </row>
    <row r="1766" spans="1:18" x14ac:dyDescent="0.25">
      <c r="A1766" s="43" t="s">
        <v>1111</v>
      </c>
      <c r="C1766" s="50">
        <v>49572</v>
      </c>
      <c r="D1766" s="50">
        <v>56614</v>
      </c>
      <c r="E1766" s="43">
        <v>88262</v>
      </c>
      <c r="F1766" s="50">
        <v>88855</v>
      </c>
      <c r="G1766" s="67">
        <v>81997</v>
      </c>
      <c r="H1766" s="50">
        <v>104700</v>
      </c>
      <c r="I1766" s="50">
        <f t="shared" si="1006"/>
        <v>107317.49999999999</v>
      </c>
      <c r="J1766" s="50">
        <f t="shared" si="1007"/>
        <v>110429.70749999997</v>
      </c>
      <c r="K1766" s="54">
        <f t="shared" si="1008"/>
        <v>113853.02843249997</v>
      </c>
      <c r="L1766" s="54">
        <f t="shared" si="1009"/>
        <v>117610.17837077245</v>
      </c>
      <c r="M1766" s="54">
        <f t="shared" si="1010"/>
        <v>121373.70407863718</v>
      </c>
      <c r="N1766" s="54">
        <f t="shared" si="1011"/>
        <v>125014.9152009963</v>
      </c>
      <c r="O1766" s="54">
        <f t="shared" si="1012"/>
        <v>129015.39248742818</v>
      </c>
      <c r="P1766" s="54">
        <f t="shared" si="1005"/>
        <v>133401.91583200076</v>
      </c>
      <c r="Q1766" s="54">
        <f t="shared" si="1005"/>
        <v>137937.58097028878</v>
      </c>
      <c r="R1766" s="54">
        <f t="shared" si="1005"/>
        <v>142627.4587232786</v>
      </c>
    </row>
    <row r="1767" spans="1:18" x14ac:dyDescent="0.25">
      <c r="A1767" s="43" t="s">
        <v>1112</v>
      </c>
      <c r="C1767" s="54">
        <v>54650</v>
      </c>
      <c r="D1767" s="54">
        <v>56236</v>
      </c>
      <c r="E1767" s="43">
        <v>54463</v>
      </c>
      <c r="F1767" s="54">
        <v>37229</v>
      </c>
      <c r="G1767" s="54">
        <v>43454</v>
      </c>
      <c r="H1767" s="54">
        <v>37200</v>
      </c>
      <c r="I1767" s="54">
        <f t="shared" ref="I1767" si="1013">H1767*1.023</f>
        <v>38055.599999999999</v>
      </c>
      <c r="J1767" s="54">
        <f t="shared" ref="J1767:K1767" si="1014">I1767*1.024</f>
        <v>38968.934399999998</v>
      </c>
      <c r="K1767" s="54">
        <f t="shared" si="1014"/>
        <v>39904.188825600002</v>
      </c>
      <c r="L1767" s="54">
        <f t="shared" ref="L1767" si="1015">K1767*1.023</f>
        <v>40821.985168588799</v>
      </c>
      <c r="M1767" s="54">
        <f t="shared" ref="M1767" si="1016">L1767*1.022</f>
        <v>41720.068842297755</v>
      </c>
      <c r="N1767" s="54">
        <f t="shared" ref="N1767" si="1017">M1767*1.023</f>
        <v>42679.630425670599</v>
      </c>
      <c r="O1767" s="54">
        <f t="shared" ref="O1767:P1767" si="1018">N1767*1.025</f>
        <v>43746.621186312361</v>
      </c>
      <c r="P1767" s="54">
        <f t="shared" si="1018"/>
        <v>44840.286715970164</v>
      </c>
      <c r="Q1767" s="54">
        <f t="shared" ref="Q1767:R1767" si="1019">P1767*1.024</f>
        <v>45916.45359715345</v>
      </c>
      <c r="R1767" s="54">
        <f t="shared" si="1019"/>
        <v>47018.448483485132</v>
      </c>
    </row>
    <row r="1768" spans="1:18" x14ac:dyDescent="0.25">
      <c r="A1768" s="43" t="s">
        <v>1113</v>
      </c>
      <c r="C1768" s="54">
        <f>47225-716</f>
        <v>46509</v>
      </c>
      <c r="D1768" s="54">
        <v>46964</v>
      </c>
      <c r="E1768" s="43">
        <f>38561+2314+1899</f>
        <v>42774</v>
      </c>
      <c r="F1768" s="54">
        <f>36212+28</f>
        <v>36240</v>
      </c>
      <c r="G1768" s="50">
        <v>50399</v>
      </c>
      <c r="H1768" s="50">
        <f>47500+1500</f>
        <v>49000</v>
      </c>
      <c r="I1768" s="50">
        <f t="shared" ref="I1768:I1769" si="1020">H1768*1.025</f>
        <v>50224.999999999993</v>
      </c>
      <c r="J1768" s="50">
        <f t="shared" ref="J1768:J1769" si="1021">I1768*1.029</f>
        <v>51681.524999999987</v>
      </c>
      <c r="K1768" s="54">
        <f t="shared" ref="K1768:K1769" si="1022">J1768*1.031</f>
        <v>53283.652274999986</v>
      </c>
      <c r="L1768" s="54">
        <f t="shared" ref="L1768:L1769" si="1023">K1768*1.033</f>
        <v>55042.012800074983</v>
      </c>
      <c r="M1768" s="54">
        <f t="shared" ref="M1768:M1769" si="1024">L1768*1.032</f>
        <v>56803.357209677386</v>
      </c>
      <c r="N1768" s="54">
        <f t="shared" ref="N1768:N1769" si="1025">M1768*1.03</f>
        <v>58507.457925967712</v>
      </c>
      <c r="O1768" s="54">
        <f t="shared" ref="O1768:O1769" si="1026">N1768*1.032</f>
        <v>60379.696579598683</v>
      </c>
      <c r="P1768" s="54">
        <f t="shared" ref="P1768:R1769" si="1027">O1768*1.034</f>
        <v>62432.606263305039</v>
      </c>
      <c r="Q1768" s="54">
        <f t="shared" si="1027"/>
        <v>64555.314876257413</v>
      </c>
      <c r="R1768" s="54">
        <f t="shared" si="1027"/>
        <v>66750.195582050161</v>
      </c>
    </row>
    <row r="1769" spans="1:18" x14ac:dyDescent="0.25">
      <c r="A1769" s="43" t="s">
        <v>1114</v>
      </c>
      <c r="C1769" s="54">
        <v>4945</v>
      </c>
      <c r="D1769" s="54">
        <v>7933</v>
      </c>
      <c r="E1769" s="43">
        <v>11341</v>
      </c>
      <c r="F1769" s="54">
        <v>10610</v>
      </c>
      <c r="G1769" s="54">
        <v>2633</v>
      </c>
      <c r="H1769" s="54">
        <v>3000</v>
      </c>
      <c r="I1769" s="50">
        <f t="shared" si="1020"/>
        <v>3074.9999999999995</v>
      </c>
      <c r="J1769" s="50">
        <f t="shared" si="1021"/>
        <v>3164.1749999999993</v>
      </c>
      <c r="K1769" s="54">
        <f t="shared" si="1022"/>
        <v>3262.2644249999989</v>
      </c>
      <c r="L1769" s="54">
        <f t="shared" si="1023"/>
        <v>3369.9191510249984</v>
      </c>
      <c r="M1769" s="54">
        <f t="shared" si="1024"/>
        <v>3477.7565638577985</v>
      </c>
      <c r="N1769" s="54">
        <f t="shared" si="1025"/>
        <v>3582.0892607735327</v>
      </c>
      <c r="O1769" s="54">
        <f t="shared" si="1026"/>
        <v>3696.7161171182856</v>
      </c>
      <c r="P1769" s="54">
        <f t="shared" si="1027"/>
        <v>3822.4044651003073</v>
      </c>
      <c r="Q1769" s="54">
        <f t="shared" si="1027"/>
        <v>3952.3662169137178</v>
      </c>
      <c r="R1769" s="54">
        <f t="shared" si="1027"/>
        <v>4086.7466682887843</v>
      </c>
    </row>
    <row r="1770" spans="1:18" x14ac:dyDescent="0.25">
      <c r="A1770" s="43" t="s">
        <v>1115</v>
      </c>
      <c r="C1770" s="54"/>
      <c r="D1770" s="54"/>
      <c r="F1770" s="54"/>
      <c r="G1770" s="54"/>
      <c r="H1770" s="54"/>
      <c r="I1770" s="50"/>
      <c r="J1770" s="50"/>
      <c r="K1770" s="54"/>
      <c r="L1770" s="54"/>
      <c r="M1770" s="54"/>
      <c r="N1770" s="54"/>
      <c r="O1770" s="54"/>
      <c r="P1770" s="54"/>
      <c r="Q1770" s="54"/>
      <c r="R1770" s="54"/>
    </row>
    <row r="1771" spans="1:18" x14ac:dyDescent="0.25">
      <c r="A1771" s="43" t="s">
        <v>1116</v>
      </c>
      <c r="C1771" s="54">
        <v>600</v>
      </c>
      <c r="D1771" s="54">
        <v>240</v>
      </c>
      <c r="E1771" s="43">
        <v>240</v>
      </c>
      <c r="F1771" s="54">
        <v>720</v>
      </c>
      <c r="G1771" s="50">
        <v>450</v>
      </c>
      <c r="H1771" s="50">
        <v>900</v>
      </c>
      <c r="I1771" s="54">
        <f t="shared" ref="I1771" si="1028">H1771*1.023</f>
        <v>920.69999999999993</v>
      </c>
      <c r="J1771" s="54">
        <f t="shared" ref="J1771:K1771" si="1029">I1771*1.024</f>
        <v>942.79679999999996</v>
      </c>
      <c r="K1771" s="54">
        <f t="shared" si="1029"/>
        <v>965.42392319999999</v>
      </c>
      <c r="L1771" s="54">
        <f t="shared" ref="L1771" si="1030">K1771*1.023</f>
        <v>987.62867343359994</v>
      </c>
      <c r="M1771" s="54">
        <f t="shared" ref="M1771" si="1031">L1771*1.022</f>
        <v>1009.3565042491391</v>
      </c>
      <c r="N1771" s="54">
        <f t="shared" ref="N1771" si="1032">M1771*1.023</f>
        <v>1032.5717038468692</v>
      </c>
      <c r="O1771" s="54">
        <f t="shared" ref="O1771:P1771" si="1033">N1771*1.025</f>
        <v>1058.3859964430408</v>
      </c>
      <c r="P1771" s="54">
        <f t="shared" si="1033"/>
        <v>1084.8456463541168</v>
      </c>
      <c r="Q1771" s="54">
        <f t="shared" ref="Q1771:R1771" si="1034">P1771*1.024</f>
        <v>1110.8819418666155</v>
      </c>
      <c r="R1771" s="54">
        <f t="shared" si="1034"/>
        <v>1137.5431084714144</v>
      </c>
    </row>
    <row r="1772" spans="1:18" x14ac:dyDescent="0.25">
      <c r="A1772" s="52" t="s">
        <v>1101</v>
      </c>
      <c r="C1772" s="54">
        <v>9332</v>
      </c>
      <c r="D1772" s="54">
        <v>0</v>
      </c>
      <c r="E1772" s="43">
        <v>0</v>
      </c>
      <c r="F1772" s="54">
        <v>12107</v>
      </c>
      <c r="G1772" s="54"/>
      <c r="H1772" s="54"/>
      <c r="I1772" s="54"/>
      <c r="J1772" s="54"/>
      <c r="K1772" s="54"/>
      <c r="L1772" s="54"/>
      <c r="M1772" s="54"/>
      <c r="N1772" s="54"/>
      <c r="O1772" s="54"/>
      <c r="P1772" s="54"/>
      <c r="Q1772" s="54"/>
      <c r="R1772" s="54"/>
    </row>
    <row r="1773" spans="1:18" x14ac:dyDescent="0.25">
      <c r="A1773" s="41"/>
      <c r="B1773" s="44"/>
      <c r="C1773" s="51"/>
      <c r="D1773" s="51"/>
      <c r="E1773" s="51"/>
      <c r="F1773" s="51"/>
      <c r="G1773" s="51"/>
      <c r="H1773" s="51"/>
      <c r="I1773" s="51"/>
      <c r="J1773" s="51"/>
      <c r="K1773" s="51"/>
      <c r="L1773" s="51"/>
      <c r="M1773" s="51"/>
      <c r="N1773" s="51"/>
      <c r="O1773" s="51"/>
      <c r="P1773" s="51"/>
      <c r="Q1773" s="51"/>
      <c r="R1773" s="51"/>
    </row>
    <row r="1774" spans="1:18" x14ac:dyDescent="0.25">
      <c r="A1774" s="41" t="s">
        <v>230</v>
      </c>
      <c r="B1774" s="44"/>
      <c r="C1774" s="51">
        <f>SUM(C1754:C1773)</f>
        <v>968506</v>
      </c>
      <c r="D1774" s="51">
        <f>SUM(D1754:D1773)</f>
        <v>1033439</v>
      </c>
      <c r="E1774" s="51">
        <f>SUM(E1754:E1773)</f>
        <v>1098586.06</v>
      </c>
      <c r="F1774" s="51">
        <f>SUM(F1754:F1773)</f>
        <v>1039621</v>
      </c>
      <c r="G1774" s="51">
        <f t="shared" ref="G1774:R1774" si="1035">SUM(G1754:G1773)</f>
        <v>1107528</v>
      </c>
      <c r="H1774" s="51">
        <f t="shared" si="1035"/>
        <v>1187700</v>
      </c>
      <c r="I1774" s="51">
        <f t="shared" si="1035"/>
        <v>1217161.7</v>
      </c>
      <c r="J1774" s="51">
        <f t="shared" si="1035"/>
        <v>1251869.1182999997</v>
      </c>
      <c r="K1774" s="51">
        <f t="shared" si="1035"/>
        <v>1322493.4667891997</v>
      </c>
      <c r="L1774" s="51">
        <f t="shared" si="1035"/>
        <v>1398300.012493551</v>
      </c>
      <c r="M1774" s="51">
        <f t="shared" si="1035"/>
        <v>1476506.8000540256</v>
      </c>
      <c r="N1774" s="51">
        <f t="shared" si="1035"/>
        <v>1555057.691443196</v>
      </c>
      <c r="O1774" s="51">
        <f t="shared" si="1035"/>
        <v>1640011.5660285268</v>
      </c>
      <c r="P1774" s="51">
        <f t="shared" si="1035"/>
        <v>1694550.5818336019</v>
      </c>
      <c r="Q1774" s="51">
        <f t="shared" si="1035"/>
        <v>1750774.2884205082</v>
      </c>
      <c r="R1774" s="51">
        <f t="shared" si="1035"/>
        <v>1808876.2167146783</v>
      </c>
    </row>
    <row r="1775" spans="1:18" x14ac:dyDescent="0.25">
      <c r="C1775" s="50"/>
      <c r="D1775" s="50"/>
      <c r="E1775" s="50"/>
      <c r="F1775" s="50"/>
      <c r="G1775" s="50"/>
      <c r="H1775" s="50"/>
      <c r="I1775" s="50"/>
      <c r="J1775" s="50"/>
      <c r="K1775" s="50"/>
      <c r="L1775" s="50"/>
      <c r="M1775" s="50"/>
      <c r="N1775" s="50"/>
      <c r="O1775" s="50"/>
      <c r="P1775" s="50"/>
      <c r="Q1775" s="50"/>
      <c r="R1775" s="50"/>
    </row>
    <row r="1776" spans="1:18" x14ac:dyDescent="0.25">
      <c r="A1776" s="41" t="s">
        <v>1117</v>
      </c>
      <c r="B1776" s="44"/>
      <c r="C1776" s="51">
        <f>C1774-C1750</f>
        <v>943297</v>
      </c>
      <c r="D1776" s="51">
        <f>D1774-D1750</f>
        <v>1015402</v>
      </c>
      <c r="E1776" s="51">
        <f>E1774-E1750</f>
        <v>1081720.06</v>
      </c>
      <c r="F1776" s="51">
        <f>F1774-F1750</f>
        <v>1000820</v>
      </c>
      <c r="G1776" s="51">
        <f t="shared" ref="G1776:R1776" si="1036">G1774-G1750</f>
        <v>1092288</v>
      </c>
      <c r="H1776" s="51">
        <f t="shared" si="1036"/>
        <v>1172200</v>
      </c>
      <c r="I1776" s="51">
        <f t="shared" si="1036"/>
        <v>1201305.2</v>
      </c>
      <c r="J1776" s="51">
        <f t="shared" si="1036"/>
        <v>1235632.0622999996</v>
      </c>
      <c r="K1776" s="51">
        <f t="shared" si="1036"/>
        <v>1305866.7214451998</v>
      </c>
      <c r="L1776" s="51">
        <f t="shared" si="1036"/>
        <v>1381290.8520066391</v>
      </c>
      <c r="M1776" s="51">
        <f t="shared" si="1036"/>
        <v>1459123.4380364015</v>
      </c>
      <c r="N1776" s="51">
        <f t="shared" si="1036"/>
        <v>1537274.5120991666</v>
      </c>
      <c r="O1776" s="51">
        <f t="shared" si="1036"/>
        <v>1621783.8072008966</v>
      </c>
      <c r="P1776" s="51">
        <f t="shared" si="1036"/>
        <v>1675867.129035281</v>
      </c>
      <c r="Q1776" s="51">
        <f t="shared" si="1036"/>
        <v>1731642.4327550277</v>
      </c>
      <c r="R1776" s="51">
        <f t="shared" si="1036"/>
        <v>1789285.1965132263</v>
      </c>
    </row>
    <row r="1777" spans="1:18" x14ac:dyDescent="0.25">
      <c r="C1777" s="50"/>
      <c r="D1777" s="50"/>
      <c r="E1777" s="50"/>
      <c r="F1777" s="50"/>
      <c r="G1777" s="50"/>
      <c r="H1777" s="50"/>
      <c r="I1777" s="50"/>
      <c r="J1777" s="50"/>
      <c r="K1777" s="50"/>
      <c r="L1777" s="50"/>
      <c r="M1777" s="50"/>
      <c r="N1777" s="50"/>
      <c r="O1777" s="50"/>
      <c r="P1777" s="50"/>
      <c r="Q1777" s="50"/>
      <c r="R1777" s="50"/>
    </row>
    <row r="1778" spans="1:18" x14ac:dyDescent="0.25">
      <c r="C1778" s="50"/>
      <c r="D1778" s="50"/>
      <c r="E1778" s="50"/>
      <c r="F1778" s="50"/>
      <c r="G1778" s="50"/>
      <c r="H1778" s="50"/>
      <c r="I1778" s="50"/>
      <c r="J1778" s="50"/>
      <c r="K1778" s="50"/>
      <c r="L1778" s="50"/>
      <c r="M1778" s="50"/>
      <c r="N1778" s="50"/>
      <c r="O1778" s="50"/>
      <c r="P1778" s="50"/>
      <c r="Q1778" s="50"/>
      <c r="R1778" s="50"/>
    </row>
    <row r="1779" spans="1:18" x14ac:dyDescent="0.25">
      <c r="A1779" s="41" t="s">
        <v>1118</v>
      </c>
      <c r="B1779" s="44"/>
      <c r="C1779" s="50"/>
      <c r="D1779" s="50"/>
      <c r="E1779" s="50"/>
      <c r="F1779" s="50"/>
      <c r="G1779" s="50"/>
      <c r="H1779" s="50"/>
      <c r="I1779" s="50"/>
      <c r="J1779" s="50"/>
      <c r="K1779" s="50"/>
      <c r="L1779" s="50"/>
      <c r="M1779" s="50"/>
      <c r="N1779" s="50"/>
      <c r="O1779" s="50"/>
      <c r="P1779" s="50"/>
      <c r="Q1779" s="50"/>
      <c r="R1779" s="50"/>
    </row>
    <row r="1780" spans="1:18" x14ac:dyDescent="0.25">
      <c r="C1780" s="50"/>
      <c r="D1780" s="50"/>
      <c r="E1780" s="50"/>
      <c r="F1780" s="50"/>
      <c r="G1780" s="50"/>
      <c r="H1780" s="50"/>
      <c r="I1780" s="50"/>
      <c r="J1780" s="50"/>
      <c r="K1780" s="50"/>
      <c r="L1780" s="50"/>
      <c r="M1780" s="50"/>
      <c r="N1780" s="50"/>
      <c r="O1780" s="50"/>
      <c r="P1780" s="50"/>
      <c r="Q1780" s="50"/>
      <c r="R1780" s="50"/>
    </row>
    <row r="1781" spans="1:18" x14ac:dyDescent="0.25">
      <c r="A1781" s="41" t="s">
        <v>165</v>
      </c>
      <c r="B1781" s="44"/>
      <c r="C1781" s="50"/>
      <c r="D1781" s="50"/>
      <c r="E1781" s="50"/>
      <c r="F1781" s="50"/>
      <c r="G1781" s="50"/>
      <c r="H1781" s="50"/>
      <c r="I1781" s="50"/>
      <c r="J1781" s="50"/>
      <c r="K1781" s="50"/>
      <c r="L1781" s="50"/>
      <c r="M1781" s="50"/>
      <c r="N1781" s="50"/>
      <c r="O1781" s="50"/>
      <c r="P1781" s="50"/>
      <c r="Q1781" s="50"/>
      <c r="R1781" s="50"/>
    </row>
    <row r="1782" spans="1:18" x14ac:dyDescent="0.25">
      <c r="C1782" s="50"/>
      <c r="D1782" s="50"/>
      <c r="E1782" s="50"/>
      <c r="F1782" s="50"/>
      <c r="G1782" s="50"/>
      <c r="H1782" s="50"/>
      <c r="I1782" s="50"/>
      <c r="J1782" s="50"/>
      <c r="K1782" s="50"/>
      <c r="L1782" s="50"/>
      <c r="M1782" s="50"/>
      <c r="N1782" s="50"/>
      <c r="O1782" s="50"/>
      <c r="P1782" s="50"/>
      <c r="Q1782" s="50"/>
      <c r="R1782" s="50"/>
    </row>
    <row r="1783" spans="1:18" x14ac:dyDescent="0.25">
      <c r="A1783" s="43" t="s">
        <v>217</v>
      </c>
      <c r="C1783" s="54">
        <v>114212</v>
      </c>
      <c r="D1783" s="54">
        <v>111999</v>
      </c>
      <c r="E1783" s="43">
        <v>113997</v>
      </c>
      <c r="F1783" s="43">
        <v>121983</v>
      </c>
      <c r="G1783" s="43">
        <v>122100</v>
      </c>
      <c r="H1783" s="43">
        <v>135600</v>
      </c>
      <c r="I1783" s="50">
        <f>H1783*1.025</f>
        <v>138990</v>
      </c>
      <c r="J1783" s="50">
        <f>I1783*1.029</f>
        <v>143020.71</v>
      </c>
      <c r="K1783" s="54">
        <f>J1783*1.031</f>
        <v>147454.35200999997</v>
      </c>
      <c r="L1783" s="54">
        <f>K1783*1.033</f>
        <v>152320.34562632997</v>
      </c>
      <c r="M1783" s="54">
        <f>L1783*1.032</f>
        <v>157194.59668637253</v>
      </c>
      <c r="N1783" s="54">
        <f>M1783*1.03</f>
        <v>161910.4345869637</v>
      </c>
      <c r="O1783" s="54">
        <f>N1783*1.032</f>
        <v>167091.56849374654</v>
      </c>
      <c r="P1783" s="54">
        <f>O1783*1.034</f>
        <v>172772.68182253392</v>
      </c>
      <c r="Q1783" s="54">
        <f>P1783*1.034</f>
        <v>178646.95300450007</v>
      </c>
      <c r="R1783" s="54">
        <f>Q1783*1.034</f>
        <v>184720.94940665309</v>
      </c>
    </row>
    <row r="1784" spans="1:18" x14ac:dyDescent="0.25">
      <c r="A1784" s="43" t="s">
        <v>219</v>
      </c>
      <c r="C1784" s="54">
        <v>5183</v>
      </c>
      <c r="D1784" s="54">
        <v>5364</v>
      </c>
      <c r="E1784" s="50">
        <v>4296</v>
      </c>
      <c r="F1784" s="68">
        <v>6141</v>
      </c>
      <c r="G1784" s="68">
        <v>4310</v>
      </c>
      <c r="H1784" s="67">
        <v>6000</v>
      </c>
      <c r="I1784" s="54">
        <f t="shared" ref="I1784" si="1037">H1784*1.023</f>
        <v>6137.9999999999991</v>
      </c>
      <c r="J1784" s="54">
        <f t="shared" ref="J1784:K1784" si="1038">I1784*1.024</f>
        <v>6285.311999999999</v>
      </c>
      <c r="K1784" s="54">
        <f t="shared" si="1038"/>
        <v>6436.1594879999993</v>
      </c>
      <c r="L1784" s="54">
        <f t="shared" ref="L1784" si="1039">K1784*1.023</f>
        <v>6584.1911562239984</v>
      </c>
      <c r="M1784" s="54">
        <f t="shared" ref="M1784" si="1040">L1784*1.022</f>
        <v>6729.0433616609262</v>
      </c>
      <c r="N1784" s="54">
        <f t="shared" ref="N1784" si="1041">M1784*1.023</f>
        <v>6883.8113589791265</v>
      </c>
      <c r="O1784" s="54">
        <f t="shared" ref="O1784:P1784" si="1042">N1784*1.025</f>
        <v>7055.9066429536042</v>
      </c>
      <c r="P1784" s="54">
        <f t="shared" si="1042"/>
        <v>7232.3043090274441</v>
      </c>
      <c r="Q1784" s="54">
        <f t="shared" ref="Q1784:R1784" si="1043">P1784*1.024</f>
        <v>7405.8796124441033</v>
      </c>
      <c r="R1784" s="54">
        <f t="shared" si="1043"/>
        <v>7583.6207231427616</v>
      </c>
    </row>
    <row r="1785" spans="1:18" x14ac:dyDescent="0.25">
      <c r="A1785" s="43" t="s">
        <v>220</v>
      </c>
      <c r="C1785" s="50">
        <v>14591</v>
      </c>
      <c r="D1785" s="54">
        <v>15825</v>
      </c>
      <c r="E1785" s="43">
        <v>17367</v>
      </c>
      <c r="F1785" s="54">
        <v>15623</v>
      </c>
      <c r="G1785" s="54">
        <v>15485</v>
      </c>
      <c r="H1785" s="54">
        <v>17900</v>
      </c>
      <c r="I1785" s="50">
        <f>H1785*1.025</f>
        <v>18347.5</v>
      </c>
      <c r="J1785" s="50">
        <f>I1785*1.029</f>
        <v>18879.577499999999</v>
      </c>
      <c r="K1785" s="54">
        <f>J1785*1.031</f>
        <v>19464.844402499999</v>
      </c>
      <c r="L1785" s="54">
        <f>K1785*1.033</f>
        <v>20107.184267782497</v>
      </c>
      <c r="M1785" s="54">
        <f>L1785*1.032</f>
        <v>20750.614164351537</v>
      </c>
      <c r="N1785" s="54">
        <f>M1785*1.03</f>
        <v>21373.132589282082</v>
      </c>
      <c r="O1785" s="54">
        <f>N1785*1.032</f>
        <v>22057.072832139111</v>
      </c>
      <c r="P1785" s="54">
        <f>O1785*1.034</f>
        <v>22807.01330843184</v>
      </c>
      <c r="Q1785" s="54">
        <f>P1785*1.034</f>
        <v>23582.451760918524</v>
      </c>
      <c r="R1785" s="54">
        <f>Q1785*1.034</f>
        <v>24384.255120789756</v>
      </c>
    </row>
    <row r="1786" spans="1:18" x14ac:dyDescent="0.25">
      <c r="A1786" s="43" t="s">
        <v>1032</v>
      </c>
      <c r="C1786" s="57">
        <v>7317</v>
      </c>
      <c r="D1786" s="218">
        <v>7334</v>
      </c>
      <c r="E1786" s="60">
        <v>6356</v>
      </c>
      <c r="F1786" s="218">
        <v>6096</v>
      </c>
      <c r="G1786" s="180">
        <v>6660</v>
      </c>
      <c r="H1786" s="98">
        <v>6900</v>
      </c>
      <c r="I1786" s="180">
        <v>6900</v>
      </c>
      <c r="J1786" s="180">
        <v>6800</v>
      </c>
      <c r="K1786" s="180">
        <v>6800</v>
      </c>
      <c r="L1786" s="180">
        <v>6800</v>
      </c>
      <c r="M1786" s="180">
        <v>7300</v>
      </c>
      <c r="N1786" s="180">
        <v>7300</v>
      </c>
      <c r="O1786" s="180">
        <v>7300</v>
      </c>
      <c r="P1786" s="180">
        <v>7800</v>
      </c>
      <c r="Q1786" s="180">
        <v>7700</v>
      </c>
      <c r="R1786" s="180">
        <v>7700</v>
      </c>
    </row>
    <row r="1787" spans="1:18" x14ac:dyDescent="0.25">
      <c r="A1787" s="52" t="s">
        <v>1119</v>
      </c>
      <c r="B1787" s="53"/>
      <c r="C1787" s="54">
        <v>0</v>
      </c>
      <c r="D1787" s="54">
        <f>C1787*1.038</f>
        <v>0</v>
      </c>
      <c r="E1787" s="43">
        <v>0</v>
      </c>
      <c r="F1787" s="54">
        <v>0</v>
      </c>
      <c r="G1787" s="54">
        <v>0</v>
      </c>
      <c r="H1787" s="54">
        <v>0</v>
      </c>
      <c r="I1787" s="54">
        <v>0</v>
      </c>
      <c r="J1787" s="54">
        <v>0</v>
      </c>
      <c r="K1787" s="54">
        <v>0</v>
      </c>
      <c r="L1787" s="54">
        <v>0</v>
      </c>
      <c r="M1787" s="54">
        <v>0</v>
      </c>
      <c r="N1787" s="54">
        <v>0</v>
      </c>
      <c r="O1787" s="54">
        <v>0</v>
      </c>
      <c r="P1787" s="54">
        <v>0</v>
      </c>
      <c r="Q1787" s="54">
        <f>P1787*1.042</f>
        <v>0</v>
      </c>
      <c r="R1787" s="54">
        <f>Q1787*1.042</f>
        <v>0</v>
      </c>
    </row>
    <row r="1788" spans="1:18" x14ac:dyDescent="0.25">
      <c r="A1788" s="52" t="s">
        <v>226</v>
      </c>
      <c r="B1788" s="53"/>
      <c r="C1788" s="54">
        <v>3743</v>
      </c>
      <c r="D1788" s="54">
        <v>2813</v>
      </c>
      <c r="E1788" s="43">
        <v>2416</v>
      </c>
      <c r="F1788" s="54">
        <v>2779</v>
      </c>
      <c r="G1788" s="50">
        <v>3049</v>
      </c>
      <c r="H1788" s="54">
        <v>6000</v>
      </c>
      <c r="I1788" s="54">
        <f t="shared" ref="I1788:I1791" si="1044">H1788*1.023</f>
        <v>6137.9999999999991</v>
      </c>
      <c r="J1788" s="54">
        <f t="shared" ref="J1788:K1791" si="1045">I1788*1.024</f>
        <v>6285.311999999999</v>
      </c>
      <c r="K1788" s="54">
        <f t="shared" si="1045"/>
        <v>6436.1594879999993</v>
      </c>
      <c r="L1788" s="54">
        <f t="shared" ref="L1788:L1791" si="1046">K1788*1.023</f>
        <v>6584.1911562239984</v>
      </c>
      <c r="M1788" s="54">
        <f t="shared" ref="M1788:M1791" si="1047">L1788*1.022</f>
        <v>6729.0433616609262</v>
      </c>
      <c r="N1788" s="54">
        <f t="shared" ref="N1788:N1791" si="1048">M1788*1.023</f>
        <v>6883.8113589791265</v>
      </c>
      <c r="O1788" s="54">
        <f t="shared" ref="O1788:P1791" si="1049">N1788*1.025</f>
        <v>7055.9066429536042</v>
      </c>
      <c r="P1788" s="54">
        <f t="shared" si="1049"/>
        <v>7232.3043090274441</v>
      </c>
      <c r="Q1788" s="54">
        <f t="shared" ref="Q1788:R1791" si="1050">P1788*1.024</f>
        <v>7405.8796124441033</v>
      </c>
      <c r="R1788" s="54">
        <f t="shared" si="1050"/>
        <v>7583.6207231427616</v>
      </c>
    </row>
    <row r="1789" spans="1:18" x14ac:dyDescent="0.25">
      <c r="A1789" s="52" t="s">
        <v>1120</v>
      </c>
      <c r="B1789" s="53"/>
      <c r="C1789" s="54">
        <v>27200</v>
      </c>
      <c r="D1789" s="54">
        <v>27100</v>
      </c>
      <c r="E1789" s="43">
        <v>28500</v>
      </c>
      <c r="F1789" s="54">
        <v>59962</v>
      </c>
      <c r="G1789" s="50">
        <v>44000</v>
      </c>
      <c r="H1789" s="50">
        <v>45000</v>
      </c>
      <c r="I1789" s="54">
        <f t="shared" si="1044"/>
        <v>46034.999999999993</v>
      </c>
      <c r="J1789" s="54">
        <f t="shared" si="1045"/>
        <v>47139.839999999997</v>
      </c>
      <c r="K1789" s="54">
        <f t="shared" si="1045"/>
        <v>48271.19616</v>
      </c>
      <c r="L1789" s="54">
        <f t="shared" si="1046"/>
        <v>49381.433671679995</v>
      </c>
      <c r="M1789" s="54">
        <f t="shared" si="1047"/>
        <v>50467.825212456955</v>
      </c>
      <c r="N1789" s="54">
        <f t="shared" si="1048"/>
        <v>51628.58519234346</v>
      </c>
      <c r="O1789" s="54">
        <f t="shared" si="1049"/>
        <v>52919.299822152039</v>
      </c>
      <c r="P1789" s="54">
        <f t="shared" si="1049"/>
        <v>54242.282317705838</v>
      </c>
      <c r="Q1789" s="54">
        <f t="shared" si="1050"/>
        <v>55544.097093330776</v>
      </c>
      <c r="R1789" s="54">
        <f t="shared" si="1050"/>
        <v>56877.155423570715</v>
      </c>
    </row>
    <row r="1790" spans="1:18" x14ac:dyDescent="0.25">
      <c r="A1790" s="52" t="s">
        <v>1121</v>
      </c>
      <c r="B1790" s="53"/>
      <c r="C1790" s="54">
        <v>46345</v>
      </c>
      <c r="D1790" s="50">
        <v>46366</v>
      </c>
      <c r="E1790" s="43">
        <v>47424</v>
      </c>
      <c r="F1790" s="50">
        <v>53603</v>
      </c>
      <c r="G1790" s="50">
        <v>47376</v>
      </c>
      <c r="H1790" s="50">
        <v>53800</v>
      </c>
      <c r="I1790" s="50">
        <v>61690</v>
      </c>
      <c r="J1790" s="54">
        <f t="shared" si="1045"/>
        <v>63170.560000000005</v>
      </c>
      <c r="K1790" s="54">
        <f t="shared" si="1045"/>
        <v>64686.653440000009</v>
      </c>
      <c r="L1790" s="54">
        <f t="shared" si="1046"/>
        <v>66174.446469119997</v>
      </c>
      <c r="M1790" s="54">
        <f t="shared" si="1047"/>
        <v>67630.284291440636</v>
      </c>
      <c r="N1790" s="54">
        <f t="shared" si="1048"/>
        <v>69185.780830143762</v>
      </c>
      <c r="O1790" s="54">
        <f t="shared" si="1049"/>
        <v>70915.425350897349</v>
      </c>
      <c r="P1790" s="54">
        <f t="shared" si="1049"/>
        <v>72688.310984669777</v>
      </c>
      <c r="Q1790" s="54">
        <f t="shared" si="1050"/>
        <v>74432.830448301858</v>
      </c>
      <c r="R1790" s="54">
        <f t="shared" si="1050"/>
        <v>76219.218379061102</v>
      </c>
    </row>
    <row r="1791" spans="1:18" x14ac:dyDescent="0.25">
      <c r="A1791" s="52" t="s">
        <v>1122</v>
      </c>
      <c r="B1791" s="53"/>
      <c r="C1791" s="54">
        <v>0</v>
      </c>
      <c r="D1791" s="50">
        <v>0</v>
      </c>
      <c r="E1791" s="43">
        <v>0</v>
      </c>
      <c r="F1791" s="50">
        <v>0</v>
      </c>
      <c r="G1791" s="50">
        <v>0</v>
      </c>
      <c r="H1791" s="50">
        <v>8000</v>
      </c>
      <c r="I1791" s="54">
        <f t="shared" si="1044"/>
        <v>8183.9999999999991</v>
      </c>
      <c r="J1791" s="54">
        <f t="shared" si="1045"/>
        <v>8380.4159999999993</v>
      </c>
      <c r="K1791" s="54">
        <f t="shared" si="1045"/>
        <v>8581.5459840000003</v>
      </c>
      <c r="L1791" s="54">
        <f t="shared" si="1046"/>
        <v>8778.9215416320003</v>
      </c>
      <c r="M1791" s="54">
        <f t="shared" si="1047"/>
        <v>8972.0578155479052</v>
      </c>
      <c r="N1791" s="54">
        <f t="shared" si="1048"/>
        <v>9178.4151453055056</v>
      </c>
      <c r="O1791" s="54">
        <f t="shared" si="1049"/>
        <v>9407.8755239381426</v>
      </c>
      <c r="P1791" s="54">
        <f t="shared" si="1049"/>
        <v>9643.0724120365958</v>
      </c>
      <c r="Q1791" s="54">
        <f t="shared" si="1050"/>
        <v>9874.5061499254734</v>
      </c>
      <c r="R1791" s="54">
        <f t="shared" si="1050"/>
        <v>10111.494297523685</v>
      </c>
    </row>
    <row r="1792" spans="1:18" x14ac:dyDescent="0.25">
      <c r="A1792" s="52" t="s">
        <v>1090</v>
      </c>
      <c r="B1792" s="53"/>
      <c r="C1792" s="54">
        <v>30000</v>
      </c>
      <c r="D1792" s="50"/>
      <c r="E1792" s="43">
        <v>0</v>
      </c>
      <c r="F1792" s="50"/>
      <c r="G1792" s="50">
        <v>0</v>
      </c>
      <c r="H1792" s="50"/>
      <c r="I1792" s="50"/>
      <c r="J1792" s="50"/>
      <c r="K1792" s="50"/>
      <c r="L1792" s="50"/>
      <c r="M1792" s="50"/>
      <c r="N1792" s="50"/>
      <c r="O1792" s="50"/>
      <c r="P1792" s="50"/>
      <c r="Q1792" s="50"/>
      <c r="R1792" s="50"/>
    </row>
    <row r="1793" spans="1:18" x14ac:dyDescent="0.25">
      <c r="A1793" s="52" t="s">
        <v>1123</v>
      </c>
      <c r="B1793" s="53"/>
      <c r="C1793" s="52"/>
      <c r="D1793" s="50">
        <v>56310</v>
      </c>
      <c r="E1793" s="43">
        <v>4470</v>
      </c>
      <c r="F1793" s="50">
        <v>5000</v>
      </c>
      <c r="G1793" s="50">
        <v>32699</v>
      </c>
      <c r="H1793" s="54">
        <v>7000</v>
      </c>
      <c r="I1793" s="54">
        <v>42000</v>
      </c>
      <c r="J1793" s="54">
        <v>10000</v>
      </c>
      <c r="K1793" s="54">
        <v>10000</v>
      </c>
      <c r="L1793" s="54">
        <v>60000</v>
      </c>
      <c r="M1793" s="54">
        <v>10000</v>
      </c>
      <c r="N1793" s="54">
        <v>51000</v>
      </c>
      <c r="O1793" s="54">
        <v>11000</v>
      </c>
      <c r="P1793" s="54">
        <v>11000</v>
      </c>
      <c r="Q1793" s="54">
        <v>11000</v>
      </c>
      <c r="R1793" s="54">
        <v>11000</v>
      </c>
    </row>
    <row r="1794" spans="1:18" x14ac:dyDescent="0.25">
      <c r="A1794" s="52" t="s">
        <v>1124</v>
      </c>
      <c r="B1794" s="53"/>
      <c r="C1794" s="52"/>
      <c r="D1794" s="50"/>
      <c r="F1794" s="50"/>
      <c r="G1794" s="50">
        <v>0</v>
      </c>
      <c r="H1794" s="50"/>
      <c r="I1794" s="54">
        <v>0</v>
      </c>
      <c r="J1794" s="54">
        <f t="shared" ref="J1794" si="1051">I1794*1.021</f>
        <v>0</v>
      </c>
      <c r="K1794" s="54">
        <f t="shared" ref="K1794" si="1052">J1794*1.023</f>
        <v>0</v>
      </c>
      <c r="L1794" s="54">
        <f t="shared" ref="L1794" si="1053">K1794*1.024</f>
        <v>0</v>
      </c>
      <c r="M1794" s="54">
        <f t="shared" ref="M1794" si="1054">L1794*1.023</f>
        <v>0</v>
      </c>
      <c r="N1794" s="54">
        <f t="shared" ref="N1794" si="1055">M1794*1.021</f>
        <v>0</v>
      </c>
      <c r="O1794" s="54">
        <f t="shared" ref="O1794" si="1056">N1794*1.022</f>
        <v>0</v>
      </c>
      <c r="P1794" s="54">
        <f t="shared" ref="P1794:R1794" si="1057">O1794*1.025</f>
        <v>0</v>
      </c>
      <c r="Q1794" s="54">
        <f t="shared" si="1057"/>
        <v>0</v>
      </c>
      <c r="R1794" s="54">
        <f t="shared" si="1057"/>
        <v>0</v>
      </c>
    </row>
    <row r="1795" spans="1:18" x14ac:dyDescent="0.25">
      <c r="C1795" s="50"/>
      <c r="D1795" s="50"/>
      <c r="E1795" s="50"/>
      <c r="F1795" s="50"/>
      <c r="G1795" s="50"/>
      <c r="H1795" s="50"/>
      <c r="I1795" s="50"/>
      <c r="J1795" s="50"/>
      <c r="K1795" s="50"/>
      <c r="L1795" s="50"/>
      <c r="M1795" s="50"/>
      <c r="N1795" s="50"/>
      <c r="O1795" s="50"/>
      <c r="P1795" s="50"/>
      <c r="Q1795" s="50"/>
      <c r="R1795" s="50"/>
    </row>
    <row r="1796" spans="1:18" x14ac:dyDescent="0.25">
      <c r="A1796" s="41" t="s">
        <v>230</v>
      </c>
      <c r="B1796" s="44"/>
      <c r="C1796" s="51">
        <f t="shared" ref="C1796" si="1058">SUM(C1783:C1795)</f>
        <v>248591</v>
      </c>
      <c r="D1796" s="51">
        <f t="shared" ref="D1796:R1796" si="1059">SUM(D1783:D1795)</f>
        <v>273111</v>
      </c>
      <c r="E1796" s="51">
        <f t="shared" si="1059"/>
        <v>224826</v>
      </c>
      <c r="F1796" s="51">
        <f t="shared" si="1059"/>
        <v>271187</v>
      </c>
      <c r="G1796" s="51">
        <f t="shared" si="1059"/>
        <v>275679</v>
      </c>
      <c r="H1796" s="51">
        <f t="shared" si="1059"/>
        <v>286200</v>
      </c>
      <c r="I1796" s="51">
        <f t="shared" si="1059"/>
        <v>334422.5</v>
      </c>
      <c r="J1796" s="51">
        <f t="shared" si="1059"/>
        <v>309961.72750000004</v>
      </c>
      <c r="K1796" s="51">
        <f t="shared" si="1059"/>
        <v>318130.91097249999</v>
      </c>
      <c r="L1796" s="51">
        <f t="shared" si="1059"/>
        <v>376730.71388899244</v>
      </c>
      <c r="M1796" s="51">
        <f t="shared" si="1059"/>
        <v>335773.46489349147</v>
      </c>
      <c r="N1796" s="51">
        <f t="shared" si="1059"/>
        <v>385343.97106199677</v>
      </c>
      <c r="O1796" s="51">
        <f t="shared" si="1059"/>
        <v>354803.05530878046</v>
      </c>
      <c r="P1796" s="51">
        <f t="shared" si="1059"/>
        <v>365417.96946343285</v>
      </c>
      <c r="Q1796" s="51">
        <f t="shared" si="1059"/>
        <v>375592.59768186492</v>
      </c>
      <c r="R1796" s="51">
        <f t="shared" si="1059"/>
        <v>386180.31407388387</v>
      </c>
    </row>
    <row r="1797" spans="1:18" x14ac:dyDescent="0.25">
      <c r="C1797" s="50"/>
      <c r="D1797" s="50"/>
      <c r="E1797" s="50"/>
      <c r="F1797" s="50"/>
      <c r="G1797" s="50"/>
      <c r="H1797" s="50"/>
      <c r="I1797" s="50"/>
      <c r="J1797" s="50"/>
      <c r="K1797" s="50"/>
      <c r="L1797" s="50"/>
      <c r="M1797" s="50"/>
      <c r="N1797" s="50"/>
      <c r="O1797" s="50"/>
      <c r="P1797" s="50"/>
      <c r="Q1797" s="50"/>
      <c r="R1797" s="50"/>
    </row>
    <row r="1798" spans="1:18" x14ac:dyDescent="0.25">
      <c r="A1798" s="41" t="s">
        <v>251</v>
      </c>
      <c r="B1798" s="44"/>
      <c r="C1798" s="50"/>
      <c r="D1798" s="50"/>
      <c r="E1798" s="50"/>
      <c r="F1798" s="50"/>
      <c r="G1798" s="50"/>
      <c r="H1798" s="50"/>
      <c r="I1798" s="50"/>
      <c r="J1798" s="50"/>
      <c r="K1798" s="50"/>
      <c r="L1798" s="50"/>
      <c r="M1798" s="50"/>
      <c r="N1798" s="50"/>
      <c r="O1798" s="50"/>
      <c r="P1798" s="50"/>
      <c r="Q1798" s="50"/>
      <c r="R1798" s="50"/>
    </row>
    <row r="1799" spans="1:18" x14ac:dyDescent="0.25">
      <c r="A1799" s="41"/>
      <c r="B1799" s="44"/>
      <c r="C1799" s="50"/>
      <c r="D1799" s="50"/>
      <c r="E1799" s="50"/>
      <c r="F1799" s="50"/>
      <c r="G1799" s="50"/>
      <c r="H1799" s="50"/>
      <c r="I1799" s="50"/>
      <c r="J1799" s="50"/>
      <c r="K1799" s="50"/>
      <c r="L1799" s="50"/>
      <c r="M1799" s="50"/>
      <c r="N1799" s="50"/>
      <c r="O1799" s="50"/>
      <c r="P1799" s="50"/>
      <c r="Q1799" s="50"/>
      <c r="R1799" s="50"/>
    </row>
    <row r="1800" spans="1:18" x14ac:dyDescent="0.25">
      <c r="A1800" s="52" t="s">
        <v>1125</v>
      </c>
      <c r="B1800" s="53"/>
      <c r="C1800" s="50"/>
      <c r="D1800" s="50"/>
      <c r="E1800" s="50"/>
      <c r="F1800" s="50"/>
      <c r="G1800" s="50"/>
      <c r="H1800" s="50"/>
      <c r="I1800" s="50"/>
      <c r="J1800" s="50"/>
      <c r="K1800" s="50"/>
      <c r="L1800" s="50"/>
      <c r="M1800" s="50"/>
      <c r="N1800" s="50"/>
      <c r="O1800" s="50"/>
      <c r="P1800" s="50"/>
      <c r="Q1800" s="50"/>
      <c r="R1800" s="50"/>
    </row>
    <row r="1801" spans="1:18" x14ac:dyDescent="0.25">
      <c r="A1801" s="52" t="s">
        <v>1126</v>
      </c>
      <c r="B1801" s="53"/>
      <c r="C1801" s="50">
        <v>26498.09</v>
      </c>
      <c r="D1801" s="50">
        <v>104868</v>
      </c>
      <c r="E1801" s="50">
        <v>63549</v>
      </c>
      <c r="F1801" s="43">
        <v>86273</v>
      </c>
      <c r="G1801" s="50">
        <v>91205</v>
      </c>
      <c r="H1801" s="50">
        <v>134490</v>
      </c>
      <c r="I1801" s="50">
        <v>9468</v>
      </c>
      <c r="J1801" s="50">
        <v>114203</v>
      </c>
      <c r="K1801" s="50">
        <v>105342</v>
      </c>
      <c r="L1801" s="50">
        <v>92416</v>
      </c>
      <c r="M1801" s="50">
        <v>94500</v>
      </c>
      <c r="N1801" s="50">
        <v>136336</v>
      </c>
      <c r="O1801" s="50">
        <v>35578</v>
      </c>
      <c r="P1801" s="43">
        <v>125858</v>
      </c>
      <c r="Q1801" s="43">
        <v>130673</v>
      </c>
      <c r="R1801" s="43">
        <v>130673</v>
      </c>
    </row>
    <row r="1802" spans="1:18" x14ac:dyDescent="0.25">
      <c r="A1802" s="52" t="s">
        <v>1127</v>
      </c>
      <c r="B1802" s="53"/>
      <c r="C1802" s="50">
        <v>40809</v>
      </c>
      <c r="D1802" s="43">
        <v>0</v>
      </c>
      <c r="E1802">
        <v>15279</v>
      </c>
      <c r="F1802">
        <v>0</v>
      </c>
      <c r="G1802" s="43">
        <v>0</v>
      </c>
      <c r="H1802" s="43">
        <v>0</v>
      </c>
      <c r="I1802" s="43">
        <v>0</v>
      </c>
      <c r="J1802" s="43">
        <v>0</v>
      </c>
      <c r="K1802" s="43">
        <v>0</v>
      </c>
      <c r="L1802" s="43">
        <v>0</v>
      </c>
      <c r="M1802" s="43">
        <v>0</v>
      </c>
      <c r="N1802" s="43">
        <v>0</v>
      </c>
      <c r="O1802" s="43">
        <v>0</v>
      </c>
      <c r="P1802" s="43">
        <v>0</v>
      </c>
      <c r="Q1802" s="43">
        <v>0</v>
      </c>
      <c r="R1802" s="43">
        <v>0</v>
      </c>
    </row>
    <row r="1803" spans="1:18" x14ac:dyDescent="0.25">
      <c r="A1803" s="52" t="s">
        <v>1128</v>
      </c>
      <c r="B1803" s="53"/>
      <c r="C1803" s="50"/>
      <c r="D1803" s="50"/>
      <c r="E1803" s="50"/>
      <c r="F1803" s="50"/>
      <c r="G1803" s="50"/>
      <c r="H1803" s="50"/>
      <c r="I1803" s="50"/>
      <c r="J1803" s="50"/>
      <c r="K1803" s="50"/>
      <c r="L1803" s="50"/>
      <c r="M1803" s="50"/>
      <c r="N1803" s="50"/>
      <c r="O1803" s="50"/>
      <c r="P1803" s="50"/>
      <c r="Q1803" s="50"/>
      <c r="R1803" s="50"/>
    </row>
    <row r="1804" spans="1:18" x14ac:dyDescent="0.25">
      <c r="A1804" s="43" t="s">
        <v>1129</v>
      </c>
      <c r="C1804" s="67">
        <v>101681.33</v>
      </c>
      <c r="D1804" s="50">
        <v>88204</v>
      </c>
      <c r="E1804" s="50">
        <v>83539</v>
      </c>
      <c r="F1804" s="43">
        <v>74597</v>
      </c>
      <c r="G1804" s="50">
        <v>48109.36</v>
      </c>
      <c r="H1804" s="50">
        <v>111259.95699428571</v>
      </c>
      <c r="I1804" s="50">
        <v>140926.62366095238</v>
      </c>
      <c r="J1804" s="50">
        <v>139475.30366095237</v>
      </c>
      <c r="K1804" s="50">
        <v>136059.34366095238</v>
      </c>
      <c r="L1804" s="50">
        <v>131561.19238095239</v>
      </c>
      <c r="M1804" s="50">
        <v>91780.952380952367</v>
      </c>
      <c r="N1804" s="50">
        <v>105280.95238095237</v>
      </c>
      <c r="O1804" s="50">
        <v>76214.28571428571</v>
      </c>
      <c r="P1804" s="50">
        <v>106214.28571428571</v>
      </c>
      <c r="Q1804" s="50">
        <v>99381.28571428571</v>
      </c>
      <c r="R1804" s="50">
        <v>99381.28571428571</v>
      </c>
    </row>
    <row r="1805" spans="1:18" x14ac:dyDescent="0.25">
      <c r="A1805" s="52" t="s">
        <v>1130</v>
      </c>
      <c r="B1805" s="53"/>
      <c r="C1805" s="219">
        <v>14825</v>
      </c>
      <c r="D1805" s="219">
        <f>D459+D464+D467+D624+D627+D763+D989+D995</f>
        <v>15116</v>
      </c>
      <c r="E1805" s="219">
        <f>E459+E464+E467+E624+E627+E763+E989+E995</f>
        <v>16550</v>
      </c>
      <c r="F1805" s="220">
        <v>19449</v>
      </c>
      <c r="G1805" s="219">
        <v>18467</v>
      </c>
      <c r="H1805" s="219">
        <v>19910</v>
      </c>
      <c r="I1805" s="219">
        <v>20510</v>
      </c>
      <c r="J1805" s="219">
        <v>21000</v>
      </c>
      <c r="K1805" s="219">
        <v>21510</v>
      </c>
      <c r="L1805" s="219">
        <v>21990</v>
      </c>
      <c r="M1805" s="219">
        <v>22490</v>
      </c>
      <c r="N1805" s="219">
        <v>22990</v>
      </c>
      <c r="O1805" s="219">
        <v>23580</v>
      </c>
      <c r="P1805" s="219">
        <v>24170</v>
      </c>
      <c r="Q1805" s="219">
        <v>24750</v>
      </c>
      <c r="R1805" s="219">
        <v>24750</v>
      </c>
    </row>
    <row r="1806" spans="1:18" x14ac:dyDescent="0.25">
      <c r="A1806" s="52" t="s">
        <v>1131</v>
      </c>
      <c r="B1806" s="53"/>
      <c r="C1806" s="221">
        <v>118961</v>
      </c>
      <c r="D1806" s="221">
        <f t="shared" ref="D1806" si="1060">D2183</f>
        <v>107353</v>
      </c>
      <c r="E1806" s="221">
        <f>E2183</f>
        <v>87976</v>
      </c>
      <c r="F1806" s="222">
        <v>56695</v>
      </c>
      <c r="G1806" s="221">
        <v>53177</v>
      </c>
      <c r="H1806" s="221">
        <v>54040</v>
      </c>
      <c r="I1806" s="221">
        <v>55280</v>
      </c>
      <c r="J1806" s="221">
        <v>54225</v>
      </c>
      <c r="K1806" s="221">
        <v>55365</v>
      </c>
      <c r="L1806" s="221">
        <v>59300</v>
      </c>
      <c r="M1806" s="221">
        <v>60610</v>
      </c>
      <c r="N1806" s="221">
        <v>62000</v>
      </c>
      <c r="O1806" s="221">
        <v>63550</v>
      </c>
      <c r="P1806" s="221">
        <v>65140</v>
      </c>
      <c r="Q1806" s="221">
        <v>66700</v>
      </c>
      <c r="R1806" s="221">
        <v>66700</v>
      </c>
    </row>
    <row r="1807" spans="1:18" x14ac:dyDescent="0.25">
      <c r="A1807" s="52" t="s">
        <v>1132</v>
      </c>
      <c r="B1807" s="53"/>
      <c r="C1807" s="58">
        <v>78038</v>
      </c>
      <c r="D1807" s="98">
        <v>69424</v>
      </c>
      <c r="E1807" s="98">
        <v>83639</v>
      </c>
      <c r="F1807" s="98">
        <v>69292</v>
      </c>
      <c r="G1807" s="98">
        <v>67008</v>
      </c>
      <c r="H1807" s="98">
        <v>74700</v>
      </c>
      <c r="I1807" s="98">
        <v>78900</v>
      </c>
      <c r="J1807" s="98">
        <v>86900</v>
      </c>
      <c r="K1807" s="98">
        <v>89000</v>
      </c>
      <c r="L1807" s="98">
        <v>90800</v>
      </c>
      <c r="M1807" s="98">
        <v>95500</v>
      </c>
      <c r="N1807" s="98">
        <v>97000</v>
      </c>
      <c r="O1807" s="98">
        <v>97600</v>
      </c>
      <c r="P1807" s="98">
        <v>101300</v>
      </c>
      <c r="Q1807" s="98">
        <v>102600</v>
      </c>
      <c r="R1807" s="98">
        <v>102600</v>
      </c>
    </row>
    <row r="1808" spans="1:18" x14ac:dyDescent="0.25">
      <c r="A1808" s="52" t="s">
        <v>1133</v>
      </c>
      <c r="C1808" s="223">
        <v>138603</v>
      </c>
      <c r="D1808" s="223">
        <f>D606+D609+D617+D621+D733+D736+D743+D750+D761+D770+D997+D1579+D1581+D757</f>
        <v>183196</v>
      </c>
      <c r="E1808" s="223">
        <f>E606+E609+E617+E621+E733+E736+E743+E750+E761+E770+E997+E1579+E1581+E757</f>
        <v>202116</v>
      </c>
      <c r="F1808" s="115">
        <v>208163</v>
      </c>
      <c r="G1808" s="223">
        <v>220807</v>
      </c>
      <c r="H1808" s="223">
        <v>218360</v>
      </c>
      <c r="I1808" s="115">
        <v>223350</v>
      </c>
      <c r="J1808" s="115">
        <v>228740</v>
      </c>
      <c r="K1808" s="115">
        <v>234210</v>
      </c>
      <c r="L1808" s="115">
        <v>239670</v>
      </c>
      <c r="M1808" s="115">
        <v>244840</v>
      </c>
      <c r="N1808" s="115">
        <v>250480</v>
      </c>
      <c r="O1808" s="115">
        <v>256700</v>
      </c>
      <c r="P1808" s="115">
        <v>263150</v>
      </c>
      <c r="Q1808" s="115">
        <v>269470</v>
      </c>
      <c r="R1808" s="115">
        <v>269470</v>
      </c>
    </row>
    <row r="1809" spans="1:18" x14ac:dyDescent="0.25">
      <c r="A1809" s="52" t="s">
        <v>1134</v>
      </c>
      <c r="B1809" s="53"/>
      <c r="C1809" s="120">
        <v>315520</v>
      </c>
      <c r="D1809" s="100">
        <f>D460+D462+D465+D468+D605+D608+D616+D620+D625+D628+D732+D735+D751+D756+D758+D764+D769+D987+D990+D993+D996+D999+D1450+D1482+D1578+D2184</f>
        <v>325322</v>
      </c>
      <c r="E1809" s="100">
        <f>E460+E462+E465+E468+E605+E608+E616+E620+E625+E628+E732+E735+E751+E756+E758+E764+E769+E987+E990+E993+E996+E999+E1450+E1482+E1578+E2184</f>
        <v>327725</v>
      </c>
      <c r="F1809" s="100">
        <v>333300</v>
      </c>
      <c r="G1809" s="100">
        <v>339270</v>
      </c>
      <c r="H1809" s="100">
        <f>372760+1390</f>
        <v>374150</v>
      </c>
      <c r="I1809" s="100">
        <f>381350+1420</f>
        <v>382770</v>
      </c>
      <c r="J1809" s="100">
        <f>390500+1450</f>
        <v>391950</v>
      </c>
      <c r="K1809" s="100">
        <f>399870+1480</f>
        <v>401350</v>
      </c>
      <c r="L1809" s="100">
        <f>409070+1520</f>
        <v>410590</v>
      </c>
      <c r="M1809" s="100">
        <f>418060+1550</f>
        <v>419610</v>
      </c>
      <c r="N1809" s="100">
        <f>427690+1580</f>
        <v>429270</v>
      </c>
      <c r="O1809" s="100">
        <f>438370+1620</f>
        <v>439990</v>
      </c>
      <c r="P1809" s="100">
        <f>449340+1670</f>
        <v>451010</v>
      </c>
      <c r="Q1809" s="100">
        <f>460090+1670</f>
        <v>461760</v>
      </c>
      <c r="R1809" s="100">
        <f>460090+1670</f>
        <v>461760</v>
      </c>
    </row>
    <row r="1810" spans="1:18" x14ac:dyDescent="0.25">
      <c r="A1810" s="52" t="s">
        <v>1135</v>
      </c>
      <c r="B1810" s="53"/>
      <c r="C1810" s="224">
        <v>1117509</v>
      </c>
      <c r="D1810" s="224">
        <f>D1459</f>
        <v>1136688</v>
      </c>
      <c r="E1810" s="224">
        <f>E1459</f>
        <v>1359118</v>
      </c>
      <c r="F1810" s="224">
        <v>1365401</v>
      </c>
      <c r="G1810" s="224">
        <v>1374148</v>
      </c>
      <c r="H1810" s="224"/>
      <c r="I1810" s="224"/>
      <c r="J1810" s="224"/>
      <c r="K1810" s="224"/>
      <c r="L1810" s="224"/>
      <c r="M1810" s="224"/>
      <c r="N1810" s="224"/>
      <c r="O1810" s="224"/>
      <c r="P1810" s="224"/>
      <c r="Q1810" s="224"/>
      <c r="R1810" s="224"/>
    </row>
    <row r="1811" spans="1:18" x14ac:dyDescent="0.25">
      <c r="A1811" s="52" t="s">
        <v>916</v>
      </c>
      <c r="B1811" s="53"/>
      <c r="C1811" s="224"/>
      <c r="D1811" s="224"/>
      <c r="E1811" s="224"/>
      <c r="F1811" s="224"/>
      <c r="G1811" s="224"/>
      <c r="H1811" s="199">
        <v>938567</v>
      </c>
      <c r="I1811" s="199">
        <v>946359</v>
      </c>
      <c r="J1811" s="199">
        <v>954915</v>
      </c>
      <c r="K1811" s="199">
        <v>957495</v>
      </c>
      <c r="L1811" s="200">
        <v>963853</v>
      </c>
      <c r="M1811" s="201">
        <f t="shared" ref="M1811" si="1061">L1811*1.022</f>
        <v>985057.76600000006</v>
      </c>
      <c r="N1811" s="201">
        <f t="shared" ref="N1811" si="1062">M1811*1.023</f>
        <v>1007714.094618</v>
      </c>
      <c r="O1811" s="201">
        <f t="shared" ref="O1811:P1811" si="1063">N1811*1.025</f>
        <v>1032906.9469834499</v>
      </c>
      <c r="P1811" s="201">
        <f t="shared" si="1063"/>
        <v>1058729.6206580361</v>
      </c>
      <c r="Q1811" s="201">
        <f t="shared" ref="Q1811:R1811" si="1064">P1811*1.024</f>
        <v>1084139.1315538289</v>
      </c>
      <c r="R1811" s="201">
        <f t="shared" si="1064"/>
        <v>1110158.4707111209</v>
      </c>
    </row>
    <row r="1812" spans="1:18" x14ac:dyDescent="0.25">
      <c r="A1812" s="52" t="s">
        <v>917</v>
      </c>
      <c r="B1812" s="53"/>
      <c r="C1812" s="224"/>
      <c r="D1812" s="224"/>
      <c r="E1812" s="224"/>
      <c r="F1812" s="224"/>
      <c r="G1812" s="224"/>
      <c r="H1812" s="199">
        <v>31500</v>
      </c>
      <c r="I1812" s="199">
        <v>32200</v>
      </c>
      <c r="J1812" s="199">
        <v>33000</v>
      </c>
      <c r="K1812" s="199">
        <v>33800</v>
      </c>
      <c r="L1812" s="200">
        <v>34600</v>
      </c>
      <c r="M1812" s="201">
        <v>35400</v>
      </c>
      <c r="N1812" s="201">
        <v>36200</v>
      </c>
      <c r="O1812" s="201">
        <v>37100</v>
      </c>
      <c r="P1812" s="201">
        <v>38000</v>
      </c>
      <c r="Q1812" s="201">
        <v>38900</v>
      </c>
      <c r="R1812" s="201">
        <v>38900</v>
      </c>
    </row>
    <row r="1813" spans="1:18" x14ac:dyDescent="0.25">
      <c r="A1813" s="52" t="s">
        <v>918</v>
      </c>
      <c r="B1813" s="53"/>
      <c r="C1813" s="224"/>
      <c r="D1813" s="224"/>
      <c r="E1813" s="224"/>
      <c r="F1813" s="224"/>
      <c r="G1813" s="224"/>
      <c r="H1813" s="199">
        <v>273100</v>
      </c>
      <c r="I1813" s="199">
        <v>279400</v>
      </c>
      <c r="J1813" s="199">
        <v>286100</v>
      </c>
      <c r="K1813" s="199">
        <v>293000</v>
      </c>
      <c r="L1813" s="199">
        <v>299700</v>
      </c>
      <c r="M1813" s="199">
        <v>306300</v>
      </c>
      <c r="N1813" s="199">
        <v>313300</v>
      </c>
      <c r="O1813" s="199">
        <v>321100</v>
      </c>
      <c r="P1813" s="199">
        <v>329100</v>
      </c>
      <c r="Q1813" s="199">
        <v>337000</v>
      </c>
      <c r="R1813" s="199">
        <v>337000</v>
      </c>
    </row>
    <row r="1814" spans="1:18" x14ac:dyDescent="0.25">
      <c r="A1814" s="52" t="s">
        <v>919</v>
      </c>
      <c r="B1814" s="53"/>
      <c r="C1814" s="224"/>
      <c r="D1814" s="224"/>
      <c r="E1814" s="224"/>
      <c r="F1814" s="224"/>
      <c r="G1814" s="224"/>
      <c r="H1814" s="199">
        <v>124200</v>
      </c>
      <c r="I1814" s="199">
        <v>127100</v>
      </c>
      <c r="J1814" s="199">
        <v>130200</v>
      </c>
      <c r="K1814" s="199">
        <v>133300</v>
      </c>
      <c r="L1814" s="199">
        <v>136400</v>
      </c>
      <c r="M1814" s="199">
        <v>139400</v>
      </c>
      <c r="N1814" s="199">
        <v>142600</v>
      </c>
      <c r="O1814" s="199">
        <v>146200</v>
      </c>
      <c r="P1814" s="199">
        <v>149900</v>
      </c>
      <c r="Q1814" s="199">
        <v>153500</v>
      </c>
      <c r="R1814" s="199">
        <v>153500</v>
      </c>
    </row>
    <row r="1815" spans="1:18" x14ac:dyDescent="0.25">
      <c r="A1815" s="52" t="s">
        <v>1136</v>
      </c>
      <c r="B1815" s="53"/>
      <c r="C1815" s="224">
        <v>10985</v>
      </c>
      <c r="D1815" s="224">
        <f>D1573</f>
        <v>11046</v>
      </c>
      <c r="E1815" s="224">
        <f>E1573</f>
        <v>9655</v>
      </c>
      <c r="F1815" s="224">
        <v>9945</v>
      </c>
      <c r="G1815" s="224">
        <v>9945</v>
      </c>
      <c r="H1815" s="224">
        <v>10200</v>
      </c>
      <c r="I1815" s="224">
        <v>10400</v>
      </c>
      <c r="J1815" s="224">
        <v>10700</v>
      </c>
      <c r="K1815" s="224">
        <v>10900</v>
      </c>
      <c r="L1815" s="224">
        <v>11200</v>
      </c>
      <c r="M1815" s="224">
        <v>11400</v>
      </c>
      <c r="N1815" s="224">
        <v>11700</v>
      </c>
      <c r="O1815" s="224">
        <v>12000</v>
      </c>
      <c r="P1815" s="224">
        <v>12300</v>
      </c>
      <c r="Q1815" s="224">
        <v>12600</v>
      </c>
      <c r="R1815" s="224">
        <v>12600</v>
      </c>
    </row>
    <row r="1816" spans="1:18" x14ac:dyDescent="0.25">
      <c r="A1816" s="52" t="s">
        <v>1137</v>
      </c>
      <c r="B1816" s="53"/>
      <c r="C1816" s="225">
        <v>77312</v>
      </c>
      <c r="D1816" s="226">
        <f>D1273</f>
        <v>78879</v>
      </c>
      <c r="E1816" s="226">
        <f>E1273</f>
        <v>111853</v>
      </c>
      <c r="F1816" s="226">
        <v>112181</v>
      </c>
      <c r="G1816" s="226">
        <v>112661</v>
      </c>
      <c r="H1816" s="226">
        <v>114900</v>
      </c>
      <c r="I1816" s="226">
        <v>117600</v>
      </c>
      <c r="J1816" s="226">
        <v>120400</v>
      </c>
      <c r="K1816" s="226">
        <v>123300</v>
      </c>
      <c r="L1816" s="226">
        <v>126100</v>
      </c>
      <c r="M1816" s="226">
        <v>128900</v>
      </c>
      <c r="N1816" s="226">
        <v>131900</v>
      </c>
      <c r="O1816" s="226">
        <v>135200</v>
      </c>
      <c r="P1816" s="226">
        <v>138500</v>
      </c>
      <c r="Q1816" s="226">
        <v>141900</v>
      </c>
      <c r="R1816" s="226">
        <v>141900</v>
      </c>
    </row>
    <row r="1817" spans="1:18" x14ac:dyDescent="0.25">
      <c r="A1817" s="52" t="s">
        <v>1138</v>
      </c>
      <c r="B1817" s="53"/>
      <c r="C1817" s="50"/>
      <c r="D1817" s="98"/>
      <c r="E1817" s="98"/>
      <c r="F1817" s="98"/>
      <c r="G1817" s="98"/>
      <c r="H1817" s="57"/>
      <c r="I1817" s="57"/>
      <c r="J1817" s="57"/>
      <c r="K1817" s="57"/>
      <c r="L1817" s="57"/>
      <c r="M1817" s="57"/>
      <c r="N1817" s="57"/>
      <c r="O1817" s="57"/>
      <c r="P1817" s="57"/>
      <c r="Q1817" s="57"/>
      <c r="R1817" s="57"/>
    </row>
    <row r="1818" spans="1:18" x14ac:dyDescent="0.25">
      <c r="A1818" s="43" t="s">
        <v>1139</v>
      </c>
      <c r="C1818" s="67">
        <v>390025</v>
      </c>
      <c r="D1818" s="43">
        <v>400947</v>
      </c>
      <c r="E1818" s="43">
        <v>518042</v>
      </c>
      <c r="F1818" s="43">
        <v>498955</v>
      </c>
      <c r="G1818" s="43">
        <v>440179</v>
      </c>
      <c r="H1818" s="43">
        <v>1045700</v>
      </c>
      <c r="I1818" s="43">
        <v>648300</v>
      </c>
      <c r="J1818" s="43">
        <v>577000</v>
      </c>
      <c r="K1818" s="50">
        <v>576200</v>
      </c>
      <c r="L1818" s="54">
        <f>K1818*1.033</f>
        <v>595214.6</v>
      </c>
      <c r="M1818" s="54">
        <f>L1818*1.032</f>
        <v>614261.46719999996</v>
      </c>
      <c r="N1818" s="54">
        <f>M1818*1.03</f>
        <v>632689.311216</v>
      </c>
      <c r="O1818" s="54">
        <f>N1818*1.032</f>
        <v>652935.36917491199</v>
      </c>
      <c r="P1818" s="54">
        <f>O1818*1.034</f>
        <v>675135.17172685906</v>
      </c>
      <c r="Q1818" s="54">
        <f>P1818*1.034</f>
        <v>698089.76756557229</v>
      </c>
      <c r="R1818" s="54">
        <f>Q1818*1.034</f>
        <v>721824.8196628018</v>
      </c>
    </row>
    <row r="1819" spans="1:18" x14ac:dyDescent="0.25">
      <c r="A1819" s="43" t="s">
        <v>1140</v>
      </c>
      <c r="C1819" s="67">
        <v>0</v>
      </c>
      <c r="D1819" s="67">
        <v>0</v>
      </c>
      <c r="E1819" s="67">
        <v>50332</v>
      </c>
      <c r="F1819" s="67">
        <v>0</v>
      </c>
      <c r="G1819" s="67">
        <v>0</v>
      </c>
      <c r="H1819" s="67">
        <v>143000</v>
      </c>
      <c r="I1819" s="67">
        <v>106000</v>
      </c>
      <c r="J1819" s="67">
        <v>42000</v>
      </c>
      <c r="K1819" s="67">
        <v>19000</v>
      </c>
      <c r="L1819" s="67">
        <v>39800</v>
      </c>
      <c r="M1819" s="67">
        <v>95500</v>
      </c>
      <c r="N1819" s="67">
        <v>101000</v>
      </c>
      <c r="O1819" s="67">
        <v>42000</v>
      </c>
      <c r="P1819" s="67">
        <v>106000</v>
      </c>
      <c r="Q1819" s="67">
        <v>18000</v>
      </c>
      <c r="R1819" s="67">
        <v>18000</v>
      </c>
    </row>
    <row r="1820" spans="1:18" x14ac:dyDescent="0.25">
      <c r="A1820" s="43" t="s">
        <v>1141</v>
      </c>
      <c r="C1820" s="50">
        <v>0</v>
      </c>
      <c r="D1820" s="50">
        <v>0</v>
      </c>
      <c r="E1820" s="50">
        <v>0</v>
      </c>
      <c r="F1820" s="50">
        <v>0</v>
      </c>
      <c r="G1820" s="50">
        <v>0</v>
      </c>
      <c r="H1820" s="50">
        <v>0</v>
      </c>
      <c r="I1820" s="50">
        <v>0</v>
      </c>
      <c r="J1820" s="50">
        <v>0</v>
      </c>
      <c r="K1820" s="50">
        <v>0</v>
      </c>
      <c r="L1820" s="50">
        <v>0</v>
      </c>
      <c r="M1820" s="50">
        <v>0</v>
      </c>
      <c r="N1820" s="50">
        <v>0</v>
      </c>
      <c r="O1820" s="50">
        <v>0</v>
      </c>
      <c r="P1820" s="50">
        <v>0</v>
      </c>
      <c r="Q1820" s="50">
        <v>0</v>
      </c>
      <c r="R1820" s="50">
        <v>0</v>
      </c>
    </row>
    <row r="1821" spans="1:18" x14ac:dyDescent="0.25">
      <c r="A1821" s="52" t="s">
        <v>1142</v>
      </c>
      <c r="C1821" s="52">
        <v>0</v>
      </c>
      <c r="D1821" s="50">
        <v>0</v>
      </c>
      <c r="E1821" s="50">
        <v>0</v>
      </c>
      <c r="F1821" s="50">
        <v>0</v>
      </c>
      <c r="G1821" s="50">
        <v>0</v>
      </c>
      <c r="H1821" s="50">
        <v>0</v>
      </c>
      <c r="I1821" s="50">
        <v>0</v>
      </c>
      <c r="J1821" s="50">
        <v>0</v>
      </c>
      <c r="K1821" s="50">
        <v>0</v>
      </c>
      <c r="L1821" s="50">
        <v>0</v>
      </c>
      <c r="M1821" s="50">
        <v>0</v>
      </c>
      <c r="N1821" s="50">
        <v>0</v>
      </c>
      <c r="O1821" s="50">
        <v>0</v>
      </c>
      <c r="P1821" s="50">
        <v>0</v>
      </c>
      <c r="Q1821" s="50">
        <v>0</v>
      </c>
      <c r="R1821" s="50">
        <v>0</v>
      </c>
    </row>
    <row r="1822" spans="1:18" x14ac:dyDescent="0.25">
      <c r="A1822" s="43" t="s">
        <v>1070</v>
      </c>
      <c r="C1822" s="52">
        <v>0</v>
      </c>
      <c r="D1822" s="50">
        <v>0</v>
      </c>
      <c r="E1822" s="50">
        <v>0</v>
      </c>
      <c r="F1822" s="50">
        <v>0</v>
      </c>
      <c r="G1822" s="50">
        <v>0</v>
      </c>
      <c r="H1822" s="50">
        <v>0</v>
      </c>
      <c r="I1822" s="50">
        <v>0</v>
      </c>
      <c r="J1822" s="54">
        <v>91500</v>
      </c>
      <c r="K1822" s="50">
        <v>0</v>
      </c>
      <c r="L1822" s="50">
        <v>0</v>
      </c>
      <c r="M1822" s="50">
        <v>0</v>
      </c>
      <c r="N1822" s="50">
        <v>100000</v>
      </c>
      <c r="O1822" s="50">
        <v>0</v>
      </c>
      <c r="P1822" s="50">
        <v>0</v>
      </c>
      <c r="Q1822" s="50">
        <v>0</v>
      </c>
      <c r="R1822" s="50">
        <v>0</v>
      </c>
    </row>
    <row r="1823" spans="1:18" x14ac:dyDescent="0.25">
      <c r="A1823" s="43" t="s">
        <v>1143</v>
      </c>
      <c r="C1823" s="59">
        <v>128870</v>
      </c>
      <c r="D1823" s="50">
        <v>37164</v>
      </c>
      <c r="E1823" s="50">
        <v>3057</v>
      </c>
      <c r="F1823" s="50">
        <v>66152</v>
      </c>
      <c r="G1823" s="50">
        <v>0</v>
      </c>
      <c r="H1823" s="50">
        <v>0</v>
      </c>
      <c r="I1823" s="54">
        <v>0</v>
      </c>
      <c r="J1823" s="50">
        <v>82835.959999999963</v>
      </c>
      <c r="K1823" s="50">
        <v>104090.87475999992</v>
      </c>
      <c r="L1823" s="54">
        <f>K1823*1.033</f>
        <v>107525.87362707991</v>
      </c>
      <c r="M1823" s="54">
        <f>L1823*1.032</f>
        <v>110966.70158314647</v>
      </c>
      <c r="N1823" s="54">
        <f>M1823*1.03</f>
        <v>114295.70263064087</v>
      </c>
      <c r="O1823" s="54">
        <f>N1823*1.032</f>
        <v>117953.16511482137</v>
      </c>
      <c r="P1823" s="54">
        <f>O1823*1.034</f>
        <v>121963.5727287253</v>
      </c>
      <c r="Q1823" s="54">
        <f>P1823*1.034</f>
        <v>126110.33420150196</v>
      </c>
      <c r="R1823" s="54">
        <f>Q1823*1.034</f>
        <v>130398.08556435302</v>
      </c>
    </row>
    <row r="1824" spans="1:18" x14ac:dyDescent="0.25">
      <c r="A1824" s="43" t="s">
        <v>1144</v>
      </c>
      <c r="C1824" s="50">
        <v>0</v>
      </c>
      <c r="D1824" s="50">
        <v>0</v>
      </c>
      <c r="E1824" s="50">
        <v>0</v>
      </c>
      <c r="F1824" s="50">
        <v>0</v>
      </c>
      <c r="G1824" s="50">
        <v>0</v>
      </c>
      <c r="H1824" s="50">
        <v>0</v>
      </c>
      <c r="I1824" s="50">
        <v>0</v>
      </c>
      <c r="J1824" s="50">
        <v>0</v>
      </c>
      <c r="K1824" s="50">
        <v>0</v>
      </c>
      <c r="L1824" s="50">
        <v>0</v>
      </c>
      <c r="M1824" s="50">
        <v>0</v>
      </c>
      <c r="N1824" s="50">
        <v>0</v>
      </c>
      <c r="O1824" s="50">
        <v>0</v>
      </c>
      <c r="P1824" s="50">
        <v>0</v>
      </c>
      <c r="Q1824" s="50">
        <v>0</v>
      </c>
      <c r="R1824" s="50">
        <v>0</v>
      </c>
    </row>
    <row r="1825" spans="1:18" x14ac:dyDescent="0.25">
      <c r="A1825" s="43" t="s">
        <v>1145</v>
      </c>
      <c r="C1825" s="52">
        <v>0</v>
      </c>
      <c r="D1825" s="50"/>
      <c r="E1825" s="50"/>
      <c r="F1825" s="50"/>
      <c r="G1825" s="50"/>
      <c r="H1825" s="50"/>
      <c r="I1825" s="50"/>
      <c r="J1825" s="50"/>
      <c r="K1825" s="50"/>
      <c r="L1825" s="50"/>
      <c r="M1825" s="50"/>
      <c r="N1825" s="50"/>
      <c r="O1825" s="50"/>
      <c r="P1825" s="50"/>
      <c r="Q1825" s="50"/>
      <c r="R1825" s="50"/>
    </row>
    <row r="1826" spans="1:18" x14ac:dyDescent="0.25">
      <c r="A1826" s="52" t="s">
        <v>1146</v>
      </c>
      <c r="C1826" s="52"/>
      <c r="D1826" s="50"/>
      <c r="E1826" s="50"/>
      <c r="F1826" s="50"/>
      <c r="G1826" s="50"/>
      <c r="H1826" s="50"/>
      <c r="I1826" s="50"/>
      <c r="J1826" s="50"/>
      <c r="K1826" s="50"/>
      <c r="L1826" s="50"/>
      <c r="M1826" s="50"/>
      <c r="N1826" s="50"/>
      <c r="O1826" s="50"/>
      <c r="P1826" s="50"/>
      <c r="Q1826" s="50"/>
      <c r="R1826" s="50"/>
    </row>
    <row r="1827" spans="1:18" x14ac:dyDescent="0.25">
      <c r="A1827" s="52" t="s">
        <v>901</v>
      </c>
      <c r="C1827" s="52"/>
      <c r="D1827" s="50">
        <v>50000</v>
      </c>
      <c r="E1827" s="50"/>
      <c r="F1827" s="50"/>
      <c r="G1827" s="50"/>
      <c r="H1827" s="50"/>
      <c r="I1827" s="50"/>
      <c r="J1827" s="50"/>
      <c r="K1827" s="50"/>
      <c r="L1827" s="50"/>
      <c r="M1827" s="50"/>
      <c r="N1827" s="50"/>
      <c r="O1827" s="50"/>
      <c r="P1827" s="50"/>
      <c r="Q1827" s="50"/>
      <c r="R1827" s="50"/>
    </row>
    <row r="1828" spans="1:18" x14ac:dyDescent="0.25">
      <c r="A1828" s="52" t="s">
        <v>1147</v>
      </c>
      <c r="B1828" s="53"/>
      <c r="C1828" s="50"/>
      <c r="D1828" s="50"/>
      <c r="E1828" s="50"/>
      <c r="F1828" s="50"/>
      <c r="G1828" s="50"/>
      <c r="H1828" s="50"/>
      <c r="I1828" s="50"/>
      <c r="J1828" s="50"/>
      <c r="K1828" s="50"/>
      <c r="L1828" s="50"/>
      <c r="M1828" s="50"/>
      <c r="N1828" s="50"/>
      <c r="O1828" s="50"/>
      <c r="P1828" s="50"/>
      <c r="Q1828" s="50"/>
      <c r="R1828" s="50"/>
    </row>
    <row r="1829" spans="1:18" x14ac:dyDescent="0.25">
      <c r="A1829" s="52" t="s">
        <v>1148</v>
      </c>
      <c r="B1829" s="53"/>
      <c r="C1829" s="50"/>
      <c r="D1829" s="50">
        <f t="shared" ref="D1829" si="1065">764000-319200</f>
        <v>444800</v>
      </c>
      <c r="E1829" s="50"/>
      <c r="F1829" s="50"/>
      <c r="G1829" s="50"/>
      <c r="H1829" s="50"/>
      <c r="I1829" s="50">
        <v>0</v>
      </c>
      <c r="J1829" s="50"/>
      <c r="K1829" s="50"/>
      <c r="L1829" s="50"/>
      <c r="M1829" s="50"/>
      <c r="N1829" s="50"/>
      <c r="O1829" s="50"/>
      <c r="P1829" s="50"/>
      <c r="Q1829" s="50"/>
      <c r="R1829" s="50"/>
    </row>
    <row r="1830" spans="1:18" s="43" customFormat="1" x14ac:dyDescent="0.25">
      <c r="A1830" s="59" t="s">
        <v>1149</v>
      </c>
      <c r="B1830" s="66"/>
      <c r="C1830" s="50">
        <v>0</v>
      </c>
      <c r="D1830" s="50">
        <v>0</v>
      </c>
      <c r="E1830" s="50">
        <v>0</v>
      </c>
      <c r="F1830" s="50">
        <v>0</v>
      </c>
      <c r="G1830" s="50">
        <v>0</v>
      </c>
      <c r="H1830" s="50">
        <v>0</v>
      </c>
      <c r="I1830" s="50">
        <v>0</v>
      </c>
      <c r="J1830" s="50">
        <v>0</v>
      </c>
      <c r="K1830" s="50">
        <v>0</v>
      </c>
      <c r="L1830" s="50">
        <v>0</v>
      </c>
      <c r="M1830" s="50">
        <v>0</v>
      </c>
      <c r="N1830" s="50">
        <v>0</v>
      </c>
      <c r="O1830" s="50">
        <v>0</v>
      </c>
      <c r="P1830" s="50">
        <v>0</v>
      </c>
      <c r="Q1830" s="50">
        <v>0</v>
      </c>
      <c r="R1830" s="50">
        <v>0</v>
      </c>
    </row>
    <row r="1831" spans="1:18" s="43" customFormat="1" x14ac:dyDescent="0.25">
      <c r="A1831" s="52" t="s">
        <v>1150</v>
      </c>
      <c r="B1831" s="53"/>
      <c r="C1831" s="50">
        <v>0</v>
      </c>
      <c r="D1831" s="50">
        <v>0</v>
      </c>
      <c r="E1831" s="50">
        <v>0</v>
      </c>
      <c r="F1831" s="50">
        <v>0</v>
      </c>
      <c r="G1831" s="50">
        <v>0</v>
      </c>
      <c r="H1831" s="50">
        <v>0</v>
      </c>
      <c r="I1831" s="50">
        <v>0</v>
      </c>
      <c r="J1831" s="50">
        <v>0</v>
      </c>
      <c r="K1831" s="50">
        <v>0</v>
      </c>
      <c r="L1831" s="50">
        <v>0</v>
      </c>
      <c r="M1831" s="50">
        <v>0</v>
      </c>
      <c r="N1831" s="50">
        <v>0</v>
      </c>
      <c r="O1831" s="50">
        <v>0</v>
      </c>
      <c r="P1831" s="50">
        <v>0</v>
      </c>
      <c r="Q1831" s="50">
        <v>0</v>
      </c>
      <c r="R1831" s="50">
        <v>0</v>
      </c>
    </row>
    <row r="1832" spans="1:18" s="43" customFormat="1" x14ac:dyDescent="0.25">
      <c r="A1832" s="52" t="s">
        <v>1151</v>
      </c>
      <c r="B1832" s="53"/>
      <c r="C1832" s="50">
        <v>0</v>
      </c>
      <c r="D1832" s="50">
        <v>0</v>
      </c>
      <c r="E1832" s="50">
        <v>0</v>
      </c>
      <c r="F1832" s="50">
        <v>0</v>
      </c>
      <c r="G1832" s="50">
        <v>0</v>
      </c>
      <c r="H1832" s="50">
        <v>0</v>
      </c>
      <c r="I1832" s="50">
        <v>0</v>
      </c>
      <c r="J1832" s="50">
        <v>0</v>
      </c>
      <c r="K1832" s="50">
        <v>0</v>
      </c>
      <c r="L1832" s="50">
        <v>0</v>
      </c>
      <c r="M1832" s="50">
        <v>0</v>
      </c>
      <c r="N1832" s="50">
        <v>0</v>
      </c>
      <c r="O1832" s="50">
        <v>0</v>
      </c>
      <c r="P1832" s="50">
        <v>0</v>
      </c>
      <c r="Q1832" s="50">
        <v>0</v>
      </c>
      <c r="R1832" s="50">
        <v>0</v>
      </c>
    </row>
    <row r="1833" spans="1:18" s="43" customFormat="1" x14ac:dyDescent="0.25">
      <c r="A1833" s="227" t="s">
        <v>1152</v>
      </c>
      <c r="B1833" s="42"/>
      <c r="C1833" s="50"/>
      <c r="D1833" s="50"/>
      <c r="E1833" s="50"/>
      <c r="F1833" s="50"/>
      <c r="G1833" s="50"/>
      <c r="H1833" s="50"/>
      <c r="I1833" s="50"/>
      <c r="J1833" s="50"/>
      <c r="K1833" s="50"/>
      <c r="L1833" s="50"/>
      <c r="M1833" s="50"/>
      <c r="N1833" s="50"/>
      <c r="O1833" s="50"/>
      <c r="P1833" s="50"/>
      <c r="Q1833" s="50"/>
      <c r="R1833" s="50"/>
    </row>
    <row r="1834" spans="1:18" s="43" customFormat="1" x14ac:dyDescent="0.25">
      <c r="A1834" s="52" t="s">
        <v>732</v>
      </c>
      <c r="B1834" s="42"/>
      <c r="C1834" s="50">
        <v>0</v>
      </c>
      <c r="D1834" s="50">
        <v>0</v>
      </c>
      <c r="E1834" s="50">
        <v>0</v>
      </c>
      <c r="F1834" s="50">
        <v>0</v>
      </c>
      <c r="G1834" s="50">
        <v>0</v>
      </c>
      <c r="H1834" s="50">
        <v>0</v>
      </c>
      <c r="I1834" s="50">
        <v>0</v>
      </c>
      <c r="J1834" s="50">
        <v>0</v>
      </c>
      <c r="K1834" s="50">
        <v>0</v>
      </c>
      <c r="L1834" s="50">
        <v>0</v>
      </c>
      <c r="M1834" s="50">
        <v>0</v>
      </c>
      <c r="N1834" s="50">
        <v>0</v>
      </c>
      <c r="O1834" s="50">
        <v>0</v>
      </c>
      <c r="P1834" s="50">
        <v>0</v>
      </c>
      <c r="Q1834" s="50">
        <v>0</v>
      </c>
      <c r="R1834" s="50">
        <v>0</v>
      </c>
    </row>
    <row r="1835" spans="1:18" s="43" customFormat="1" x14ac:dyDescent="0.25">
      <c r="A1835" s="59" t="s">
        <v>1153</v>
      </c>
      <c r="B1835" s="42"/>
      <c r="C1835" s="50">
        <v>0</v>
      </c>
      <c r="D1835" s="50">
        <v>0</v>
      </c>
      <c r="E1835" s="50">
        <v>0</v>
      </c>
      <c r="F1835" s="50">
        <v>0</v>
      </c>
      <c r="G1835" s="50">
        <v>0</v>
      </c>
      <c r="H1835" s="50">
        <v>0</v>
      </c>
      <c r="I1835" s="50">
        <v>0</v>
      </c>
      <c r="J1835" s="50">
        <v>0</v>
      </c>
      <c r="K1835" s="50">
        <v>0</v>
      </c>
      <c r="L1835" s="50">
        <v>0</v>
      </c>
      <c r="M1835" s="50">
        <v>0</v>
      </c>
      <c r="N1835" s="50">
        <v>0</v>
      </c>
      <c r="O1835" s="50">
        <v>0</v>
      </c>
      <c r="P1835" s="50">
        <v>0</v>
      </c>
      <c r="Q1835" s="50">
        <v>0</v>
      </c>
      <c r="R1835" s="50">
        <v>0</v>
      </c>
    </row>
    <row r="1836" spans="1:18" s="43" customFormat="1" x14ac:dyDescent="0.25">
      <c r="A1836" s="59" t="s">
        <v>1154</v>
      </c>
      <c r="B1836" s="42"/>
      <c r="C1836" s="50">
        <v>0</v>
      </c>
      <c r="D1836" s="50">
        <v>0</v>
      </c>
      <c r="E1836" s="50">
        <v>0</v>
      </c>
      <c r="F1836" s="50">
        <v>0</v>
      </c>
      <c r="G1836" s="50">
        <v>0</v>
      </c>
      <c r="H1836" s="50">
        <v>0</v>
      </c>
      <c r="I1836" s="50">
        <v>0</v>
      </c>
      <c r="J1836" s="50">
        <v>0</v>
      </c>
      <c r="K1836" s="50">
        <v>0</v>
      </c>
      <c r="L1836" s="50">
        <v>0</v>
      </c>
      <c r="M1836" s="50">
        <v>0</v>
      </c>
      <c r="N1836" s="50">
        <v>0</v>
      </c>
      <c r="O1836" s="50">
        <v>0</v>
      </c>
      <c r="P1836" s="50">
        <v>0</v>
      </c>
      <c r="Q1836" s="50">
        <v>0</v>
      </c>
      <c r="R1836" s="50">
        <v>0</v>
      </c>
    </row>
    <row r="1837" spans="1:18" s="43" customFormat="1" x14ac:dyDescent="0.25">
      <c r="A1837" s="59" t="s">
        <v>1155</v>
      </c>
      <c r="B1837" s="42"/>
      <c r="C1837" s="50">
        <v>0</v>
      </c>
      <c r="D1837" s="50">
        <v>0</v>
      </c>
      <c r="E1837" s="50">
        <v>0</v>
      </c>
      <c r="F1837" s="50">
        <v>0</v>
      </c>
      <c r="G1837" s="50">
        <v>0</v>
      </c>
      <c r="H1837" s="50">
        <v>0</v>
      </c>
      <c r="I1837" s="50">
        <v>0</v>
      </c>
      <c r="J1837" s="50">
        <v>0</v>
      </c>
      <c r="K1837" s="50">
        <v>0</v>
      </c>
      <c r="L1837" s="50">
        <v>0</v>
      </c>
      <c r="M1837" s="50">
        <v>0</v>
      </c>
      <c r="N1837" s="50">
        <v>0</v>
      </c>
      <c r="O1837" s="50">
        <v>0</v>
      </c>
      <c r="P1837" s="50">
        <v>0</v>
      </c>
      <c r="Q1837" s="50">
        <v>0</v>
      </c>
      <c r="R1837" s="50">
        <v>0</v>
      </c>
    </row>
    <row r="1838" spans="1:18" s="43" customFormat="1" x14ac:dyDescent="0.25">
      <c r="A1838" s="227" t="s">
        <v>1156</v>
      </c>
      <c r="B1838" s="42"/>
      <c r="C1838" s="50"/>
      <c r="D1838" s="50"/>
      <c r="E1838" s="50"/>
      <c r="F1838" s="50"/>
      <c r="G1838" s="50"/>
      <c r="H1838" s="50"/>
      <c r="I1838" s="50"/>
      <c r="J1838" s="50"/>
      <c r="K1838" s="50"/>
      <c r="L1838" s="50"/>
      <c r="M1838" s="50"/>
      <c r="N1838" s="50"/>
      <c r="O1838" s="50"/>
      <c r="P1838" s="50"/>
      <c r="Q1838" s="50"/>
      <c r="R1838" s="50"/>
    </row>
    <row r="1839" spans="1:18" s="43" customFormat="1" x14ac:dyDescent="0.25">
      <c r="A1839" s="52" t="s">
        <v>1157</v>
      </c>
      <c r="B1839" s="42"/>
      <c r="C1839" s="50"/>
      <c r="D1839" s="50"/>
      <c r="E1839" s="50"/>
      <c r="F1839" s="50"/>
      <c r="G1839" s="50"/>
      <c r="H1839" s="50"/>
      <c r="I1839" s="50"/>
      <c r="J1839" s="50"/>
      <c r="K1839" s="50"/>
      <c r="L1839" s="50"/>
      <c r="M1839" s="50"/>
      <c r="N1839" s="50"/>
      <c r="O1839" s="50"/>
      <c r="P1839" s="50"/>
      <c r="Q1839" s="50"/>
      <c r="R1839" s="50"/>
    </row>
    <row r="1840" spans="1:18" s="43" customFormat="1" x14ac:dyDescent="0.25">
      <c r="A1840" s="52" t="s">
        <v>1158</v>
      </c>
      <c r="B1840" s="42"/>
      <c r="C1840" s="50"/>
      <c r="D1840" s="50"/>
      <c r="E1840" s="50"/>
      <c r="F1840" s="50"/>
      <c r="G1840" s="50"/>
      <c r="H1840" s="50"/>
      <c r="I1840" s="50"/>
      <c r="J1840" s="50"/>
      <c r="K1840" s="50"/>
      <c r="L1840" s="50"/>
      <c r="M1840" s="50"/>
      <c r="N1840" s="50"/>
      <c r="O1840" s="50"/>
      <c r="P1840" s="50"/>
      <c r="Q1840" s="50"/>
      <c r="R1840" s="50"/>
    </row>
    <row r="1841" spans="1:18" s="43" customFormat="1" x14ac:dyDescent="0.25">
      <c r="A1841" s="52" t="s">
        <v>1159</v>
      </c>
      <c r="B1841" s="42"/>
      <c r="C1841" s="50">
        <v>0</v>
      </c>
      <c r="D1841" s="50">
        <v>0</v>
      </c>
      <c r="E1841" s="50">
        <v>0</v>
      </c>
      <c r="F1841" s="50">
        <v>0</v>
      </c>
      <c r="G1841" s="50">
        <v>0</v>
      </c>
      <c r="H1841" s="50">
        <v>0</v>
      </c>
      <c r="I1841" s="50">
        <v>0</v>
      </c>
      <c r="J1841" s="50">
        <v>0</v>
      </c>
      <c r="K1841" s="50">
        <v>0</v>
      </c>
      <c r="L1841" s="50">
        <v>0</v>
      </c>
      <c r="M1841" s="50">
        <v>0</v>
      </c>
      <c r="N1841" s="50">
        <v>0</v>
      </c>
      <c r="O1841" s="50">
        <v>0</v>
      </c>
      <c r="P1841" s="50">
        <v>0</v>
      </c>
      <c r="Q1841" s="50">
        <v>0</v>
      </c>
      <c r="R1841" s="50">
        <v>0</v>
      </c>
    </row>
    <row r="1842" spans="1:18" s="43" customFormat="1" x14ac:dyDescent="0.25">
      <c r="A1842" s="52" t="s">
        <v>1160</v>
      </c>
      <c r="B1842" s="42"/>
      <c r="C1842" s="50">
        <v>0</v>
      </c>
      <c r="D1842" s="50"/>
      <c r="E1842" s="50"/>
      <c r="F1842" s="50"/>
      <c r="G1842" s="50"/>
      <c r="H1842" s="50"/>
      <c r="I1842" s="50"/>
      <c r="J1842" s="50"/>
      <c r="K1842" s="50"/>
      <c r="L1842" s="50"/>
      <c r="M1842" s="50"/>
      <c r="N1842" s="50"/>
      <c r="O1842" s="50"/>
      <c r="P1842" s="50"/>
      <c r="Q1842" s="50"/>
      <c r="R1842" s="50"/>
    </row>
    <row r="1843" spans="1:18" s="43" customFormat="1" x14ac:dyDescent="0.25">
      <c r="A1843" s="52" t="s">
        <v>1161</v>
      </c>
      <c r="B1843" s="42"/>
      <c r="C1843" s="50">
        <v>0</v>
      </c>
      <c r="D1843" s="50"/>
      <c r="E1843" s="50"/>
      <c r="F1843" s="50"/>
      <c r="G1843" s="50"/>
      <c r="H1843" s="50"/>
      <c r="I1843" s="50"/>
      <c r="J1843" s="50"/>
      <c r="K1843" s="50"/>
      <c r="L1843" s="50"/>
      <c r="M1843" s="50"/>
      <c r="N1843" s="50"/>
      <c r="O1843" s="50"/>
      <c r="P1843" s="50"/>
      <c r="Q1843" s="50"/>
      <c r="R1843" s="50"/>
    </row>
    <row r="1844" spans="1:18" s="43" customFormat="1" x14ac:dyDescent="0.25">
      <c r="A1844" s="52" t="s">
        <v>1090</v>
      </c>
      <c r="B1844" s="42"/>
      <c r="C1844" s="50">
        <v>0</v>
      </c>
      <c r="D1844" s="50"/>
      <c r="E1844" s="50"/>
      <c r="F1844" s="50"/>
      <c r="G1844" s="50"/>
      <c r="H1844" s="50"/>
      <c r="I1844" s="50"/>
      <c r="J1844" s="50"/>
      <c r="K1844" s="50"/>
      <c r="L1844" s="50"/>
      <c r="M1844" s="50"/>
      <c r="N1844" s="50"/>
      <c r="O1844" s="50"/>
      <c r="P1844" s="50"/>
      <c r="Q1844" s="50"/>
      <c r="R1844" s="50"/>
    </row>
    <row r="1845" spans="1:18" s="43" customFormat="1" x14ac:dyDescent="0.25">
      <c r="A1845" s="228" t="s">
        <v>1162</v>
      </c>
      <c r="B1845" s="42"/>
      <c r="C1845" s="50"/>
      <c r="D1845" s="50"/>
      <c r="E1845" s="50"/>
      <c r="F1845" s="50"/>
      <c r="G1845" s="50"/>
      <c r="H1845" s="50"/>
      <c r="I1845" s="50"/>
      <c r="J1845" s="50"/>
      <c r="K1845" s="50"/>
      <c r="L1845" s="50"/>
      <c r="M1845" s="50"/>
      <c r="N1845" s="50"/>
      <c r="O1845" s="50"/>
      <c r="P1845" s="50"/>
      <c r="Q1845" s="50"/>
      <c r="R1845" s="50"/>
    </row>
    <row r="1846" spans="1:18" s="43" customFormat="1" x14ac:dyDescent="0.25">
      <c r="A1846" s="43" t="s">
        <v>462</v>
      </c>
      <c r="B1846" s="42"/>
      <c r="C1846" s="50"/>
      <c r="D1846" s="50">
        <v>0</v>
      </c>
      <c r="E1846" s="50">
        <v>0</v>
      </c>
      <c r="F1846" s="50">
        <v>0</v>
      </c>
      <c r="G1846" s="50">
        <v>0</v>
      </c>
      <c r="H1846" s="50">
        <v>0</v>
      </c>
      <c r="I1846" s="50">
        <v>0</v>
      </c>
      <c r="J1846" s="50">
        <v>0</v>
      </c>
      <c r="K1846" s="50">
        <v>0</v>
      </c>
      <c r="L1846" s="50">
        <v>0</v>
      </c>
      <c r="M1846" s="50">
        <v>0</v>
      </c>
      <c r="N1846" s="50">
        <v>0</v>
      </c>
      <c r="O1846" s="50">
        <v>0</v>
      </c>
      <c r="P1846" s="50">
        <v>0</v>
      </c>
      <c r="Q1846" s="50">
        <v>0</v>
      </c>
      <c r="R1846" s="50">
        <v>0</v>
      </c>
    </row>
    <row r="1847" spans="1:18" s="43" customFormat="1" x14ac:dyDescent="0.25">
      <c r="A1847" s="227" t="s">
        <v>1163</v>
      </c>
      <c r="B1847" s="42"/>
      <c r="C1847" s="50"/>
      <c r="D1847" s="50"/>
      <c r="E1847" s="50"/>
      <c r="F1847" s="50"/>
      <c r="G1847" s="50"/>
      <c r="H1847" s="50"/>
      <c r="I1847" s="50"/>
      <c r="J1847" s="50"/>
      <c r="K1847" s="50"/>
      <c r="L1847" s="50"/>
      <c r="M1847" s="50"/>
      <c r="N1847" s="50"/>
      <c r="O1847" s="50"/>
      <c r="P1847" s="50"/>
      <c r="Q1847" s="50"/>
      <c r="R1847" s="50"/>
    </row>
    <row r="1848" spans="1:18" s="43" customFormat="1" x14ac:dyDescent="0.25">
      <c r="A1848" s="52" t="s">
        <v>1164</v>
      </c>
      <c r="B1848" s="42"/>
      <c r="C1848" s="50"/>
      <c r="D1848" s="50"/>
      <c r="E1848" s="50"/>
      <c r="F1848" s="50"/>
      <c r="G1848" s="50"/>
      <c r="H1848" s="50"/>
      <c r="I1848" s="50"/>
      <c r="J1848" s="50"/>
      <c r="K1848" s="50"/>
      <c r="L1848" s="50"/>
      <c r="M1848" s="50"/>
      <c r="N1848" s="50"/>
      <c r="O1848" s="50"/>
      <c r="P1848" s="50"/>
      <c r="Q1848" s="50"/>
      <c r="R1848" s="50"/>
    </row>
    <row r="1849" spans="1:18" s="43" customFormat="1" x14ac:dyDescent="0.25">
      <c r="A1849" s="52" t="s">
        <v>1165</v>
      </c>
      <c r="B1849" s="42"/>
      <c r="C1849" s="52"/>
      <c r="D1849" s="50"/>
      <c r="E1849" s="50"/>
      <c r="F1849" s="50"/>
      <c r="G1849" s="50"/>
      <c r="H1849" s="50"/>
      <c r="I1849" s="50"/>
      <c r="J1849" s="50"/>
      <c r="K1849" s="50"/>
      <c r="L1849" s="50"/>
      <c r="M1849" s="50"/>
      <c r="N1849" s="50"/>
      <c r="O1849" s="50"/>
      <c r="P1849" s="50"/>
      <c r="Q1849" s="50"/>
      <c r="R1849" s="50"/>
    </row>
    <row r="1850" spans="1:18" s="43" customFormat="1" x14ac:dyDescent="0.25">
      <c r="A1850" s="52" t="s">
        <v>1166</v>
      </c>
      <c r="B1850" s="42"/>
      <c r="C1850" s="50"/>
      <c r="D1850" s="50"/>
      <c r="E1850" s="50"/>
      <c r="F1850" s="50"/>
      <c r="G1850" s="50"/>
      <c r="H1850" s="50"/>
      <c r="I1850" s="50"/>
      <c r="J1850" s="50"/>
      <c r="K1850" s="50"/>
      <c r="L1850" s="50"/>
      <c r="M1850" s="50"/>
      <c r="N1850" s="50"/>
      <c r="O1850" s="50"/>
      <c r="P1850" s="50"/>
      <c r="Q1850" s="50"/>
      <c r="R1850" s="50"/>
    </row>
    <row r="1851" spans="1:18" s="43" customFormat="1" x14ac:dyDescent="0.25">
      <c r="A1851" s="52" t="s">
        <v>1167</v>
      </c>
      <c r="B1851" s="42"/>
      <c r="C1851" s="50"/>
      <c r="D1851" s="50"/>
      <c r="E1851" s="50"/>
      <c r="F1851" s="50"/>
      <c r="G1851" s="50"/>
      <c r="H1851" s="50"/>
      <c r="I1851" s="50"/>
      <c r="J1851" s="50"/>
      <c r="K1851" s="50"/>
      <c r="L1851" s="50"/>
      <c r="M1851" s="50"/>
      <c r="N1851" s="50"/>
      <c r="O1851" s="50"/>
      <c r="P1851" s="50"/>
      <c r="Q1851" s="50"/>
      <c r="R1851" s="50"/>
    </row>
    <row r="1852" spans="1:18" s="43" customFormat="1" x14ac:dyDescent="0.25">
      <c r="A1852" s="43" t="s">
        <v>1168</v>
      </c>
      <c r="B1852" s="42"/>
      <c r="C1852" s="50"/>
      <c r="D1852" s="50"/>
      <c r="E1852" s="50"/>
      <c r="F1852" s="50"/>
      <c r="G1852" s="50"/>
      <c r="H1852" s="50"/>
      <c r="I1852" s="50"/>
      <c r="J1852" s="50"/>
      <c r="K1852" s="50"/>
      <c r="L1852" s="50"/>
      <c r="M1852" s="50"/>
      <c r="N1852" s="50"/>
      <c r="O1852" s="50"/>
      <c r="P1852" s="50"/>
      <c r="Q1852" s="50"/>
      <c r="R1852" s="50"/>
    </row>
    <row r="1853" spans="1:18" s="43" customFormat="1" x14ac:dyDescent="0.25">
      <c r="A1853" s="41" t="s">
        <v>1169</v>
      </c>
      <c r="B1853" s="42"/>
      <c r="C1853" s="50"/>
      <c r="D1853" s="50"/>
      <c r="E1853" s="50"/>
      <c r="F1853" s="50"/>
      <c r="G1853" s="50"/>
      <c r="H1853" s="50"/>
      <c r="I1853" s="50"/>
      <c r="J1853" s="50"/>
      <c r="K1853" s="50"/>
      <c r="L1853" s="50"/>
      <c r="M1853" s="50"/>
      <c r="N1853" s="50"/>
      <c r="O1853" s="50"/>
      <c r="P1853" s="50"/>
      <c r="Q1853" s="50"/>
      <c r="R1853" s="50"/>
    </row>
    <row r="1854" spans="1:18" s="43" customFormat="1" x14ac:dyDescent="0.25">
      <c r="A1854" s="52" t="s">
        <v>1170</v>
      </c>
      <c r="B1854" s="42"/>
      <c r="C1854" s="50"/>
      <c r="D1854" s="50"/>
      <c r="E1854" s="50"/>
      <c r="F1854" s="50"/>
      <c r="G1854" s="50"/>
      <c r="H1854" s="50"/>
      <c r="I1854" s="50"/>
      <c r="J1854" s="50"/>
      <c r="K1854" s="50"/>
      <c r="L1854" s="50"/>
      <c r="M1854" s="50"/>
      <c r="N1854" s="50"/>
      <c r="O1854" s="50"/>
      <c r="P1854" s="50"/>
      <c r="Q1854" s="50"/>
      <c r="R1854" s="50"/>
    </row>
    <row r="1855" spans="1:18" s="43" customFormat="1" x14ac:dyDescent="0.25">
      <c r="A1855" s="52" t="s">
        <v>822</v>
      </c>
      <c r="B1855" s="42"/>
      <c r="C1855" s="50"/>
      <c r="D1855" s="50"/>
      <c r="E1855" s="50"/>
      <c r="F1855" s="50"/>
      <c r="G1855" s="50"/>
      <c r="H1855" s="50"/>
      <c r="I1855" s="50"/>
      <c r="J1855" s="50"/>
      <c r="K1855" s="50"/>
      <c r="L1855" s="50"/>
      <c r="M1855" s="50"/>
      <c r="N1855" s="50"/>
      <c r="O1855" s="50"/>
      <c r="P1855" s="50"/>
      <c r="Q1855" s="50"/>
      <c r="R1855" s="50"/>
    </row>
    <row r="1856" spans="1:18" s="43" customFormat="1" x14ac:dyDescent="0.25">
      <c r="A1856" s="52" t="s">
        <v>1171</v>
      </c>
      <c r="B1856" s="42"/>
      <c r="C1856" s="50"/>
      <c r="D1856" s="50"/>
      <c r="E1856" s="50"/>
      <c r="F1856" s="50"/>
      <c r="G1856" s="50"/>
      <c r="H1856" s="50"/>
      <c r="I1856" s="50"/>
      <c r="J1856" s="50"/>
      <c r="K1856" s="50"/>
      <c r="L1856" s="50"/>
      <c r="M1856" s="50"/>
      <c r="N1856" s="50"/>
      <c r="O1856" s="50"/>
      <c r="P1856" s="50"/>
      <c r="Q1856" s="50"/>
      <c r="R1856" s="50"/>
    </row>
    <row r="1857" spans="1:18" s="43" customFormat="1" x14ac:dyDescent="0.25">
      <c r="A1857" s="52" t="s">
        <v>310</v>
      </c>
      <c r="B1857" s="42"/>
      <c r="C1857" s="52"/>
      <c r="D1857" s="50"/>
      <c r="E1857" s="50"/>
      <c r="F1857" s="50"/>
      <c r="G1857" s="50"/>
      <c r="H1857" s="50"/>
      <c r="I1857" s="50"/>
      <c r="J1857" s="50"/>
      <c r="K1857" s="50"/>
      <c r="L1857" s="50"/>
      <c r="M1857" s="50"/>
      <c r="N1857" s="50"/>
      <c r="O1857" s="50"/>
      <c r="P1857" s="50"/>
      <c r="Q1857" s="50"/>
      <c r="R1857" s="50"/>
    </row>
    <row r="1858" spans="1:18" s="43" customFormat="1" x14ac:dyDescent="0.25">
      <c r="A1858" s="52" t="s">
        <v>1172</v>
      </c>
      <c r="B1858" s="42"/>
      <c r="C1858" s="50"/>
      <c r="D1858" s="50"/>
      <c r="E1858" s="50"/>
      <c r="F1858" s="50"/>
      <c r="G1858" s="50"/>
      <c r="H1858" s="50"/>
      <c r="I1858" s="50"/>
      <c r="J1858" s="50"/>
      <c r="K1858" s="50"/>
      <c r="L1858" s="50"/>
      <c r="M1858" s="50"/>
      <c r="N1858" s="50"/>
      <c r="O1858" s="50"/>
      <c r="P1858" s="50"/>
      <c r="Q1858" s="50"/>
      <c r="R1858" s="50"/>
    </row>
    <row r="1859" spans="1:18" s="43" customFormat="1" x14ac:dyDescent="0.25">
      <c r="A1859" s="52" t="s">
        <v>949</v>
      </c>
      <c r="B1859" s="42"/>
      <c r="C1859" s="50"/>
      <c r="D1859" s="50"/>
      <c r="E1859" s="50"/>
      <c r="F1859" s="50"/>
      <c r="G1859" s="50"/>
      <c r="H1859" s="50"/>
      <c r="I1859" s="50"/>
      <c r="J1859" s="50"/>
      <c r="K1859" s="50"/>
      <c r="L1859" s="50"/>
      <c r="M1859" s="50"/>
      <c r="N1859" s="50"/>
      <c r="O1859" s="50"/>
      <c r="P1859" s="50"/>
      <c r="Q1859" s="50"/>
      <c r="R1859" s="50"/>
    </row>
    <row r="1860" spans="1:18" s="43" customFormat="1" x14ac:dyDescent="0.25">
      <c r="A1860" s="52" t="s">
        <v>954</v>
      </c>
      <c r="B1860" s="42"/>
      <c r="C1860" s="50"/>
      <c r="D1860" s="50"/>
      <c r="E1860" s="50"/>
      <c r="F1860" s="50"/>
      <c r="G1860" s="50"/>
      <c r="H1860" s="50"/>
      <c r="I1860" s="50"/>
      <c r="J1860" s="50"/>
      <c r="K1860" s="50"/>
      <c r="L1860" s="50"/>
      <c r="M1860" s="50"/>
      <c r="N1860" s="50"/>
      <c r="O1860" s="50"/>
      <c r="P1860" s="50"/>
      <c r="Q1860" s="50"/>
      <c r="R1860" s="50"/>
    </row>
    <row r="1861" spans="1:18" s="43" customFormat="1" x14ac:dyDescent="0.25">
      <c r="A1861" s="52" t="s">
        <v>542</v>
      </c>
      <c r="B1861" s="42"/>
      <c r="C1861" s="50"/>
      <c r="D1861" s="50"/>
      <c r="E1861" s="50"/>
      <c r="F1861" s="50"/>
      <c r="G1861" s="50"/>
      <c r="H1861" s="50"/>
      <c r="I1861" s="50"/>
      <c r="J1861" s="50"/>
      <c r="K1861" s="50"/>
      <c r="L1861" s="50"/>
      <c r="M1861" s="50"/>
      <c r="N1861" s="50"/>
      <c r="O1861" s="50"/>
      <c r="P1861" s="50"/>
      <c r="Q1861" s="50"/>
      <c r="R1861" s="50"/>
    </row>
    <row r="1862" spans="1:18" s="43" customFormat="1" x14ac:dyDescent="0.25">
      <c r="A1862" s="52" t="s">
        <v>435</v>
      </c>
      <c r="B1862" s="42"/>
      <c r="C1862" s="50"/>
      <c r="D1862" s="50"/>
      <c r="E1862" s="50"/>
      <c r="F1862" s="50"/>
      <c r="G1862" s="50"/>
      <c r="H1862" s="50"/>
      <c r="I1862" s="50"/>
      <c r="J1862" s="50"/>
      <c r="K1862" s="50"/>
      <c r="L1862" s="50"/>
      <c r="M1862" s="50"/>
      <c r="N1862" s="50"/>
      <c r="O1862" s="50"/>
      <c r="P1862" s="50"/>
      <c r="Q1862" s="50"/>
      <c r="R1862" s="50"/>
    </row>
    <row r="1863" spans="1:18" s="43" customFormat="1" x14ac:dyDescent="0.25">
      <c r="A1863" s="52" t="s">
        <v>1173</v>
      </c>
      <c r="B1863" s="42"/>
      <c r="C1863" s="50"/>
      <c r="D1863" s="50"/>
      <c r="E1863" s="50"/>
      <c r="F1863" s="50"/>
      <c r="G1863" s="50"/>
      <c r="H1863" s="50"/>
      <c r="I1863" s="50"/>
      <c r="J1863" s="50"/>
      <c r="K1863" s="50"/>
      <c r="L1863" s="50"/>
      <c r="M1863" s="50"/>
      <c r="N1863" s="50"/>
      <c r="O1863" s="50"/>
      <c r="P1863" s="50"/>
      <c r="Q1863" s="50"/>
      <c r="R1863" s="50"/>
    </row>
    <row r="1864" spans="1:18" s="43" customFormat="1" x14ac:dyDescent="0.25">
      <c r="A1864" s="52" t="s">
        <v>1174</v>
      </c>
      <c r="B1864" s="42"/>
      <c r="C1864" s="50"/>
      <c r="D1864" s="50"/>
      <c r="E1864" s="50"/>
      <c r="F1864" s="50"/>
      <c r="G1864" s="50"/>
      <c r="H1864" s="50"/>
      <c r="I1864" s="50"/>
      <c r="J1864" s="50"/>
      <c r="K1864" s="50"/>
      <c r="L1864" s="50"/>
      <c r="M1864" s="50"/>
      <c r="N1864" s="50"/>
      <c r="O1864" s="50"/>
      <c r="P1864" s="50"/>
      <c r="Q1864" s="50"/>
      <c r="R1864" s="50"/>
    </row>
    <row r="1865" spans="1:18" s="43" customFormat="1" x14ac:dyDescent="0.25">
      <c r="A1865" s="52" t="s">
        <v>604</v>
      </c>
      <c r="B1865" s="42"/>
      <c r="C1865" s="50"/>
      <c r="D1865" s="50"/>
      <c r="E1865" s="50"/>
      <c r="F1865" s="50"/>
      <c r="G1865" s="50"/>
      <c r="H1865" s="50"/>
      <c r="I1865" s="50"/>
      <c r="J1865" s="50"/>
      <c r="K1865" s="50"/>
      <c r="L1865" s="50"/>
      <c r="M1865" s="50"/>
      <c r="N1865" s="50"/>
      <c r="O1865" s="50"/>
      <c r="P1865" s="50"/>
      <c r="Q1865" s="50"/>
      <c r="R1865" s="50"/>
    </row>
    <row r="1866" spans="1:18" s="43" customFormat="1" x14ac:dyDescent="0.25">
      <c r="A1866" s="52" t="s">
        <v>751</v>
      </c>
      <c r="B1866" s="42"/>
      <c r="C1866" s="50"/>
      <c r="D1866" s="50"/>
      <c r="E1866" s="50"/>
      <c r="F1866" s="50"/>
      <c r="G1866" s="50"/>
      <c r="H1866" s="50"/>
      <c r="I1866" s="50"/>
      <c r="J1866" s="50"/>
      <c r="K1866" s="50"/>
      <c r="L1866" s="50"/>
      <c r="M1866" s="50"/>
      <c r="N1866" s="50"/>
      <c r="O1866" s="50"/>
      <c r="P1866" s="50"/>
      <c r="Q1866" s="50"/>
      <c r="R1866" s="50"/>
    </row>
    <row r="1867" spans="1:18" s="43" customFormat="1" x14ac:dyDescent="0.25">
      <c r="A1867" s="52" t="s">
        <v>1084</v>
      </c>
      <c r="B1867" s="42"/>
      <c r="C1867" s="50"/>
      <c r="D1867" s="50"/>
      <c r="E1867" s="50"/>
      <c r="F1867" s="50"/>
      <c r="G1867" s="50"/>
      <c r="H1867" s="50"/>
      <c r="I1867" s="50"/>
      <c r="J1867" s="50"/>
      <c r="K1867" s="50"/>
      <c r="L1867" s="50"/>
      <c r="M1867" s="50"/>
      <c r="N1867" s="50"/>
      <c r="O1867" s="50"/>
      <c r="P1867" s="50"/>
      <c r="Q1867" s="50"/>
      <c r="R1867" s="50"/>
    </row>
    <row r="1868" spans="1:18" s="43" customFormat="1" x14ac:dyDescent="0.25">
      <c r="A1868" s="52" t="s">
        <v>1088</v>
      </c>
      <c r="B1868" s="42"/>
      <c r="C1868" s="52"/>
      <c r="D1868" s="50">
        <v>4975</v>
      </c>
      <c r="E1868" s="50"/>
      <c r="F1868" s="50"/>
      <c r="G1868" s="50"/>
      <c r="H1868" s="50"/>
      <c r="I1868" s="50"/>
      <c r="J1868" s="50"/>
      <c r="K1868" s="50"/>
      <c r="L1868" s="50"/>
      <c r="M1868" s="50"/>
      <c r="N1868" s="50"/>
      <c r="O1868" s="50"/>
      <c r="P1868" s="50"/>
      <c r="Q1868" s="50"/>
      <c r="R1868" s="50"/>
    </row>
    <row r="1869" spans="1:18" s="43" customFormat="1" x14ac:dyDescent="0.25">
      <c r="A1869" s="52" t="s">
        <v>654</v>
      </c>
      <c r="B1869" s="42"/>
      <c r="C1869" s="50"/>
      <c r="D1869" s="50"/>
      <c r="E1869" s="50"/>
      <c r="F1869" s="50"/>
      <c r="G1869" s="50"/>
      <c r="H1869" s="50"/>
      <c r="I1869" s="50"/>
      <c r="J1869" s="50"/>
      <c r="K1869" s="50"/>
      <c r="L1869" s="50"/>
      <c r="M1869" s="50"/>
      <c r="N1869" s="50"/>
      <c r="O1869" s="50"/>
      <c r="P1869" s="50"/>
      <c r="Q1869" s="50"/>
      <c r="R1869" s="50"/>
    </row>
    <row r="1870" spans="1:18" s="43" customFormat="1" x14ac:dyDescent="0.25">
      <c r="A1870" s="52" t="s">
        <v>526</v>
      </c>
      <c r="B1870" s="42"/>
      <c r="C1870" s="52"/>
      <c r="D1870" s="50"/>
      <c r="E1870" s="50"/>
      <c r="F1870" s="50"/>
      <c r="G1870" s="50"/>
      <c r="H1870" s="50"/>
      <c r="I1870" s="50"/>
      <c r="J1870" s="50"/>
      <c r="K1870" s="50"/>
      <c r="L1870" s="50"/>
      <c r="M1870" s="50"/>
      <c r="N1870" s="50"/>
      <c r="O1870" s="50"/>
      <c r="P1870" s="50"/>
      <c r="Q1870" s="50"/>
      <c r="R1870" s="50"/>
    </row>
    <row r="1871" spans="1:18" s="43" customFormat="1" x14ac:dyDescent="0.25">
      <c r="A1871" s="52" t="s">
        <v>462</v>
      </c>
      <c r="B1871" s="42"/>
      <c r="C1871" s="52"/>
      <c r="D1871" s="50"/>
      <c r="E1871" s="50"/>
      <c r="F1871" s="50"/>
      <c r="G1871" s="50"/>
      <c r="H1871" s="50"/>
      <c r="I1871" s="50"/>
      <c r="J1871" s="50"/>
      <c r="K1871" s="50"/>
      <c r="L1871" s="50"/>
      <c r="M1871" s="50"/>
      <c r="N1871" s="50"/>
      <c r="O1871" s="50"/>
      <c r="P1871" s="50"/>
      <c r="Q1871" s="50"/>
      <c r="R1871" s="50"/>
    </row>
    <row r="1872" spans="1:18" s="43" customFormat="1" x14ac:dyDescent="0.25">
      <c r="A1872" s="52" t="s">
        <v>1100</v>
      </c>
      <c r="B1872" s="42"/>
      <c r="C1872" s="52"/>
      <c r="D1872" s="50"/>
      <c r="E1872" s="50"/>
      <c r="F1872" s="50"/>
      <c r="G1872" s="50"/>
      <c r="H1872" s="50"/>
      <c r="I1872" s="50"/>
      <c r="J1872" s="50"/>
      <c r="K1872" s="50"/>
      <c r="L1872" s="50"/>
      <c r="M1872" s="50"/>
      <c r="N1872" s="50"/>
      <c r="O1872" s="50"/>
      <c r="P1872" s="50"/>
      <c r="Q1872" s="50"/>
      <c r="R1872" s="50"/>
    </row>
    <row r="1873" spans="1:18" s="43" customFormat="1" x14ac:dyDescent="0.25">
      <c r="A1873" s="41" t="s">
        <v>1175</v>
      </c>
      <c r="B1873" s="42"/>
      <c r="C1873" s="52"/>
      <c r="D1873" s="50"/>
      <c r="E1873" s="50"/>
      <c r="F1873" s="50"/>
      <c r="G1873" s="50"/>
      <c r="H1873" s="50"/>
      <c r="I1873" s="50"/>
      <c r="J1873" s="50"/>
      <c r="K1873" s="50"/>
      <c r="L1873" s="50"/>
      <c r="M1873" s="50"/>
      <c r="N1873" s="50"/>
      <c r="O1873" s="50"/>
      <c r="P1873" s="50"/>
      <c r="Q1873" s="50"/>
      <c r="R1873" s="50"/>
    </row>
    <row r="1874" spans="1:18" s="43" customFormat="1" x14ac:dyDescent="0.25">
      <c r="A1874" s="52" t="s">
        <v>1176</v>
      </c>
      <c r="B1874" s="42"/>
      <c r="C1874" s="52"/>
      <c r="D1874" s="50"/>
      <c r="E1874" s="50"/>
      <c r="F1874" s="50"/>
      <c r="G1874" s="50"/>
      <c r="H1874" s="50"/>
      <c r="I1874" s="50"/>
      <c r="J1874" s="50"/>
      <c r="K1874" s="50"/>
      <c r="L1874" s="50"/>
      <c r="M1874" s="50"/>
      <c r="N1874" s="50"/>
      <c r="O1874" s="50"/>
      <c r="P1874" s="50"/>
      <c r="Q1874" s="50"/>
      <c r="R1874" s="50"/>
    </row>
    <row r="1875" spans="1:18" s="43" customFormat="1" x14ac:dyDescent="0.25">
      <c r="A1875" s="52" t="s">
        <v>954</v>
      </c>
      <c r="B1875" s="42"/>
      <c r="C1875" s="52"/>
      <c r="D1875" s="50"/>
      <c r="E1875" s="50"/>
      <c r="F1875" s="50"/>
      <c r="G1875" s="50"/>
      <c r="H1875" s="50"/>
      <c r="I1875" s="50"/>
      <c r="J1875" s="50"/>
      <c r="K1875" s="50"/>
      <c r="L1875" s="50"/>
      <c r="M1875" s="50"/>
      <c r="N1875" s="50"/>
      <c r="O1875" s="50"/>
      <c r="P1875" s="50"/>
      <c r="Q1875" s="50"/>
      <c r="R1875" s="50"/>
    </row>
    <row r="1876" spans="1:18" s="43" customFormat="1" x14ac:dyDescent="0.25">
      <c r="A1876" s="52" t="s">
        <v>1084</v>
      </c>
      <c r="B1876" s="42"/>
      <c r="C1876" s="52"/>
      <c r="D1876" s="50"/>
      <c r="E1876" s="50"/>
      <c r="F1876" s="50"/>
      <c r="G1876" s="50"/>
      <c r="H1876" s="50"/>
      <c r="I1876" s="50"/>
      <c r="J1876" s="50"/>
      <c r="K1876" s="50"/>
      <c r="L1876" s="50"/>
      <c r="M1876" s="50"/>
      <c r="N1876" s="50"/>
      <c r="O1876" s="50"/>
      <c r="P1876" s="50"/>
      <c r="Q1876" s="50"/>
      <c r="R1876" s="50"/>
    </row>
    <row r="1877" spans="1:18" s="43" customFormat="1" x14ac:dyDescent="0.25">
      <c r="A1877" s="59" t="s">
        <v>1177</v>
      </c>
      <c r="B1877" s="42"/>
      <c r="C1877" s="52"/>
      <c r="D1877" s="50"/>
      <c r="E1877" s="50"/>
      <c r="F1877" s="50"/>
      <c r="G1877" s="50"/>
      <c r="H1877" s="50"/>
      <c r="I1877" s="50"/>
      <c r="J1877" s="50"/>
      <c r="K1877" s="50"/>
      <c r="L1877" s="50"/>
      <c r="M1877" s="50"/>
      <c r="N1877" s="50"/>
      <c r="O1877" s="50"/>
      <c r="P1877" s="50"/>
      <c r="Q1877" s="50"/>
      <c r="R1877" s="50"/>
    </row>
    <row r="1878" spans="1:18" s="43" customFormat="1" x14ac:dyDescent="0.25">
      <c r="A1878" s="52" t="s">
        <v>627</v>
      </c>
      <c r="B1878" s="42"/>
      <c r="C1878" s="52"/>
      <c r="D1878" s="50"/>
      <c r="E1878" s="50"/>
      <c r="F1878" s="50"/>
      <c r="G1878" s="50"/>
      <c r="H1878" s="50"/>
      <c r="I1878" s="50"/>
      <c r="J1878" s="50"/>
      <c r="K1878" s="50"/>
      <c r="L1878" s="50"/>
      <c r="M1878" s="50"/>
      <c r="N1878" s="50"/>
      <c r="O1878" s="50"/>
      <c r="P1878" s="50"/>
      <c r="Q1878" s="50"/>
      <c r="R1878" s="50"/>
    </row>
    <row r="1879" spans="1:18" s="43" customFormat="1" x14ac:dyDescent="0.25">
      <c r="A1879" s="52" t="s">
        <v>1178</v>
      </c>
      <c r="B1879" s="42"/>
      <c r="C1879" s="52"/>
      <c r="D1879" s="50"/>
      <c r="E1879" s="50"/>
      <c r="F1879" s="50"/>
      <c r="G1879" s="50"/>
      <c r="H1879" s="50"/>
      <c r="I1879" s="50"/>
      <c r="J1879" s="50"/>
      <c r="K1879" s="50"/>
      <c r="L1879" s="50"/>
      <c r="M1879" s="50"/>
      <c r="N1879" s="50"/>
      <c r="O1879" s="50"/>
      <c r="P1879" s="50"/>
      <c r="Q1879" s="50"/>
      <c r="R1879" s="50"/>
    </row>
    <row r="1880" spans="1:18" s="43" customFormat="1" x14ac:dyDescent="0.25">
      <c r="A1880" s="52" t="s">
        <v>792</v>
      </c>
      <c r="B1880" s="42"/>
      <c r="C1880" s="52"/>
      <c r="D1880" s="50"/>
      <c r="E1880" s="50"/>
      <c r="F1880" s="50"/>
      <c r="G1880" s="50"/>
      <c r="H1880" s="50"/>
      <c r="I1880" s="50"/>
      <c r="J1880" s="50"/>
      <c r="K1880" s="50"/>
      <c r="L1880" s="50"/>
      <c r="M1880" s="50"/>
      <c r="N1880" s="50"/>
      <c r="O1880" s="50"/>
      <c r="P1880" s="50"/>
      <c r="Q1880" s="50"/>
      <c r="R1880" s="50"/>
    </row>
    <row r="1881" spans="1:18" s="43" customFormat="1" x14ac:dyDescent="0.25">
      <c r="A1881" s="52" t="s">
        <v>247</v>
      </c>
      <c r="B1881" s="42"/>
      <c r="C1881" s="50">
        <v>2200</v>
      </c>
      <c r="D1881" s="50">
        <v>11636</v>
      </c>
      <c r="E1881" s="50">
        <v>1164</v>
      </c>
      <c r="F1881" s="50"/>
      <c r="G1881" s="50"/>
      <c r="H1881" s="50"/>
      <c r="I1881" s="50"/>
      <c r="J1881" s="50"/>
      <c r="K1881" s="50"/>
      <c r="L1881" s="50"/>
      <c r="M1881" s="50"/>
      <c r="N1881" s="50"/>
      <c r="O1881" s="50"/>
      <c r="P1881" s="50"/>
      <c r="Q1881" s="50"/>
      <c r="R1881" s="50"/>
    </row>
    <row r="1882" spans="1:18" s="43" customFormat="1" x14ac:dyDescent="0.25">
      <c r="A1882" s="52" t="s">
        <v>248</v>
      </c>
      <c r="B1882" s="42"/>
      <c r="C1882" s="50">
        <v>0</v>
      </c>
      <c r="D1882" s="50">
        <v>15476</v>
      </c>
      <c r="E1882" s="50">
        <v>4524</v>
      </c>
      <c r="F1882" s="50"/>
      <c r="G1882" s="50"/>
      <c r="H1882" s="50"/>
      <c r="I1882" s="50"/>
      <c r="J1882" s="50"/>
      <c r="K1882" s="50"/>
      <c r="L1882" s="50"/>
      <c r="M1882" s="50"/>
      <c r="N1882" s="50"/>
      <c r="O1882" s="50"/>
      <c r="P1882" s="50"/>
      <c r="Q1882" s="50"/>
      <c r="R1882" s="50"/>
    </row>
    <row r="1883" spans="1:18" s="43" customFormat="1" x14ac:dyDescent="0.25">
      <c r="A1883" s="52" t="s">
        <v>242</v>
      </c>
      <c r="B1883" s="42"/>
      <c r="C1883" s="50">
        <v>0</v>
      </c>
      <c r="D1883" s="50"/>
      <c r="E1883" s="50"/>
      <c r="F1883" s="50"/>
      <c r="G1883" s="50"/>
      <c r="H1883" s="50"/>
      <c r="I1883" s="50"/>
      <c r="J1883" s="50"/>
      <c r="K1883" s="50"/>
      <c r="L1883" s="50"/>
      <c r="M1883" s="50"/>
      <c r="N1883" s="50"/>
      <c r="O1883" s="50"/>
      <c r="P1883" s="50"/>
      <c r="Q1883" s="50"/>
      <c r="R1883" s="50"/>
    </row>
    <row r="1884" spans="1:18" s="43" customFormat="1" x14ac:dyDescent="0.25">
      <c r="A1884" s="52" t="s">
        <v>310</v>
      </c>
      <c r="B1884" s="42"/>
      <c r="C1884" s="50">
        <v>4617</v>
      </c>
      <c r="D1884" s="50"/>
      <c r="E1884" s="50"/>
      <c r="F1884" s="50"/>
      <c r="G1884" s="50"/>
      <c r="H1884" s="50"/>
      <c r="I1884" s="50"/>
      <c r="J1884" s="50"/>
      <c r="K1884" s="50"/>
      <c r="L1884" s="50"/>
      <c r="M1884" s="50"/>
      <c r="N1884" s="50"/>
      <c r="O1884" s="50"/>
      <c r="P1884" s="50"/>
      <c r="Q1884" s="50"/>
      <c r="R1884" s="50"/>
    </row>
    <row r="1885" spans="1:18" s="43" customFormat="1" x14ac:dyDescent="0.25">
      <c r="A1885" s="52" t="s">
        <v>310</v>
      </c>
      <c r="B1885" s="42"/>
      <c r="C1885" s="50">
        <v>13000</v>
      </c>
      <c r="D1885" s="50">
        <v>8321</v>
      </c>
      <c r="E1885" s="50">
        <v>6078</v>
      </c>
      <c r="F1885" s="50">
        <v>13067</v>
      </c>
      <c r="G1885" s="50"/>
      <c r="H1885" s="50"/>
      <c r="I1885" s="50"/>
      <c r="J1885" s="50"/>
      <c r="K1885" s="50"/>
      <c r="L1885" s="50"/>
      <c r="M1885" s="50"/>
      <c r="N1885" s="50"/>
      <c r="O1885" s="50"/>
      <c r="P1885" s="50"/>
      <c r="Q1885" s="50"/>
      <c r="R1885" s="50"/>
    </row>
    <row r="1886" spans="1:18" s="43" customFormat="1" x14ac:dyDescent="0.25">
      <c r="A1886" s="52" t="s">
        <v>340</v>
      </c>
      <c r="B1886" s="42"/>
      <c r="C1886" s="50">
        <v>8000</v>
      </c>
      <c r="D1886" s="50"/>
      <c r="E1886" s="50"/>
      <c r="F1886" s="50"/>
      <c r="G1886" s="50"/>
      <c r="H1886" s="50"/>
      <c r="I1886" s="50"/>
      <c r="J1886" s="50"/>
      <c r="K1886" s="50"/>
      <c r="L1886" s="50"/>
      <c r="M1886" s="50"/>
      <c r="N1886" s="50"/>
      <c r="O1886" s="50"/>
      <c r="P1886" s="50"/>
      <c r="Q1886" s="50"/>
      <c r="R1886" s="50"/>
    </row>
    <row r="1887" spans="1:18" s="43" customFormat="1" x14ac:dyDescent="0.25">
      <c r="A1887" s="52" t="s">
        <v>349</v>
      </c>
      <c r="B1887" s="42"/>
      <c r="C1887" s="50">
        <v>9448</v>
      </c>
      <c r="D1887" s="50"/>
      <c r="E1887" s="50"/>
      <c r="F1887" s="50"/>
      <c r="G1887" s="50"/>
      <c r="H1887" s="50"/>
      <c r="I1887" s="50"/>
      <c r="J1887" s="50"/>
      <c r="K1887" s="50"/>
      <c r="L1887" s="50"/>
      <c r="M1887" s="50"/>
      <c r="N1887" s="50"/>
      <c r="O1887" s="50"/>
      <c r="P1887" s="50"/>
      <c r="Q1887" s="50"/>
      <c r="R1887" s="50"/>
    </row>
    <row r="1888" spans="1:18" s="43" customFormat="1" x14ac:dyDescent="0.25">
      <c r="A1888" s="52" t="s">
        <v>1179</v>
      </c>
      <c r="B1888" s="42"/>
      <c r="C1888" s="50">
        <v>9223</v>
      </c>
      <c r="D1888" s="50"/>
      <c r="E1888" s="50"/>
      <c r="F1888" s="50"/>
      <c r="G1888" s="50"/>
      <c r="H1888" s="50"/>
      <c r="I1888" s="50"/>
      <c r="J1888" s="50"/>
      <c r="K1888" s="50"/>
      <c r="L1888" s="50"/>
      <c r="M1888" s="50"/>
      <c r="N1888" s="50"/>
      <c r="O1888" s="50"/>
      <c r="P1888" s="50"/>
      <c r="Q1888" s="50"/>
      <c r="R1888" s="50"/>
    </row>
    <row r="1889" spans="1:18" s="43" customFormat="1" x14ac:dyDescent="0.25">
      <c r="A1889" s="52" t="s">
        <v>342</v>
      </c>
      <c r="B1889" s="42"/>
      <c r="C1889" s="50">
        <v>8500</v>
      </c>
      <c r="D1889" s="50"/>
      <c r="E1889" s="50"/>
      <c r="F1889" s="50"/>
      <c r="G1889" s="50"/>
      <c r="H1889" s="50"/>
      <c r="I1889" s="50"/>
      <c r="J1889" s="50"/>
      <c r="K1889" s="50"/>
      <c r="L1889" s="50"/>
      <c r="M1889" s="50"/>
      <c r="N1889" s="50"/>
      <c r="O1889" s="50"/>
      <c r="P1889" s="50"/>
      <c r="Q1889" s="50"/>
      <c r="R1889" s="50"/>
    </row>
    <row r="1890" spans="1:18" s="43" customFormat="1" x14ac:dyDescent="0.25">
      <c r="A1890" s="150" t="s">
        <v>576</v>
      </c>
      <c r="B1890" s="42"/>
      <c r="C1890" s="50">
        <v>48400</v>
      </c>
      <c r="D1890" s="50"/>
      <c r="E1890" s="50"/>
      <c r="F1890" s="50"/>
      <c r="G1890" s="50"/>
      <c r="H1890" s="50"/>
      <c r="I1890" s="50"/>
      <c r="J1890" s="50"/>
      <c r="K1890" s="50"/>
      <c r="L1890" s="50"/>
      <c r="M1890" s="50"/>
      <c r="N1890" s="50"/>
      <c r="O1890" s="50"/>
      <c r="P1890" s="50"/>
      <c r="Q1890" s="50"/>
      <c r="R1890" s="50"/>
    </row>
    <row r="1891" spans="1:18" s="43" customFormat="1" x14ac:dyDescent="0.25">
      <c r="A1891" s="52" t="s">
        <v>627</v>
      </c>
      <c r="B1891" s="42"/>
      <c r="C1891" s="50">
        <v>17700</v>
      </c>
      <c r="D1891" s="50"/>
      <c r="E1891" s="50"/>
      <c r="F1891" s="50"/>
      <c r="G1891" s="50"/>
      <c r="H1891" s="50"/>
      <c r="I1891" s="50"/>
      <c r="J1891" s="50"/>
      <c r="K1891" s="50"/>
      <c r="L1891" s="50"/>
      <c r="M1891" s="50"/>
      <c r="N1891" s="50"/>
      <c r="O1891" s="50"/>
      <c r="P1891" s="50"/>
      <c r="Q1891" s="50"/>
      <c r="R1891" s="50"/>
    </row>
    <row r="1892" spans="1:18" s="43" customFormat="1" x14ac:dyDescent="0.25">
      <c r="A1892" s="52" t="s">
        <v>632</v>
      </c>
      <c r="B1892" s="42"/>
      <c r="C1892" s="50">
        <v>0</v>
      </c>
      <c r="D1892" s="50"/>
      <c r="E1892" s="50"/>
      <c r="F1892" s="50"/>
      <c r="G1892" s="50"/>
      <c r="H1892" s="50"/>
      <c r="I1892" s="50"/>
      <c r="J1892" s="50"/>
      <c r="K1892" s="50"/>
      <c r="L1892" s="50"/>
      <c r="M1892" s="50"/>
      <c r="N1892" s="50"/>
      <c r="O1892" s="50"/>
      <c r="P1892" s="50"/>
      <c r="Q1892" s="50"/>
      <c r="R1892" s="50"/>
    </row>
    <row r="1893" spans="1:18" s="43" customFormat="1" x14ac:dyDescent="0.25">
      <c r="A1893" s="229" t="s">
        <v>674</v>
      </c>
      <c r="B1893" s="42"/>
      <c r="C1893" s="50">
        <v>8500</v>
      </c>
      <c r="D1893" s="50"/>
      <c r="E1893" s="50"/>
      <c r="F1893" s="50"/>
      <c r="G1893" s="50"/>
      <c r="H1893" s="50"/>
      <c r="I1893" s="50"/>
      <c r="J1893" s="50"/>
      <c r="K1893" s="50"/>
      <c r="L1893" s="50"/>
      <c r="M1893" s="50"/>
      <c r="N1893" s="50"/>
      <c r="O1893" s="50"/>
      <c r="P1893" s="50"/>
      <c r="Q1893" s="50"/>
      <c r="R1893" s="50"/>
    </row>
    <row r="1894" spans="1:18" s="43" customFormat="1" x14ac:dyDescent="0.25">
      <c r="A1894" s="229" t="s">
        <v>676</v>
      </c>
      <c r="B1894" s="42"/>
      <c r="C1894" s="50">
        <v>62413</v>
      </c>
      <c r="D1894" s="50"/>
      <c r="E1894" s="50"/>
      <c r="F1894" s="50"/>
      <c r="G1894" s="50"/>
      <c r="H1894" s="50"/>
      <c r="I1894" s="50"/>
      <c r="J1894" s="50"/>
      <c r="K1894" s="50"/>
      <c r="L1894" s="50"/>
      <c r="M1894" s="50"/>
      <c r="N1894" s="50"/>
      <c r="O1894" s="50"/>
      <c r="P1894" s="50"/>
      <c r="Q1894" s="50"/>
      <c r="R1894" s="50"/>
    </row>
    <row r="1895" spans="1:18" s="43" customFormat="1" x14ac:dyDescent="0.25">
      <c r="A1895" s="52" t="s">
        <v>749</v>
      </c>
      <c r="B1895" s="42"/>
      <c r="C1895" s="50">
        <v>55138</v>
      </c>
      <c r="D1895" s="50">
        <v>110065</v>
      </c>
      <c r="E1895" s="50">
        <v>67296</v>
      </c>
      <c r="F1895" s="50">
        <v>60615</v>
      </c>
      <c r="G1895" s="50"/>
      <c r="H1895" s="50"/>
      <c r="I1895" s="50"/>
      <c r="J1895" s="50"/>
      <c r="K1895" s="50"/>
      <c r="L1895" s="50"/>
      <c r="M1895" s="50"/>
      <c r="N1895" s="50"/>
      <c r="O1895" s="50"/>
      <c r="P1895" s="50"/>
      <c r="Q1895" s="50"/>
      <c r="R1895" s="50"/>
    </row>
    <row r="1896" spans="1:18" s="43" customFormat="1" x14ac:dyDescent="0.25">
      <c r="A1896" s="52" t="s">
        <v>751</v>
      </c>
      <c r="B1896" s="42"/>
      <c r="C1896" s="50">
        <v>7800</v>
      </c>
      <c r="D1896" s="50">
        <v>0</v>
      </c>
      <c r="E1896" s="50"/>
      <c r="F1896" s="50"/>
      <c r="G1896" s="50"/>
      <c r="H1896" s="50"/>
      <c r="I1896" s="50"/>
      <c r="J1896" s="50"/>
      <c r="K1896" s="50"/>
      <c r="L1896" s="50"/>
      <c r="M1896" s="50"/>
      <c r="N1896" s="50"/>
      <c r="O1896" s="50"/>
      <c r="P1896" s="50"/>
      <c r="Q1896" s="50"/>
      <c r="R1896" s="50"/>
    </row>
    <row r="1897" spans="1:18" s="43" customFormat="1" x14ac:dyDescent="0.25">
      <c r="A1897" s="185" t="s">
        <v>1180</v>
      </c>
      <c r="B1897" s="42"/>
      <c r="C1897" s="50"/>
      <c r="D1897" s="50">
        <v>20000</v>
      </c>
      <c r="E1897" s="50"/>
      <c r="F1897" s="50"/>
      <c r="G1897" s="50"/>
      <c r="H1897" s="50"/>
      <c r="I1897" s="50"/>
      <c r="J1897" s="50"/>
      <c r="K1897" s="50"/>
      <c r="L1897" s="50"/>
      <c r="M1897" s="50"/>
      <c r="N1897" s="50"/>
      <c r="O1897" s="50"/>
      <c r="P1897" s="50"/>
      <c r="Q1897" s="50"/>
      <c r="R1897" s="50"/>
    </row>
    <row r="1898" spans="1:18" s="43" customFormat="1" x14ac:dyDescent="0.25">
      <c r="A1898" s="187" t="s">
        <v>846</v>
      </c>
      <c r="B1898" s="42"/>
      <c r="C1898" s="50">
        <v>48770</v>
      </c>
      <c r="D1898" s="50">
        <v>139630</v>
      </c>
      <c r="E1898" s="54"/>
      <c r="F1898" s="54"/>
      <c r="G1898" s="54"/>
      <c r="H1898" s="54"/>
      <c r="I1898" s="50"/>
      <c r="J1898" s="50"/>
      <c r="K1898" s="50"/>
      <c r="L1898" s="50"/>
      <c r="M1898" s="50"/>
      <c r="N1898" s="50"/>
      <c r="O1898" s="50"/>
      <c r="P1898" s="50"/>
      <c r="Q1898" s="50"/>
      <c r="R1898" s="50"/>
    </row>
    <row r="1899" spans="1:18" s="43" customFormat="1" x14ac:dyDescent="0.25">
      <c r="A1899" s="210" t="s">
        <v>955</v>
      </c>
      <c r="B1899" s="42"/>
      <c r="C1899" s="50">
        <v>116500</v>
      </c>
      <c r="D1899" s="50"/>
      <c r="E1899" s="50"/>
      <c r="F1899" s="50"/>
      <c r="G1899" s="50"/>
      <c r="H1899" s="50"/>
      <c r="I1899" s="50"/>
      <c r="J1899" s="50"/>
      <c r="K1899" s="50"/>
      <c r="L1899" s="50"/>
      <c r="M1899" s="50"/>
      <c r="N1899" s="50"/>
      <c r="O1899" s="50"/>
      <c r="P1899" s="50"/>
      <c r="Q1899" s="50"/>
      <c r="R1899" s="50"/>
    </row>
    <row r="1900" spans="1:18" s="43" customFormat="1" x14ac:dyDescent="0.25">
      <c r="A1900" s="43" t="s">
        <v>999</v>
      </c>
      <c r="B1900" s="42"/>
      <c r="C1900" s="50">
        <v>12000</v>
      </c>
      <c r="D1900" s="50"/>
      <c r="E1900" s="50"/>
      <c r="F1900" s="50"/>
      <c r="G1900" s="50"/>
      <c r="H1900" s="50"/>
      <c r="I1900" s="50"/>
      <c r="J1900" s="50"/>
      <c r="K1900" s="50"/>
      <c r="L1900" s="50"/>
      <c r="M1900" s="50"/>
      <c r="N1900" s="50"/>
      <c r="O1900" s="50"/>
      <c r="P1900" s="50"/>
      <c r="Q1900" s="50"/>
      <c r="R1900" s="50"/>
    </row>
    <row r="1901" spans="1:18" s="43" customFormat="1" x14ac:dyDescent="0.25">
      <c r="A1901" s="52" t="s">
        <v>1071</v>
      </c>
      <c r="B1901" s="42"/>
      <c r="C1901" s="50">
        <v>3600</v>
      </c>
      <c r="D1901" s="52">
        <v>3600</v>
      </c>
      <c r="E1901" s="52"/>
      <c r="F1901" s="52"/>
      <c r="G1901" s="52"/>
      <c r="H1901" s="52"/>
      <c r="I1901" s="50"/>
      <c r="J1901" s="50"/>
      <c r="K1901" s="50"/>
      <c r="L1901" s="50"/>
      <c r="M1901" s="50"/>
      <c r="N1901" s="50"/>
      <c r="O1901" s="50"/>
      <c r="P1901" s="50"/>
      <c r="Q1901" s="50"/>
      <c r="R1901" s="50"/>
    </row>
    <row r="1902" spans="1:18" s="43" customFormat="1" x14ac:dyDescent="0.25">
      <c r="A1902" s="52" t="s">
        <v>1027</v>
      </c>
      <c r="B1902" s="42"/>
      <c r="C1902" s="50">
        <v>909</v>
      </c>
      <c r="D1902" s="52">
        <f t="shared" ref="D1902" si="1066">9100+100</f>
        <v>9200</v>
      </c>
      <c r="E1902" s="52"/>
      <c r="F1902" s="52"/>
      <c r="G1902" s="52"/>
      <c r="H1902" s="52"/>
      <c r="I1902" s="50"/>
      <c r="J1902" s="50"/>
      <c r="K1902" s="50"/>
      <c r="L1902" s="50"/>
      <c r="M1902" s="50"/>
      <c r="N1902" s="50"/>
      <c r="O1902" s="50"/>
      <c r="P1902" s="50"/>
      <c r="Q1902" s="50"/>
      <c r="R1902" s="50"/>
    </row>
    <row r="1903" spans="1:18" s="43" customFormat="1" x14ac:dyDescent="0.25">
      <c r="A1903" s="43" t="s">
        <v>1082</v>
      </c>
      <c r="B1903" s="42"/>
      <c r="C1903" s="50">
        <v>14500</v>
      </c>
      <c r="D1903" s="50">
        <v>10211</v>
      </c>
      <c r="E1903" s="50">
        <v>16660</v>
      </c>
      <c r="F1903" s="50">
        <v>7390</v>
      </c>
      <c r="G1903" s="50"/>
      <c r="H1903" s="50"/>
      <c r="I1903" s="50"/>
      <c r="J1903" s="50"/>
      <c r="K1903" s="50"/>
      <c r="L1903" s="50"/>
      <c r="M1903" s="50"/>
      <c r="N1903" s="50"/>
      <c r="O1903" s="50"/>
      <c r="P1903" s="50"/>
      <c r="Q1903" s="50"/>
      <c r="R1903" s="50"/>
    </row>
    <row r="1904" spans="1:18" s="43" customFormat="1" x14ac:dyDescent="0.25">
      <c r="A1904" s="52" t="s">
        <v>1090</v>
      </c>
      <c r="B1904" s="42"/>
      <c r="C1904" s="50">
        <v>30000</v>
      </c>
      <c r="D1904" s="50"/>
      <c r="E1904" s="50"/>
      <c r="F1904" s="50"/>
      <c r="G1904" s="50"/>
      <c r="H1904" s="50"/>
      <c r="I1904" s="50"/>
      <c r="J1904" s="50"/>
      <c r="K1904" s="50"/>
      <c r="L1904" s="50"/>
      <c r="M1904" s="50"/>
      <c r="N1904" s="50"/>
      <c r="O1904" s="50"/>
      <c r="P1904" s="50"/>
      <c r="Q1904" s="50"/>
      <c r="R1904" s="50"/>
    </row>
    <row r="1905" spans="1:18" s="43" customFormat="1" x14ac:dyDescent="0.25">
      <c r="A1905" s="43" t="s">
        <v>1088</v>
      </c>
      <c r="B1905" s="42"/>
      <c r="C1905" s="50">
        <v>24830</v>
      </c>
      <c r="D1905" s="50"/>
      <c r="E1905" s="50"/>
      <c r="F1905" s="50"/>
      <c r="G1905" s="50"/>
      <c r="H1905" s="50"/>
      <c r="I1905" s="50"/>
      <c r="J1905" s="50"/>
      <c r="K1905" s="50"/>
      <c r="L1905" s="50"/>
      <c r="M1905" s="50"/>
      <c r="N1905" s="50"/>
      <c r="O1905" s="50"/>
      <c r="P1905" s="50"/>
      <c r="Q1905" s="50"/>
      <c r="R1905" s="50"/>
    </row>
    <row r="1906" spans="1:18" s="43" customFormat="1" x14ac:dyDescent="0.25">
      <c r="A1906" s="43" t="s">
        <v>1094</v>
      </c>
      <c r="B1906" s="42"/>
      <c r="C1906" s="50"/>
      <c r="D1906" s="50">
        <v>5600</v>
      </c>
      <c r="E1906" s="50"/>
      <c r="F1906" s="50"/>
      <c r="G1906" s="50"/>
      <c r="H1906" s="50"/>
      <c r="I1906" s="50"/>
      <c r="J1906" s="50"/>
      <c r="K1906" s="50"/>
      <c r="L1906" s="50"/>
      <c r="M1906" s="50"/>
      <c r="N1906" s="50"/>
      <c r="O1906" s="50"/>
      <c r="P1906" s="50"/>
      <c r="Q1906" s="50"/>
      <c r="R1906" s="50"/>
    </row>
    <row r="1907" spans="1:18" s="43" customFormat="1" x14ac:dyDescent="0.25">
      <c r="A1907" s="43" t="s">
        <v>1096</v>
      </c>
      <c r="B1907" s="42"/>
      <c r="C1907" s="50">
        <v>40000</v>
      </c>
      <c r="D1907" s="50">
        <v>0</v>
      </c>
      <c r="E1907" s="50">
        <v>1500</v>
      </c>
      <c r="F1907" s="50"/>
      <c r="G1907" s="50"/>
      <c r="H1907" s="50"/>
      <c r="I1907" s="50"/>
      <c r="J1907" s="50"/>
      <c r="K1907" s="50"/>
      <c r="L1907" s="50"/>
      <c r="M1907" s="50"/>
      <c r="N1907" s="50"/>
      <c r="O1907" s="50"/>
      <c r="P1907" s="50"/>
      <c r="Q1907" s="50"/>
      <c r="R1907" s="50"/>
    </row>
    <row r="1908" spans="1:18" s="43" customFormat="1" x14ac:dyDescent="0.25">
      <c r="A1908" s="52" t="s">
        <v>1102</v>
      </c>
      <c r="B1908" s="42"/>
      <c r="C1908" s="50">
        <v>19370</v>
      </c>
      <c r="D1908" s="50">
        <v>13251</v>
      </c>
      <c r="E1908" s="50">
        <v>5779</v>
      </c>
      <c r="F1908" s="50">
        <v>20768</v>
      </c>
      <c r="G1908" s="50"/>
      <c r="H1908" s="50"/>
      <c r="I1908" s="50"/>
      <c r="J1908" s="50"/>
      <c r="K1908" s="50"/>
      <c r="L1908" s="50"/>
      <c r="M1908" s="50"/>
      <c r="N1908" s="50"/>
      <c r="O1908" s="50"/>
      <c r="P1908" s="50"/>
      <c r="Q1908" s="50"/>
      <c r="R1908" s="50"/>
    </row>
    <row r="1909" spans="1:18" s="43" customFormat="1" x14ac:dyDescent="0.25">
      <c r="A1909" s="41" t="s">
        <v>1181</v>
      </c>
      <c r="B1909" s="42"/>
      <c r="C1909" s="54"/>
      <c r="D1909" s="50"/>
      <c r="E1909" s="50"/>
      <c r="F1909" s="50"/>
      <c r="G1909" s="50"/>
      <c r="H1909" s="50"/>
      <c r="I1909" s="50"/>
      <c r="J1909" s="50"/>
      <c r="K1909" s="50"/>
      <c r="L1909" s="50"/>
      <c r="M1909" s="50"/>
      <c r="N1909" s="50"/>
      <c r="O1909" s="50"/>
      <c r="P1909" s="50"/>
      <c r="Q1909" s="50"/>
      <c r="R1909" s="50"/>
    </row>
    <row r="1910" spans="1:18" s="43" customFormat="1" x14ac:dyDescent="0.25">
      <c r="A1910" s="43" t="s">
        <v>1182</v>
      </c>
      <c r="B1910" s="42"/>
      <c r="C1910" s="54"/>
      <c r="D1910" s="50">
        <v>16400</v>
      </c>
      <c r="E1910" s="50"/>
      <c r="F1910" s="50"/>
      <c r="G1910" s="50"/>
      <c r="H1910" s="50"/>
      <c r="I1910" s="50"/>
      <c r="J1910" s="50"/>
      <c r="K1910" s="50"/>
      <c r="L1910" s="50"/>
      <c r="M1910" s="50"/>
      <c r="N1910" s="50"/>
      <c r="O1910" s="50"/>
      <c r="P1910" s="50"/>
      <c r="Q1910" s="50"/>
      <c r="R1910" s="50"/>
    </row>
    <row r="1911" spans="1:18" s="43" customFormat="1" x14ac:dyDescent="0.25">
      <c r="A1911" s="230" t="s">
        <v>487</v>
      </c>
      <c r="B1911" s="42"/>
      <c r="C1911" s="54"/>
      <c r="D1911" s="50">
        <v>25727</v>
      </c>
      <c r="E1911" s="50"/>
      <c r="F1911" s="50"/>
      <c r="G1911" s="50"/>
      <c r="H1911" s="50"/>
      <c r="I1911" s="50"/>
      <c r="J1911" s="50"/>
      <c r="K1911" s="50"/>
      <c r="L1911" s="50"/>
      <c r="M1911" s="50"/>
      <c r="N1911" s="50"/>
      <c r="O1911" s="50"/>
      <c r="P1911" s="50"/>
      <c r="Q1911" s="50"/>
      <c r="R1911" s="50"/>
    </row>
    <row r="1912" spans="1:18" s="43" customFormat="1" x14ac:dyDescent="0.25">
      <c r="A1912" s="214" t="s">
        <v>317</v>
      </c>
      <c r="B1912" s="42"/>
      <c r="C1912" s="54"/>
      <c r="D1912" s="50">
        <v>220215</v>
      </c>
      <c r="E1912" s="50"/>
      <c r="F1912" s="50"/>
      <c r="G1912" s="50"/>
      <c r="H1912" s="50"/>
      <c r="I1912" s="50"/>
      <c r="J1912" s="50"/>
      <c r="K1912" s="50"/>
      <c r="L1912" s="50"/>
      <c r="M1912" s="50"/>
      <c r="N1912" s="50"/>
      <c r="O1912" s="50"/>
      <c r="P1912" s="50"/>
      <c r="Q1912" s="50"/>
      <c r="R1912" s="50"/>
    </row>
    <row r="1913" spans="1:18" s="43" customFormat="1" x14ac:dyDescent="0.25">
      <c r="A1913" s="231" t="s">
        <v>1183</v>
      </c>
      <c r="B1913" s="42"/>
      <c r="C1913" s="54"/>
      <c r="D1913" s="50">
        <v>161001</v>
      </c>
      <c r="E1913" s="50"/>
      <c r="F1913" s="50"/>
      <c r="G1913" s="50"/>
      <c r="H1913" s="50"/>
      <c r="I1913" s="50"/>
      <c r="J1913" s="50"/>
      <c r="K1913" s="50"/>
      <c r="L1913" s="50"/>
      <c r="M1913" s="50"/>
      <c r="N1913" s="50"/>
      <c r="O1913" s="50"/>
      <c r="P1913" s="50"/>
      <c r="Q1913" s="50"/>
      <c r="R1913" s="50"/>
    </row>
    <row r="1914" spans="1:18" s="43" customFormat="1" x14ac:dyDescent="0.25">
      <c r="A1914" s="232" t="s">
        <v>839</v>
      </c>
      <c r="B1914" s="42"/>
      <c r="C1914" s="54"/>
      <c r="D1914" s="50">
        <v>73000</v>
      </c>
      <c r="E1914" s="50"/>
      <c r="F1914" s="50"/>
      <c r="G1914" s="50"/>
      <c r="H1914" s="50"/>
      <c r="I1914" s="50"/>
      <c r="J1914" s="50"/>
      <c r="K1914" s="50"/>
      <c r="L1914" s="50"/>
      <c r="M1914" s="50"/>
      <c r="N1914" s="50"/>
      <c r="O1914" s="50"/>
      <c r="P1914" s="50"/>
      <c r="Q1914" s="50"/>
      <c r="R1914" s="50"/>
    </row>
    <row r="1915" spans="1:18" s="43" customFormat="1" x14ac:dyDescent="0.25">
      <c r="A1915" s="208" t="s">
        <v>957</v>
      </c>
      <c r="B1915" s="42"/>
      <c r="C1915" s="54"/>
      <c r="D1915" s="50">
        <v>37859</v>
      </c>
      <c r="E1915" s="50"/>
      <c r="F1915" s="50"/>
      <c r="G1915" s="50"/>
      <c r="H1915" s="50"/>
      <c r="I1915" s="50"/>
      <c r="J1915" s="50"/>
      <c r="K1915" s="50"/>
      <c r="L1915" s="50"/>
      <c r="M1915" s="50"/>
      <c r="N1915" s="50"/>
      <c r="O1915" s="50"/>
      <c r="P1915" s="50"/>
      <c r="Q1915" s="50"/>
      <c r="R1915" s="50"/>
    </row>
    <row r="1916" spans="1:18" s="43" customFormat="1" x14ac:dyDescent="0.25">
      <c r="A1916" s="181" t="s">
        <v>800</v>
      </c>
      <c r="B1916" s="42"/>
      <c r="C1916" s="54"/>
      <c r="D1916" s="50">
        <v>8914</v>
      </c>
      <c r="E1916" s="50">
        <v>18777</v>
      </c>
      <c r="F1916" s="50">
        <v>18518</v>
      </c>
      <c r="G1916" s="50"/>
      <c r="H1916" s="50"/>
      <c r="I1916" s="50"/>
      <c r="J1916" s="50"/>
      <c r="K1916" s="50"/>
      <c r="L1916" s="50"/>
      <c r="M1916" s="50"/>
      <c r="N1916" s="50"/>
      <c r="O1916" s="50"/>
      <c r="P1916" s="50"/>
      <c r="Q1916" s="50"/>
      <c r="R1916" s="50"/>
    </row>
    <row r="1917" spans="1:18" s="43" customFormat="1" x14ac:dyDescent="0.25">
      <c r="A1917" s="181" t="s">
        <v>802</v>
      </c>
      <c r="B1917" s="42"/>
      <c r="C1917" s="54"/>
      <c r="D1917" s="50">
        <v>0</v>
      </c>
      <c r="E1917" s="50"/>
      <c r="F1917" s="50"/>
      <c r="G1917" s="50"/>
      <c r="H1917" s="50"/>
      <c r="I1917" s="50"/>
      <c r="J1917" s="50"/>
      <c r="K1917" s="50"/>
      <c r="L1917" s="50"/>
      <c r="M1917" s="50"/>
      <c r="N1917" s="50"/>
      <c r="O1917" s="50"/>
      <c r="P1917" s="50"/>
      <c r="Q1917" s="50"/>
      <c r="R1917" s="50"/>
    </row>
    <row r="1918" spans="1:18" s="43" customFormat="1" x14ac:dyDescent="0.25">
      <c r="A1918" s="52" t="s">
        <v>804</v>
      </c>
      <c r="B1918" s="42"/>
      <c r="C1918" s="54"/>
      <c r="D1918" s="50">
        <v>10000</v>
      </c>
      <c r="E1918" s="50"/>
      <c r="F1918" s="50"/>
      <c r="G1918" s="50"/>
      <c r="H1918" s="50"/>
      <c r="I1918" s="50"/>
      <c r="J1918" s="50"/>
      <c r="K1918" s="50"/>
      <c r="L1918" s="50"/>
      <c r="M1918" s="50"/>
      <c r="N1918" s="50"/>
      <c r="O1918" s="50"/>
      <c r="P1918" s="50"/>
      <c r="Q1918" s="50"/>
      <c r="R1918" s="50"/>
    </row>
    <row r="1919" spans="1:18" s="43" customFormat="1" x14ac:dyDescent="0.25">
      <c r="A1919" s="52" t="s">
        <v>588</v>
      </c>
      <c r="B1919" s="42"/>
      <c r="C1919" s="54"/>
      <c r="D1919" s="50">
        <v>60800</v>
      </c>
      <c r="E1919" s="50"/>
      <c r="F1919" s="50"/>
      <c r="G1919" s="50"/>
      <c r="H1919" s="50"/>
      <c r="I1919" s="50"/>
      <c r="J1919" s="50"/>
      <c r="K1919" s="50"/>
      <c r="L1919" s="50"/>
      <c r="M1919" s="50"/>
      <c r="N1919" s="50"/>
      <c r="O1919" s="50"/>
      <c r="P1919" s="50"/>
      <c r="Q1919" s="50"/>
      <c r="R1919" s="50"/>
    </row>
    <row r="1920" spans="1:18" s="43" customFormat="1" x14ac:dyDescent="0.25">
      <c r="A1920" s="41" t="s">
        <v>1184</v>
      </c>
      <c r="B1920" s="42"/>
      <c r="C1920" s="54"/>
      <c r="D1920" s="50"/>
      <c r="E1920" s="50"/>
      <c r="F1920" s="50"/>
      <c r="G1920" s="50"/>
      <c r="H1920" s="50"/>
      <c r="I1920" s="50"/>
      <c r="J1920" s="50"/>
      <c r="K1920" s="50"/>
      <c r="L1920" s="50"/>
      <c r="M1920" s="50"/>
      <c r="N1920" s="50"/>
      <c r="O1920" s="50"/>
      <c r="P1920" s="50"/>
      <c r="Q1920" s="50"/>
      <c r="R1920" s="50"/>
    </row>
    <row r="1921" spans="1:18" s="43" customFormat="1" x14ac:dyDescent="0.25">
      <c r="A1921" s="230" t="s">
        <v>487</v>
      </c>
      <c r="B1921" s="42"/>
      <c r="C1921" s="54"/>
      <c r="D1921" s="50"/>
      <c r="E1921" s="50">
        <v>5000</v>
      </c>
      <c r="F1921" s="50"/>
      <c r="G1921" s="50"/>
      <c r="H1921" s="50"/>
      <c r="I1921" s="50"/>
      <c r="J1921" s="50"/>
      <c r="K1921" s="50"/>
      <c r="L1921" s="50"/>
      <c r="M1921" s="50"/>
      <c r="N1921" s="50"/>
      <c r="O1921" s="50"/>
      <c r="P1921" s="50"/>
      <c r="Q1921" s="50"/>
      <c r="R1921" s="50"/>
    </row>
    <row r="1922" spans="1:18" s="43" customFormat="1" x14ac:dyDescent="0.25">
      <c r="A1922" s="214" t="s">
        <v>317</v>
      </c>
      <c r="B1922" s="42"/>
      <c r="C1922" s="54"/>
      <c r="D1922" s="50"/>
      <c r="E1922" s="50">
        <v>182548</v>
      </c>
      <c r="F1922" s="50"/>
      <c r="G1922" s="50"/>
      <c r="H1922" s="50"/>
      <c r="I1922" s="50"/>
      <c r="J1922" s="50"/>
      <c r="K1922" s="50"/>
      <c r="L1922" s="50"/>
      <c r="M1922" s="50"/>
      <c r="N1922" s="50"/>
      <c r="O1922" s="50"/>
      <c r="P1922" s="50"/>
      <c r="Q1922" s="50"/>
      <c r="R1922" s="50"/>
    </row>
    <row r="1923" spans="1:18" s="43" customFormat="1" x14ac:dyDescent="0.25">
      <c r="A1923" s="231" t="s">
        <v>1183</v>
      </c>
      <c r="B1923" s="42"/>
      <c r="C1923" s="54"/>
      <c r="D1923" s="50"/>
      <c r="E1923" s="50">
        <v>200535</v>
      </c>
      <c r="F1923" s="50"/>
      <c r="G1923" s="50"/>
      <c r="H1923" s="50"/>
      <c r="I1923" s="50"/>
      <c r="J1923" s="50"/>
      <c r="K1923" s="50"/>
      <c r="L1923" s="50"/>
      <c r="M1923" s="50"/>
      <c r="N1923" s="50"/>
      <c r="O1923" s="50"/>
      <c r="P1923" s="50"/>
      <c r="Q1923" s="50"/>
      <c r="R1923" s="50"/>
    </row>
    <row r="1924" spans="1:18" s="43" customFormat="1" x14ac:dyDescent="0.25">
      <c r="A1924" s="232" t="s">
        <v>839</v>
      </c>
      <c r="B1924" s="42"/>
      <c r="C1924" s="54"/>
      <c r="D1924" s="50"/>
      <c r="E1924" s="50">
        <v>86084</v>
      </c>
      <c r="F1924" s="50"/>
      <c r="G1924" s="50"/>
      <c r="H1924" s="50"/>
      <c r="I1924" s="50"/>
      <c r="J1924" s="50"/>
      <c r="K1924" s="50"/>
      <c r="L1924" s="50"/>
      <c r="M1924" s="50"/>
      <c r="N1924" s="50"/>
      <c r="O1924" s="50"/>
      <c r="P1924" s="50"/>
      <c r="Q1924" s="50"/>
      <c r="R1924" s="50"/>
    </row>
    <row r="1925" spans="1:18" s="43" customFormat="1" x14ac:dyDescent="0.25">
      <c r="A1925" s="52" t="s">
        <v>1185</v>
      </c>
      <c r="B1925" s="42"/>
      <c r="C1925" s="54"/>
      <c r="D1925" s="50"/>
      <c r="E1925" s="50">
        <v>118266</v>
      </c>
      <c r="F1925" s="50"/>
      <c r="G1925" s="50"/>
      <c r="H1925" s="50"/>
      <c r="I1925" s="50"/>
      <c r="J1925" s="50"/>
      <c r="K1925" s="50"/>
      <c r="L1925" s="50"/>
      <c r="M1925" s="50"/>
      <c r="N1925" s="50"/>
      <c r="O1925" s="50"/>
      <c r="P1925" s="50"/>
      <c r="Q1925" s="50"/>
      <c r="R1925" s="50"/>
    </row>
    <row r="1926" spans="1:18" s="43" customFormat="1" x14ac:dyDescent="0.25">
      <c r="A1926" s="52" t="s">
        <v>1186</v>
      </c>
      <c r="B1926" s="42"/>
      <c r="C1926" s="52"/>
      <c r="D1926" s="50"/>
      <c r="E1926" s="50">
        <v>26400</v>
      </c>
      <c r="F1926" s="50"/>
      <c r="G1926" s="50"/>
      <c r="H1926" s="50"/>
      <c r="I1926" s="50"/>
      <c r="J1926" s="50"/>
      <c r="K1926" s="50"/>
      <c r="L1926" s="50"/>
      <c r="M1926" s="50"/>
      <c r="N1926" s="50"/>
      <c r="O1926" s="50"/>
      <c r="P1926" s="50"/>
      <c r="Q1926" s="50"/>
      <c r="R1926" s="50"/>
    </row>
    <row r="1927" spans="1:18" s="43" customFormat="1" x14ac:dyDescent="0.25">
      <c r="A1927" s="52" t="s">
        <v>1187</v>
      </c>
      <c r="B1927" s="42"/>
      <c r="C1927" s="52"/>
      <c r="D1927" s="50"/>
      <c r="E1927" s="50">
        <v>36939</v>
      </c>
      <c r="F1927" s="50"/>
      <c r="G1927" s="50"/>
      <c r="H1927" s="50"/>
      <c r="I1927" s="50"/>
      <c r="J1927" s="50"/>
      <c r="K1927" s="50"/>
      <c r="L1927" s="50"/>
      <c r="M1927" s="50"/>
      <c r="N1927" s="50"/>
      <c r="O1927" s="50"/>
      <c r="P1927" s="50"/>
      <c r="Q1927" s="50"/>
      <c r="R1927" s="50"/>
    </row>
    <row r="1928" spans="1:18" s="43" customFormat="1" x14ac:dyDescent="0.25">
      <c r="A1928" s="52" t="s">
        <v>1187</v>
      </c>
      <c r="B1928" s="42"/>
      <c r="C1928" s="52"/>
      <c r="D1928" s="50"/>
      <c r="E1928" s="50">
        <v>29159</v>
      </c>
      <c r="F1928" s="50"/>
      <c r="G1928" s="50"/>
      <c r="H1928" s="50"/>
      <c r="I1928" s="50"/>
      <c r="J1928" s="50"/>
      <c r="K1928" s="50"/>
      <c r="L1928" s="50"/>
      <c r="M1928" s="50"/>
      <c r="N1928" s="50"/>
      <c r="O1928" s="50"/>
      <c r="P1928" s="50"/>
      <c r="Q1928" s="50"/>
      <c r="R1928" s="50"/>
    </row>
    <row r="1929" spans="1:18" s="43" customFormat="1" x14ac:dyDescent="0.25">
      <c r="A1929" s="52" t="s">
        <v>1083</v>
      </c>
      <c r="B1929" s="42"/>
      <c r="C1929" s="52"/>
      <c r="D1929" s="50"/>
      <c r="E1929" s="50">
        <v>4855</v>
      </c>
      <c r="F1929" s="50">
        <v>6600</v>
      </c>
      <c r="G1929" s="50"/>
      <c r="H1929" s="50"/>
      <c r="I1929" s="50"/>
      <c r="J1929" s="50"/>
      <c r="K1929" s="50"/>
      <c r="L1929" s="50"/>
      <c r="M1929" s="50"/>
      <c r="N1929" s="50"/>
      <c r="O1929" s="50"/>
      <c r="P1929" s="50"/>
      <c r="Q1929" s="50"/>
      <c r="R1929" s="50"/>
    </row>
    <row r="1930" spans="1:18" s="43" customFormat="1" x14ac:dyDescent="0.25">
      <c r="A1930" s="52" t="s">
        <v>1084</v>
      </c>
      <c r="B1930" s="42"/>
      <c r="C1930" s="52"/>
      <c r="D1930" s="50"/>
      <c r="E1930" s="50"/>
      <c r="F1930" s="50"/>
      <c r="G1930" s="50"/>
      <c r="H1930" s="50"/>
      <c r="I1930" s="50"/>
      <c r="J1930" s="50"/>
      <c r="K1930" s="50"/>
      <c r="L1930" s="50"/>
      <c r="M1930" s="50"/>
      <c r="N1930" s="50"/>
      <c r="O1930" s="50"/>
      <c r="P1930" s="50"/>
      <c r="Q1930" s="50"/>
      <c r="R1930" s="50"/>
    </row>
    <row r="1931" spans="1:18" s="43" customFormat="1" x14ac:dyDescent="0.25">
      <c r="A1931" s="52" t="s">
        <v>1188</v>
      </c>
      <c r="B1931" s="42"/>
      <c r="C1931" s="52"/>
      <c r="D1931" s="50"/>
      <c r="E1931" s="50"/>
      <c r="F1931" s="50"/>
      <c r="G1931" s="50"/>
      <c r="H1931" s="50"/>
      <c r="I1931" s="50"/>
      <c r="J1931" s="50"/>
      <c r="K1931" s="50"/>
      <c r="L1931" s="50"/>
      <c r="M1931" s="50"/>
      <c r="N1931" s="50"/>
      <c r="O1931" s="50"/>
      <c r="P1931" s="50"/>
      <c r="Q1931" s="50"/>
      <c r="R1931" s="50"/>
    </row>
    <row r="1932" spans="1:18" s="43" customFormat="1" x14ac:dyDescent="0.25">
      <c r="A1932" s="52" t="s">
        <v>1046</v>
      </c>
      <c r="B1932" s="42"/>
      <c r="C1932" s="52"/>
      <c r="D1932" s="50"/>
      <c r="E1932" s="50">
        <v>18000</v>
      </c>
      <c r="F1932" s="50"/>
      <c r="G1932" s="50"/>
      <c r="H1932" s="50"/>
      <c r="I1932" s="50"/>
      <c r="J1932" s="50"/>
      <c r="K1932" s="50"/>
      <c r="L1932" s="50"/>
      <c r="M1932" s="50"/>
      <c r="N1932" s="50"/>
      <c r="O1932" s="50"/>
      <c r="P1932" s="50"/>
      <c r="Q1932" s="50"/>
      <c r="R1932" s="50"/>
    </row>
    <row r="1933" spans="1:18" s="43" customFormat="1" x14ac:dyDescent="0.25">
      <c r="A1933" s="52" t="s">
        <v>1189</v>
      </c>
      <c r="B1933" s="42"/>
      <c r="C1933" s="52"/>
      <c r="D1933" s="50"/>
      <c r="E1933" s="50"/>
      <c r="F1933" s="50">
        <v>30000</v>
      </c>
      <c r="G1933" s="50"/>
      <c r="H1933" s="50"/>
      <c r="I1933" s="50"/>
      <c r="J1933" s="50"/>
      <c r="K1933" s="50"/>
      <c r="L1933" s="50"/>
      <c r="M1933" s="50"/>
      <c r="N1933" s="50"/>
      <c r="O1933" s="50"/>
      <c r="P1933" s="50"/>
      <c r="Q1933" s="50"/>
      <c r="R1933" s="50"/>
    </row>
    <row r="1934" spans="1:18" s="43" customFormat="1" x14ac:dyDescent="0.25">
      <c r="A1934" s="52" t="s">
        <v>1190</v>
      </c>
      <c r="B1934" s="42"/>
      <c r="C1934" s="52"/>
      <c r="D1934" s="50">
        <v>20477</v>
      </c>
      <c r="E1934" s="50">
        <v>343</v>
      </c>
      <c r="F1934" s="50">
        <v>4082</v>
      </c>
      <c r="G1934" s="50"/>
      <c r="H1934" s="50"/>
      <c r="I1934" s="50"/>
      <c r="J1934" s="50"/>
      <c r="K1934" s="50"/>
      <c r="L1934" s="50"/>
      <c r="M1934" s="50"/>
      <c r="N1934" s="50"/>
      <c r="O1934" s="50"/>
      <c r="P1934" s="50"/>
      <c r="Q1934" s="50"/>
      <c r="R1934" s="50"/>
    </row>
    <row r="1935" spans="1:18" s="43" customFormat="1" x14ac:dyDescent="0.25">
      <c r="A1935" s="52" t="s">
        <v>806</v>
      </c>
      <c r="B1935" s="42"/>
      <c r="C1935" s="52"/>
      <c r="D1935" s="50"/>
      <c r="E1935" s="50">
        <v>480</v>
      </c>
      <c r="F1935" s="50"/>
      <c r="G1935" s="50"/>
      <c r="H1935" s="50"/>
      <c r="I1935" s="50"/>
      <c r="J1935" s="50"/>
      <c r="K1935" s="50"/>
      <c r="L1935" s="50"/>
      <c r="M1935" s="50"/>
      <c r="N1935" s="50"/>
      <c r="O1935" s="50"/>
      <c r="P1935" s="50"/>
      <c r="Q1935" s="50"/>
      <c r="R1935" s="50"/>
    </row>
    <row r="1936" spans="1:18" s="43" customFormat="1" x14ac:dyDescent="0.25">
      <c r="A1936" s="52" t="s">
        <v>872</v>
      </c>
      <c r="B1936" s="42"/>
      <c r="C1936" s="52"/>
      <c r="D1936" s="50"/>
      <c r="E1936" s="50">
        <v>10000</v>
      </c>
      <c r="F1936" s="50"/>
      <c r="G1936" s="50"/>
      <c r="H1936" s="50"/>
      <c r="I1936" s="50"/>
      <c r="J1936" s="50"/>
      <c r="K1936" s="50"/>
      <c r="L1936" s="50"/>
      <c r="M1936" s="50"/>
      <c r="N1936" s="50"/>
      <c r="O1936" s="50"/>
      <c r="P1936" s="50"/>
      <c r="Q1936" s="50"/>
      <c r="R1936" s="50"/>
    </row>
    <row r="1937" spans="1:18" s="43" customFormat="1" x14ac:dyDescent="0.25">
      <c r="A1937" s="52" t="s">
        <v>1191</v>
      </c>
      <c r="B1937" s="42"/>
      <c r="C1937" s="52"/>
      <c r="D1937" s="50"/>
      <c r="E1937" s="50">
        <v>10000</v>
      </c>
      <c r="F1937" s="50">
        <v>11053</v>
      </c>
      <c r="G1937" s="50"/>
      <c r="H1937" s="50"/>
      <c r="I1937" s="50"/>
      <c r="J1937" s="50"/>
      <c r="K1937" s="50"/>
      <c r="L1937" s="50"/>
      <c r="M1937" s="50"/>
      <c r="N1937" s="50"/>
      <c r="O1937" s="50"/>
      <c r="P1937" s="50"/>
      <c r="Q1937" s="50"/>
      <c r="R1937" s="50"/>
    </row>
    <row r="1938" spans="1:18" s="43" customFormat="1" x14ac:dyDescent="0.25">
      <c r="A1938" s="52" t="s">
        <v>951</v>
      </c>
      <c r="B1938" s="42"/>
      <c r="C1938" s="52"/>
      <c r="D1938" s="50"/>
      <c r="E1938" s="50">
        <v>6908</v>
      </c>
      <c r="F1938" s="50"/>
      <c r="G1938" s="50"/>
      <c r="H1938" s="50"/>
      <c r="I1938" s="50"/>
      <c r="J1938" s="50"/>
      <c r="K1938" s="50"/>
      <c r="L1938" s="50"/>
      <c r="M1938" s="50"/>
      <c r="N1938" s="50"/>
      <c r="O1938" s="50"/>
      <c r="P1938" s="50"/>
      <c r="Q1938" s="50"/>
      <c r="R1938" s="50"/>
    </row>
    <row r="1939" spans="1:18" s="43" customFormat="1" x14ac:dyDescent="0.25">
      <c r="A1939" s="41" t="s">
        <v>1192</v>
      </c>
      <c r="B1939" s="42"/>
      <c r="C1939" s="52"/>
      <c r="D1939" s="50"/>
      <c r="E1939" s="50"/>
      <c r="F1939" s="50"/>
      <c r="G1939" s="50"/>
      <c r="H1939" s="50"/>
      <c r="I1939" s="50"/>
      <c r="J1939" s="50"/>
      <c r="K1939" s="50"/>
      <c r="L1939" s="50"/>
      <c r="M1939" s="50"/>
      <c r="N1939" s="50"/>
      <c r="O1939" s="50"/>
      <c r="P1939" s="50"/>
      <c r="Q1939" s="50"/>
      <c r="R1939" s="50"/>
    </row>
    <row r="1940" spans="1:18" s="43" customFormat="1" x14ac:dyDescent="0.25">
      <c r="A1940" s="230" t="s">
        <v>487</v>
      </c>
      <c r="B1940" s="42"/>
      <c r="C1940" s="52"/>
      <c r="D1940" s="50"/>
      <c r="E1940" s="50"/>
      <c r="F1940" s="50">
        <v>77674</v>
      </c>
      <c r="G1940" s="50"/>
      <c r="H1940" s="50"/>
      <c r="I1940" s="50"/>
      <c r="J1940" s="50"/>
      <c r="K1940" s="50"/>
      <c r="L1940" s="50"/>
      <c r="M1940" s="50"/>
      <c r="N1940" s="50"/>
      <c r="O1940" s="50"/>
      <c r="P1940" s="50"/>
      <c r="Q1940" s="50"/>
      <c r="R1940" s="50"/>
    </row>
    <row r="1941" spans="1:18" s="43" customFormat="1" x14ac:dyDescent="0.25">
      <c r="A1941" s="214" t="s">
        <v>317</v>
      </c>
      <c r="B1941" s="42"/>
      <c r="C1941" s="52"/>
      <c r="D1941" s="50"/>
      <c r="E1941" s="50"/>
      <c r="F1941" s="50">
        <v>194156</v>
      </c>
      <c r="G1941" s="50"/>
      <c r="H1941" s="50"/>
      <c r="I1941" s="50"/>
      <c r="J1941" s="50"/>
      <c r="K1941" s="50"/>
      <c r="L1941" s="50"/>
      <c r="M1941" s="50"/>
      <c r="N1941" s="50"/>
      <c r="O1941" s="50"/>
      <c r="P1941" s="50"/>
      <c r="Q1941" s="50"/>
      <c r="R1941" s="50"/>
    </row>
    <row r="1942" spans="1:18" s="43" customFormat="1" x14ac:dyDescent="0.25">
      <c r="A1942" s="231" t="s">
        <v>1183</v>
      </c>
      <c r="B1942" s="42"/>
      <c r="C1942" s="52"/>
      <c r="D1942" s="50"/>
      <c r="E1942" s="50"/>
      <c r="F1942" s="50">
        <v>103577</v>
      </c>
      <c r="G1942" s="50"/>
      <c r="H1942" s="50"/>
      <c r="I1942" s="50"/>
      <c r="J1942" s="50"/>
      <c r="K1942" s="50"/>
      <c r="L1942" s="50"/>
      <c r="M1942" s="50"/>
      <c r="N1942" s="50"/>
      <c r="O1942" s="50"/>
      <c r="P1942" s="50"/>
      <c r="Q1942" s="50"/>
      <c r="R1942" s="50"/>
    </row>
    <row r="1943" spans="1:18" s="43" customFormat="1" x14ac:dyDescent="0.25">
      <c r="A1943" s="232" t="s">
        <v>839</v>
      </c>
      <c r="B1943" s="42"/>
      <c r="C1943" s="52"/>
      <c r="D1943" s="50"/>
      <c r="E1943" s="50"/>
      <c r="F1943" s="50">
        <v>0</v>
      </c>
      <c r="G1943" s="50"/>
      <c r="H1943" s="50"/>
      <c r="I1943" s="50"/>
      <c r="J1943" s="50"/>
      <c r="K1943" s="50"/>
      <c r="L1943" s="50"/>
      <c r="M1943" s="50"/>
      <c r="N1943" s="50"/>
      <c r="O1943" s="50"/>
      <c r="P1943" s="50"/>
      <c r="Q1943" s="50"/>
      <c r="R1943" s="50"/>
    </row>
    <row r="1944" spans="1:18" s="43" customFormat="1" x14ac:dyDescent="0.25">
      <c r="A1944" s="52" t="s">
        <v>1193</v>
      </c>
      <c r="B1944" s="42"/>
      <c r="C1944" s="52"/>
      <c r="D1944" s="50"/>
      <c r="E1944" s="50"/>
      <c r="F1944" s="50">
        <v>3336</v>
      </c>
      <c r="G1944" s="50"/>
      <c r="H1944" s="50"/>
      <c r="I1944" s="50"/>
      <c r="J1944" s="50"/>
      <c r="K1944" s="50"/>
      <c r="L1944" s="50"/>
      <c r="M1944" s="50"/>
      <c r="N1944" s="50"/>
      <c r="O1944" s="50"/>
      <c r="P1944" s="50"/>
      <c r="Q1944" s="50"/>
      <c r="R1944" s="50"/>
    </row>
    <row r="1945" spans="1:18" s="43" customFormat="1" x14ac:dyDescent="0.25">
      <c r="A1945" s="52" t="s">
        <v>1194</v>
      </c>
      <c r="B1945" s="42"/>
      <c r="C1945" s="52"/>
      <c r="D1945" s="50"/>
      <c r="E1945" s="50"/>
      <c r="F1945" s="50">
        <v>15088</v>
      </c>
      <c r="G1945" s="50"/>
      <c r="H1945" s="50"/>
      <c r="I1945" s="50"/>
      <c r="J1945" s="50"/>
      <c r="K1945" s="50"/>
      <c r="L1945" s="50"/>
      <c r="M1945" s="50"/>
      <c r="N1945" s="50"/>
      <c r="O1945" s="50"/>
      <c r="P1945" s="50"/>
      <c r="Q1945" s="50"/>
      <c r="R1945" s="50"/>
    </row>
    <row r="1946" spans="1:18" s="43" customFormat="1" x14ac:dyDescent="0.25">
      <c r="A1946" s="52" t="s">
        <v>1195</v>
      </c>
      <c r="B1946" s="42"/>
      <c r="C1946" s="52"/>
      <c r="D1946" s="50"/>
      <c r="E1946" s="50"/>
      <c r="F1946" s="50">
        <v>9719</v>
      </c>
      <c r="G1946" s="50"/>
      <c r="H1946" s="50"/>
      <c r="I1946" s="50"/>
      <c r="J1946" s="50"/>
      <c r="K1946" s="50"/>
      <c r="L1946" s="50"/>
      <c r="M1946" s="50"/>
      <c r="N1946" s="50"/>
      <c r="O1946" s="50"/>
      <c r="P1946" s="50"/>
      <c r="Q1946" s="50"/>
      <c r="R1946" s="50"/>
    </row>
    <row r="1947" spans="1:18" s="43" customFormat="1" x14ac:dyDescent="0.25">
      <c r="A1947" s="52" t="s">
        <v>952</v>
      </c>
      <c r="B1947" s="42"/>
      <c r="C1947" s="52"/>
      <c r="D1947" s="50"/>
      <c r="E1947" s="50"/>
      <c r="F1947" s="50">
        <v>12400</v>
      </c>
      <c r="G1947" s="50"/>
      <c r="H1947" s="50"/>
      <c r="I1947" s="50"/>
      <c r="J1947" s="50"/>
      <c r="K1947" s="50"/>
      <c r="L1947" s="50"/>
      <c r="M1947" s="50"/>
      <c r="N1947" s="50"/>
      <c r="O1947" s="50"/>
      <c r="P1947" s="50"/>
      <c r="Q1947" s="50"/>
      <c r="R1947" s="50"/>
    </row>
    <row r="1948" spans="1:18" s="43" customFormat="1" x14ac:dyDescent="0.25">
      <c r="A1948" s="52" t="s">
        <v>953</v>
      </c>
      <c r="B1948" s="42"/>
      <c r="C1948" s="52"/>
      <c r="D1948" s="50"/>
      <c r="E1948" s="50"/>
      <c r="F1948" s="50">
        <v>13877</v>
      </c>
      <c r="G1948" s="50"/>
      <c r="H1948" s="50"/>
      <c r="I1948" s="50"/>
      <c r="J1948" s="50"/>
      <c r="K1948" s="50"/>
      <c r="L1948" s="50"/>
      <c r="M1948" s="50"/>
      <c r="N1948" s="50"/>
      <c r="O1948" s="50"/>
      <c r="P1948" s="50"/>
      <c r="Q1948" s="50"/>
      <c r="R1948" s="50"/>
    </row>
    <row r="1949" spans="1:18" s="43" customFormat="1" x14ac:dyDescent="0.25">
      <c r="A1949" s="52" t="s">
        <v>1187</v>
      </c>
      <c r="B1949" s="42"/>
      <c r="C1949" s="52"/>
      <c r="D1949" s="50"/>
      <c r="E1949" s="50"/>
      <c r="F1949" s="50">
        <v>44930</v>
      </c>
      <c r="G1949" s="50"/>
      <c r="H1949" s="50"/>
      <c r="I1949" s="50"/>
      <c r="J1949" s="50"/>
      <c r="K1949" s="50"/>
      <c r="L1949" s="50"/>
      <c r="M1949" s="50"/>
      <c r="N1949" s="50"/>
      <c r="O1949" s="50"/>
      <c r="P1949" s="50"/>
      <c r="Q1949" s="50"/>
      <c r="R1949" s="50"/>
    </row>
    <row r="1950" spans="1:18" s="43" customFormat="1" x14ac:dyDescent="0.25">
      <c r="A1950" s="233" t="s">
        <v>1196</v>
      </c>
      <c r="B1950" s="234"/>
      <c r="C1950" s="52"/>
      <c r="D1950" s="50"/>
      <c r="E1950" s="50"/>
      <c r="F1950" s="50"/>
      <c r="G1950" s="50"/>
      <c r="H1950" s="50"/>
      <c r="I1950" s="50"/>
      <c r="J1950" s="50"/>
      <c r="K1950" s="50"/>
      <c r="L1950" s="50"/>
      <c r="M1950" s="50"/>
      <c r="N1950" s="50"/>
      <c r="O1950" s="50"/>
      <c r="P1950" s="50"/>
      <c r="Q1950" s="50"/>
      <c r="R1950" s="50"/>
    </row>
    <row r="1951" spans="1:18" s="43" customFormat="1" x14ac:dyDescent="0.25">
      <c r="A1951" s="235" t="s">
        <v>1197</v>
      </c>
      <c r="B1951" s="236" t="s">
        <v>317</v>
      </c>
      <c r="C1951" s="52"/>
      <c r="D1951" s="50"/>
      <c r="E1951" s="50"/>
      <c r="F1951" s="50"/>
      <c r="G1951" s="50"/>
      <c r="H1951" s="50"/>
      <c r="I1951" s="50"/>
      <c r="J1951" s="50"/>
      <c r="K1951" s="50"/>
      <c r="L1951" s="50"/>
      <c r="M1951" s="50"/>
      <c r="N1951" s="50"/>
      <c r="O1951" s="50"/>
      <c r="P1951" s="50"/>
      <c r="Q1951" s="50"/>
      <c r="R1951" s="50"/>
    </row>
    <row r="1952" spans="1:18" s="43" customFormat="1" x14ac:dyDescent="0.25">
      <c r="A1952" s="237" t="s">
        <v>1198</v>
      </c>
      <c r="B1952" s="238" t="s">
        <v>317</v>
      </c>
      <c r="C1952" s="52"/>
      <c r="D1952" s="50"/>
      <c r="E1952" s="50"/>
      <c r="F1952" s="50"/>
      <c r="G1952" s="50"/>
      <c r="H1952" s="50"/>
      <c r="I1952" s="50"/>
      <c r="J1952" s="50"/>
      <c r="K1952" s="50"/>
      <c r="L1952" s="50"/>
      <c r="M1952" s="50"/>
      <c r="N1952" s="50"/>
      <c r="O1952" s="50"/>
      <c r="P1952" s="50"/>
      <c r="Q1952" s="50"/>
      <c r="R1952" s="50"/>
    </row>
    <row r="1953" spans="1:18" s="43" customFormat="1" x14ac:dyDescent="0.25">
      <c r="A1953" s="237" t="s">
        <v>582</v>
      </c>
      <c r="B1953" s="238" t="s">
        <v>317</v>
      </c>
      <c r="C1953" s="52"/>
      <c r="D1953" s="50"/>
      <c r="E1953" s="50"/>
      <c r="F1953" s="50"/>
      <c r="G1953" s="50"/>
      <c r="H1953" s="50"/>
      <c r="I1953" s="50"/>
      <c r="J1953" s="50"/>
      <c r="K1953" s="50"/>
      <c r="L1953" s="50"/>
      <c r="M1953" s="50"/>
      <c r="N1953" s="50"/>
      <c r="O1953" s="50"/>
      <c r="P1953" s="50"/>
      <c r="Q1953" s="50"/>
      <c r="R1953" s="50"/>
    </row>
    <row r="1954" spans="1:18" s="43" customFormat="1" x14ac:dyDescent="0.25">
      <c r="A1954" s="237" t="s">
        <v>1199</v>
      </c>
      <c r="B1954" s="238" t="s">
        <v>317</v>
      </c>
      <c r="C1954" s="52"/>
      <c r="D1954" s="50"/>
      <c r="E1954" s="50"/>
      <c r="F1954" s="50"/>
      <c r="G1954" s="50"/>
      <c r="H1954" s="50"/>
      <c r="I1954" s="50"/>
      <c r="J1954" s="50"/>
      <c r="K1954" s="50"/>
      <c r="L1954" s="50"/>
      <c r="M1954" s="50"/>
      <c r="N1954" s="50"/>
      <c r="O1954" s="50"/>
      <c r="P1954" s="50"/>
      <c r="Q1954" s="50"/>
      <c r="R1954" s="50"/>
    </row>
    <row r="1955" spans="1:18" s="43" customFormat="1" x14ac:dyDescent="0.25">
      <c r="A1955" s="237" t="s">
        <v>1200</v>
      </c>
      <c r="B1955" s="238" t="s">
        <v>317</v>
      </c>
      <c r="C1955" s="52"/>
      <c r="D1955" s="50"/>
      <c r="E1955" s="50"/>
      <c r="F1955" s="50"/>
      <c r="G1955" s="50"/>
      <c r="H1955" s="50"/>
      <c r="I1955" s="50"/>
      <c r="J1955" s="50"/>
      <c r="K1955" s="50"/>
      <c r="L1955" s="50"/>
      <c r="M1955" s="50"/>
      <c r="N1955" s="50"/>
      <c r="O1955" s="50"/>
      <c r="P1955" s="50"/>
      <c r="Q1955" s="50"/>
      <c r="R1955" s="50"/>
    </row>
    <row r="1956" spans="1:18" s="43" customFormat="1" x14ac:dyDescent="0.25">
      <c r="A1956" s="237" t="s">
        <v>1201</v>
      </c>
      <c r="B1956" s="238" t="s">
        <v>317</v>
      </c>
      <c r="C1956" s="52"/>
      <c r="D1956" s="50"/>
      <c r="E1956" s="50"/>
      <c r="F1956" s="50"/>
      <c r="G1956" s="50"/>
      <c r="H1956" s="50"/>
      <c r="I1956" s="50"/>
      <c r="J1956" s="50"/>
      <c r="K1956" s="50"/>
      <c r="L1956" s="50"/>
      <c r="M1956" s="50"/>
      <c r="N1956" s="50"/>
      <c r="O1956" s="50"/>
      <c r="P1956" s="50"/>
      <c r="Q1956" s="50"/>
      <c r="R1956" s="50"/>
    </row>
    <row r="1957" spans="1:18" s="43" customFormat="1" x14ac:dyDescent="0.25">
      <c r="A1957" s="237" t="s">
        <v>1202</v>
      </c>
      <c r="B1957" s="238" t="s">
        <v>317</v>
      </c>
      <c r="C1957" s="52"/>
      <c r="D1957" s="50"/>
      <c r="E1957" s="50"/>
      <c r="F1957" s="50"/>
      <c r="G1957" s="50"/>
      <c r="H1957" s="50"/>
      <c r="I1957" s="50"/>
      <c r="J1957" s="50"/>
      <c r="K1957" s="50"/>
      <c r="L1957" s="50"/>
      <c r="M1957" s="50"/>
      <c r="N1957" s="50"/>
      <c r="O1957" s="50"/>
      <c r="P1957" s="50"/>
      <c r="Q1957" s="50"/>
      <c r="R1957" s="50"/>
    </row>
    <row r="1958" spans="1:18" s="43" customFormat="1" x14ac:dyDescent="0.25">
      <c r="A1958" s="237" t="s">
        <v>1203</v>
      </c>
      <c r="B1958" s="238" t="s">
        <v>317</v>
      </c>
      <c r="C1958" s="52"/>
      <c r="D1958" s="50"/>
      <c r="E1958" s="50"/>
      <c r="F1958" s="50"/>
      <c r="G1958" s="50"/>
      <c r="H1958" s="50"/>
      <c r="I1958" s="50"/>
      <c r="J1958" s="50"/>
      <c r="K1958" s="50"/>
      <c r="L1958" s="50"/>
      <c r="M1958" s="50"/>
      <c r="N1958" s="50"/>
      <c r="O1958" s="50"/>
      <c r="P1958" s="50"/>
      <c r="Q1958" s="50"/>
      <c r="R1958" s="50"/>
    </row>
    <row r="1959" spans="1:18" s="43" customFormat="1" x14ac:dyDescent="0.25">
      <c r="A1959" s="237" t="s">
        <v>1204</v>
      </c>
      <c r="B1959" s="238" t="s">
        <v>317</v>
      </c>
      <c r="C1959" s="52"/>
      <c r="D1959" s="50"/>
      <c r="E1959" s="50"/>
      <c r="F1959" s="50"/>
      <c r="G1959" s="50"/>
      <c r="H1959" s="50"/>
      <c r="I1959" s="50"/>
      <c r="J1959" s="50"/>
      <c r="K1959" s="50"/>
      <c r="L1959" s="50"/>
      <c r="M1959" s="50"/>
      <c r="N1959" s="50"/>
      <c r="O1959" s="50"/>
      <c r="P1959" s="50"/>
      <c r="Q1959" s="50"/>
      <c r="R1959" s="50"/>
    </row>
    <row r="1960" spans="1:18" s="43" customFormat="1" x14ac:dyDescent="0.25">
      <c r="A1960" s="237" t="s">
        <v>679</v>
      </c>
      <c r="B1960" s="238" t="s">
        <v>317</v>
      </c>
      <c r="C1960" s="52"/>
      <c r="D1960" s="50"/>
      <c r="E1960" s="50"/>
      <c r="F1960" s="50"/>
      <c r="G1960" s="50"/>
      <c r="H1960" s="50"/>
      <c r="I1960" s="50"/>
      <c r="J1960" s="50"/>
      <c r="K1960" s="50"/>
      <c r="L1960" s="50"/>
      <c r="M1960" s="50"/>
      <c r="N1960" s="50"/>
      <c r="O1960" s="50"/>
      <c r="P1960" s="50"/>
      <c r="Q1960" s="50"/>
      <c r="R1960" s="50"/>
    </row>
    <row r="1961" spans="1:18" s="43" customFormat="1" x14ac:dyDescent="0.25">
      <c r="A1961" s="237" t="s">
        <v>1205</v>
      </c>
      <c r="B1961" s="238" t="s">
        <v>317</v>
      </c>
      <c r="C1961" s="52"/>
      <c r="D1961" s="50"/>
      <c r="E1961" s="50"/>
      <c r="F1961" s="50"/>
      <c r="G1961" s="50"/>
      <c r="H1961" s="50"/>
      <c r="I1961" s="50"/>
      <c r="J1961" s="50"/>
      <c r="K1961" s="50"/>
      <c r="L1961" s="50"/>
      <c r="M1961" s="50"/>
      <c r="N1961" s="50"/>
      <c r="O1961" s="50"/>
      <c r="P1961" s="50"/>
      <c r="Q1961" s="50"/>
      <c r="R1961" s="50"/>
    </row>
    <row r="1962" spans="1:18" s="43" customFormat="1" x14ac:dyDescent="0.25">
      <c r="A1962" s="237" t="s">
        <v>1206</v>
      </c>
      <c r="B1962" s="238" t="s">
        <v>317</v>
      </c>
      <c r="C1962" s="52"/>
      <c r="D1962" s="50"/>
      <c r="E1962" s="50"/>
      <c r="F1962" s="50"/>
      <c r="G1962" s="50"/>
      <c r="H1962" s="50"/>
      <c r="I1962" s="50"/>
      <c r="J1962" s="50"/>
      <c r="K1962" s="50"/>
      <c r="L1962" s="50"/>
      <c r="M1962" s="50"/>
      <c r="N1962" s="50"/>
      <c r="O1962" s="50"/>
      <c r="P1962" s="50"/>
      <c r="Q1962" s="50"/>
      <c r="R1962" s="50"/>
    </row>
    <row r="1963" spans="1:18" s="43" customFormat="1" x14ac:dyDescent="0.25">
      <c r="A1963" s="237" t="s">
        <v>1207</v>
      </c>
      <c r="B1963" s="238" t="s">
        <v>317</v>
      </c>
      <c r="C1963" s="52"/>
      <c r="D1963" s="50"/>
      <c r="E1963" s="50"/>
      <c r="F1963" s="50"/>
      <c r="G1963" s="50"/>
      <c r="H1963" s="50"/>
      <c r="I1963" s="50"/>
      <c r="J1963" s="50"/>
      <c r="K1963" s="50"/>
      <c r="L1963" s="50"/>
      <c r="M1963" s="50"/>
      <c r="N1963" s="50"/>
      <c r="O1963" s="50"/>
      <c r="P1963" s="50"/>
      <c r="Q1963" s="50"/>
      <c r="R1963" s="50"/>
    </row>
    <row r="1964" spans="1:18" s="43" customFormat="1" x14ac:dyDescent="0.25">
      <c r="A1964" s="237" t="s">
        <v>508</v>
      </c>
      <c r="B1964" s="238" t="s">
        <v>317</v>
      </c>
      <c r="C1964" s="52"/>
      <c r="D1964" s="50"/>
      <c r="E1964" s="50"/>
      <c r="F1964" s="50"/>
      <c r="G1964" s="50"/>
      <c r="H1964" s="50"/>
      <c r="I1964" s="50"/>
      <c r="J1964" s="50"/>
      <c r="K1964" s="50"/>
      <c r="L1964" s="50"/>
      <c r="M1964" s="50"/>
      <c r="N1964" s="50"/>
      <c r="O1964" s="50"/>
      <c r="P1964" s="50"/>
      <c r="Q1964" s="50"/>
      <c r="R1964" s="50"/>
    </row>
    <row r="1965" spans="1:18" s="43" customFormat="1" x14ac:dyDescent="0.25">
      <c r="A1965" s="237" t="s">
        <v>495</v>
      </c>
      <c r="B1965" s="238" t="s">
        <v>317</v>
      </c>
      <c r="C1965" s="52"/>
      <c r="D1965" s="50"/>
      <c r="E1965" s="50"/>
      <c r="F1965" s="50"/>
      <c r="G1965" s="50"/>
      <c r="H1965" s="50"/>
      <c r="I1965" s="50"/>
      <c r="J1965" s="50"/>
      <c r="K1965" s="50"/>
      <c r="L1965" s="50"/>
      <c r="M1965" s="50"/>
      <c r="N1965" s="50"/>
      <c r="O1965" s="50"/>
      <c r="P1965" s="50"/>
      <c r="Q1965" s="50"/>
      <c r="R1965" s="50"/>
    </row>
    <row r="1966" spans="1:18" s="43" customFormat="1" x14ac:dyDescent="0.25">
      <c r="A1966" s="237" t="s">
        <v>1208</v>
      </c>
      <c r="B1966" s="238" t="s">
        <v>317</v>
      </c>
      <c r="C1966" s="52"/>
      <c r="D1966" s="50"/>
      <c r="E1966" s="50"/>
      <c r="F1966" s="50"/>
      <c r="G1966" s="50"/>
      <c r="H1966" s="50"/>
      <c r="I1966" s="50"/>
      <c r="J1966" s="50"/>
      <c r="K1966" s="50"/>
      <c r="L1966" s="50"/>
      <c r="M1966" s="50"/>
      <c r="N1966" s="50"/>
      <c r="O1966" s="50"/>
      <c r="P1966" s="50"/>
      <c r="Q1966" s="50"/>
      <c r="R1966" s="50"/>
    </row>
    <row r="1967" spans="1:18" s="43" customFormat="1" x14ac:dyDescent="0.25">
      <c r="A1967" s="237" t="s">
        <v>628</v>
      </c>
      <c r="B1967" s="238" t="s">
        <v>317</v>
      </c>
      <c r="C1967" s="52"/>
      <c r="D1967" s="50"/>
      <c r="E1967" s="50"/>
      <c r="F1967" s="50"/>
      <c r="G1967" s="50"/>
      <c r="H1967" s="50"/>
      <c r="I1967" s="50"/>
      <c r="J1967" s="50"/>
      <c r="K1967" s="50"/>
      <c r="L1967" s="50"/>
      <c r="M1967" s="50"/>
      <c r="N1967" s="50"/>
      <c r="O1967" s="50"/>
      <c r="P1967" s="50"/>
      <c r="Q1967" s="50"/>
      <c r="R1967" s="50"/>
    </row>
    <row r="1968" spans="1:18" s="43" customFormat="1" x14ac:dyDescent="0.25">
      <c r="A1968" s="237" t="s">
        <v>1015</v>
      </c>
      <c r="B1968" s="238" t="s">
        <v>317</v>
      </c>
      <c r="C1968" s="52"/>
      <c r="D1968" s="50"/>
      <c r="E1968" s="50"/>
      <c r="F1968" s="50"/>
      <c r="G1968" s="50">
        <v>1825</v>
      </c>
      <c r="H1968" s="50"/>
      <c r="I1968" s="50"/>
      <c r="J1968" s="50"/>
      <c r="K1968" s="50"/>
      <c r="L1968" s="50"/>
      <c r="M1968" s="50"/>
      <c r="N1968" s="50"/>
      <c r="O1968" s="50"/>
      <c r="P1968" s="50"/>
      <c r="Q1968" s="50"/>
      <c r="R1968" s="50"/>
    </row>
    <row r="1969" spans="1:18" s="43" customFormat="1" x14ac:dyDescent="0.25">
      <c r="A1969" s="235" t="s">
        <v>1209</v>
      </c>
      <c r="B1969" s="236"/>
      <c r="C1969" s="52"/>
      <c r="D1969" s="50"/>
      <c r="E1969" s="50"/>
      <c r="F1969" s="50"/>
      <c r="G1969" s="50"/>
      <c r="H1969" s="50"/>
      <c r="I1969" s="50"/>
      <c r="J1969" s="50"/>
      <c r="K1969" s="50"/>
      <c r="L1969" s="50"/>
      <c r="M1969" s="50"/>
      <c r="N1969" s="50"/>
      <c r="O1969" s="50"/>
      <c r="P1969" s="50"/>
      <c r="Q1969" s="50"/>
      <c r="R1969" s="50"/>
    </row>
    <row r="1970" spans="1:18" s="43" customFormat="1" x14ac:dyDescent="0.25">
      <c r="A1970" s="239" t="s">
        <v>1210</v>
      </c>
      <c r="B1970" s="240" t="s">
        <v>487</v>
      </c>
      <c r="C1970" s="52"/>
      <c r="D1970" s="50"/>
      <c r="E1970" s="50"/>
      <c r="F1970" s="50"/>
      <c r="G1970" s="50"/>
      <c r="H1970" s="50"/>
      <c r="I1970" s="50"/>
      <c r="J1970" s="50"/>
      <c r="K1970" s="50"/>
      <c r="L1970" s="50"/>
      <c r="M1970" s="50"/>
      <c r="N1970" s="50"/>
      <c r="O1970" s="50"/>
      <c r="P1970" s="50"/>
      <c r="Q1970" s="50"/>
      <c r="R1970" s="50"/>
    </row>
    <row r="1971" spans="1:18" s="43" customFormat="1" x14ac:dyDescent="0.25">
      <c r="A1971" s="239" t="s">
        <v>1211</v>
      </c>
      <c r="B1971" s="240" t="s">
        <v>487</v>
      </c>
      <c r="C1971" s="52"/>
      <c r="D1971" s="50"/>
      <c r="E1971" s="50"/>
      <c r="F1971" s="50"/>
      <c r="G1971" s="50"/>
      <c r="H1971" s="50"/>
      <c r="I1971" s="50"/>
      <c r="J1971" s="50"/>
      <c r="K1971" s="50"/>
      <c r="L1971" s="50"/>
      <c r="M1971" s="50"/>
      <c r="N1971" s="50"/>
      <c r="O1971" s="50"/>
      <c r="P1971" s="50"/>
      <c r="Q1971" s="50"/>
      <c r="R1971" s="50"/>
    </row>
    <row r="1972" spans="1:18" s="43" customFormat="1" x14ac:dyDescent="0.25">
      <c r="A1972" s="239" t="s">
        <v>862</v>
      </c>
      <c r="B1972" s="240" t="s">
        <v>487</v>
      </c>
      <c r="C1972" s="52"/>
      <c r="D1972" s="50"/>
      <c r="E1972" s="50"/>
      <c r="F1972" s="50"/>
      <c r="G1972" s="50"/>
      <c r="H1972" s="50"/>
      <c r="I1972" s="50"/>
      <c r="J1972" s="50"/>
      <c r="K1972" s="50"/>
      <c r="L1972" s="50"/>
      <c r="M1972" s="50"/>
      <c r="N1972" s="50"/>
      <c r="O1972" s="50"/>
      <c r="P1972" s="50"/>
      <c r="Q1972" s="50"/>
      <c r="R1972" s="50"/>
    </row>
    <row r="1973" spans="1:18" s="43" customFormat="1" x14ac:dyDescent="0.25">
      <c r="A1973" s="239" t="s">
        <v>525</v>
      </c>
      <c r="B1973" s="240" t="s">
        <v>487</v>
      </c>
      <c r="C1973" s="52"/>
      <c r="D1973" s="50"/>
      <c r="E1973" s="50"/>
      <c r="F1973" s="50"/>
      <c r="G1973" s="50"/>
      <c r="H1973" s="50"/>
      <c r="I1973" s="50"/>
      <c r="J1973" s="50"/>
      <c r="K1973" s="50"/>
      <c r="L1973" s="50"/>
      <c r="M1973" s="50"/>
      <c r="N1973" s="50"/>
      <c r="O1973" s="50"/>
      <c r="P1973" s="50"/>
      <c r="Q1973" s="50"/>
      <c r="R1973" s="50"/>
    </row>
    <row r="1974" spans="1:18" s="43" customFormat="1" x14ac:dyDescent="0.25">
      <c r="A1974" s="239" t="s">
        <v>549</v>
      </c>
      <c r="B1974" s="240" t="s">
        <v>487</v>
      </c>
      <c r="C1974" s="52"/>
      <c r="D1974" s="50"/>
      <c r="E1974" s="50"/>
      <c r="F1974" s="50"/>
      <c r="G1974" s="50"/>
      <c r="H1974" s="50"/>
      <c r="I1974" s="50"/>
      <c r="J1974" s="50"/>
      <c r="K1974" s="50"/>
      <c r="L1974" s="50"/>
      <c r="M1974" s="50"/>
      <c r="N1974" s="50"/>
      <c r="O1974" s="50"/>
      <c r="P1974" s="50"/>
      <c r="Q1974" s="50"/>
      <c r="R1974" s="50"/>
    </row>
    <row r="1975" spans="1:18" s="43" customFormat="1" x14ac:dyDescent="0.25">
      <c r="A1975" s="239" t="s">
        <v>858</v>
      </c>
      <c r="B1975" s="240" t="s">
        <v>487</v>
      </c>
      <c r="C1975" s="52"/>
      <c r="D1975" s="50"/>
      <c r="E1975" s="50"/>
      <c r="F1975" s="50"/>
      <c r="G1975" s="50"/>
      <c r="H1975" s="50"/>
      <c r="I1975" s="50"/>
      <c r="J1975" s="50"/>
      <c r="K1975" s="50"/>
      <c r="L1975" s="50"/>
      <c r="M1975" s="50"/>
      <c r="N1975" s="50"/>
      <c r="O1975" s="50"/>
      <c r="P1975" s="50"/>
      <c r="Q1975" s="50"/>
      <c r="R1975" s="50"/>
    </row>
    <row r="1976" spans="1:18" s="43" customFormat="1" x14ac:dyDescent="0.25">
      <c r="A1976" s="239" t="s">
        <v>860</v>
      </c>
      <c r="B1976" s="240" t="s">
        <v>487</v>
      </c>
      <c r="C1976" s="52"/>
      <c r="D1976" s="50"/>
      <c r="E1976" s="50"/>
      <c r="F1976" s="50"/>
      <c r="G1976" s="50"/>
      <c r="H1976" s="50"/>
      <c r="I1976" s="50"/>
      <c r="J1976" s="50"/>
      <c r="K1976" s="50"/>
      <c r="L1976" s="50"/>
      <c r="M1976" s="50"/>
      <c r="N1976" s="50"/>
      <c r="O1976" s="50"/>
      <c r="P1976" s="50"/>
      <c r="Q1976" s="50"/>
      <c r="R1976" s="50"/>
    </row>
    <row r="1977" spans="1:18" s="43" customFormat="1" x14ac:dyDescent="0.25">
      <c r="A1977" s="235" t="s">
        <v>1212</v>
      </c>
      <c r="B1977" s="236"/>
      <c r="C1977" s="52"/>
      <c r="D1977" s="50"/>
      <c r="E1977" s="50"/>
      <c r="F1977" s="50"/>
      <c r="G1977" s="50"/>
      <c r="H1977" s="50"/>
      <c r="I1977" s="50"/>
      <c r="J1977" s="50"/>
      <c r="K1977" s="50"/>
      <c r="L1977" s="50"/>
      <c r="M1977" s="50"/>
      <c r="N1977" s="50"/>
      <c r="O1977" s="50"/>
      <c r="P1977" s="50"/>
      <c r="Q1977" s="50"/>
      <c r="R1977" s="50"/>
    </row>
    <row r="1978" spans="1:18" s="43" customFormat="1" x14ac:dyDescent="0.25">
      <c r="A1978" s="233" t="s">
        <v>1213</v>
      </c>
      <c r="B1978" s="241" t="s">
        <v>1183</v>
      </c>
      <c r="C1978" s="52"/>
      <c r="D1978" s="50"/>
      <c r="E1978" s="50"/>
      <c r="F1978" s="50"/>
      <c r="G1978" s="50"/>
      <c r="H1978" s="50"/>
      <c r="I1978" s="50"/>
      <c r="J1978" s="50"/>
      <c r="K1978" s="50"/>
      <c r="L1978" s="50"/>
      <c r="M1978" s="50"/>
      <c r="N1978" s="50"/>
      <c r="O1978" s="50"/>
      <c r="P1978" s="50"/>
      <c r="Q1978" s="50"/>
      <c r="R1978" s="50"/>
    </row>
    <row r="1979" spans="1:18" s="43" customFormat="1" x14ac:dyDescent="0.25">
      <c r="A1979" s="147" t="s">
        <v>963</v>
      </c>
      <c r="B1979" s="241" t="s">
        <v>1183</v>
      </c>
      <c r="C1979" s="52"/>
      <c r="D1979" s="50"/>
      <c r="E1979" s="50"/>
      <c r="F1979" s="50"/>
      <c r="G1979" s="50"/>
      <c r="H1979" s="50"/>
      <c r="I1979" s="50"/>
      <c r="J1979" s="50"/>
      <c r="K1979" s="50"/>
      <c r="L1979" s="50"/>
      <c r="M1979" s="50"/>
      <c r="N1979" s="50"/>
      <c r="O1979" s="50"/>
      <c r="P1979" s="50"/>
      <c r="Q1979" s="50"/>
      <c r="R1979" s="50"/>
    </row>
    <row r="1980" spans="1:18" s="43" customFormat="1" x14ac:dyDescent="0.25">
      <c r="A1980" s="147" t="s">
        <v>1214</v>
      </c>
      <c r="B1980" s="241" t="s">
        <v>1183</v>
      </c>
      <c r="C1980" s="52"/>
      <c r="D1980" s="50"/>
      <c r="E1980" s="50"/>
      <c r="F1980" s="50"/>
      <c r="G1980" s="50"/>
      <c r="H1980" s="50"/>
      <c r="I1980" s="50"/>
      <c r="J1980" s="50"/>
      <c r="K1980" s="50"/>
      <c r="L1980" s="50"/>
      <c r="M1980" s="50"/>
      <c r="N1980" s="50"/>
      <c r="O1980" s="50"/>
      <c r="P1980" s="50"/>
      <c r="Q1980" s="50"/>
      <c r="R1980" s="50"/>
    </row>
    <row r="1981" spans="1:18" s="43" customFormat="1" x14ac:dyDescent="0.25">
      <c r="A1981" s="147" t="s">
        <v>1215</v>
      </c>
      <c r="B1981" s="241" t="s">
        <v>1183</v>
      </c>
      <c r="C1981" s="52"/>
      <c r="D1981" s="50"/>
      <c r="E1981" s="50"/>
      <c r="F1981" s="50"/>
      <c r="G1981" s="50"/>
      <c r="H1981" s="50"/>
      <c r="I1981" s="50"/>
      <c r="J1981" s="50"/>
      <c r="K1981" s="50"/>
      <c r="L1981" s="50"/>
      <c r="M1981" s="50"/>
      <c r="N1981" s="50"/>
      <c r="O1981" s="50"/>
      <c r="P1981" s="50"/>
      <c r="Q1981" s="50"/>
      <c r="R1981" s="50"/>
    </row>
    <row r="1982" spans="1:18" s="43" customFormat="1" x14ac:dyDescent="0.25">
      <c r="A1982" s="147" t="s">
        <v>1216</v>
      </c>
      <c r="B1982" s="241" t="s">
        <v>1183</v>
      </c>
      <c r="C1982" s="52"/>
      <c r="D1982" s="50"/>
      <c r="E1982" s="50"/>
      <c r="F1982" s="50"/>
      <c r="G1982" s="50"/>
      <c r="H1982" s="50"/>
      <c r="I1982" s="50"/>
      <c r="J1982" s="50"/>
      <c r="K1982" s="50"/>
      <c r="L1982" s="50"/>
      <c r="M1982" s="50"/>
      <c r="N1982" s="50"/>
      <c r="O1982" s="50"/>
      <c r="P1982" s="50"/>
      <c r="Q1982" s="50"/>
      <c r="R1982" s="50"/>
    </row>
    <row r="1983" spans="1:18" s="43" customFormat="1" x14ac:dyDescent="0.25">
      <c r="A1983" s="233" t="s">
        <v>1217</v>
      </c>
      <c r="B1983" s="241" t="s">
        <v>1183</v>
      </c>
      <c r="C1983" s="52"/>
      <c r="D1983" s="50"/>
      <c r="E1983" s="50"/>
      <c r="F1983" s="50"/>
      <c r="G1983" s="50"/>
      <c r="H1983" s="50"/>
      <c r="I1983" s="50"/>
      <c r="J1983" s="50"/>
      <c r="K1983" s="50"/>
      <c r="L1983" s="50"/>
      <c r="M1983" s="50"/>
      <c r="N1983" s="50"/>
      <c r="O1983" s="50"/>
      <c r="P1983" s="50"/>
      <c r="Q1983" s="50"/>
      <c r="R1983" s="50"/>
    </row>
    <row r="1984" spans="1:18" s="43" customFormat="1" x14ac:dyDescent="0.25">
      <c r="A1984" s="147" t="s">
        <v>1218</v>
      </c>
      <c r="B1984" s="241" t="s">
        <v>1183</v>
      </c>
      <c r="C1984" s="52"/>
      <c r="D1984" s="50"/>
      <c r="E1984" s="50"/>
      <c r="F1984" s="50"/>
      <c r="G1984" s="50"/>
      <c r="H1984" s="50"/>
      <c r="I1984" s="50"/>
      <c r="J1984" s="50"/>
      <c r="K1984" s="50"/>
      <c r="L1984" s="50"/>
      <c r="M1984" s="50"/>
      <c r="N1984" s="50"/>
      <c r="O1984" s="50"/>
      <c r="P1984" s="50"/>
      <c r="Q1984" s="50"/>
      <c r="R1984" s="50"/>
    </row>
    <row r="1985" spans="1:18" s="43" customFormat="1" x14ac:dyDescent="0.25">
      <c r="A1985" s="147" t="s">
        <v>1219</v>
      </c>
      <c r="B1985" s="241" t="s">
        <v>1183</v>
      </c>
      <c r="C1985" s="52"/>
      <c r="D1985" s="50"/>
      <c r="E1985" s="50"/>
      <c r="F1985" s="50"/>
      <c r="G1985" s="50"/>
      <c r="H1985" s="50"/>
      <c r="I1985" s="50"/>
      <c r="J1985" s="50"/>
      <c r="K1985" s="50"/>
      <c r="L1985" s="50"/>
      <c r="M1985" s="50"/>
      <c r="N1985" s="50"/>
      <c r="O1985" s="50"/>
      <c r="P1985" s="50"/>
      <c r="Q1985" s="50"/>
      <c r="R1985" s="50"/>
    </row>
    <row r="1986" spans="1:18" s="43" customFormat="1" x14ac:dyDescent="0.25">
      <c r="A1986" s="147" t="s">
        <v>1220</v>
      </c>
      <c r="B1986" s="241" t="s">
        <v>1183</v>
      </c>
      <c r="C1986" s="52"/>
      <c r="D1986" s="50"/>
      <c r="E1986" s="50"/>
      <c r="F1986" s="50"/>
      <c r="G1986" s="50"/>
      <c r="H1986" s="50"/>
      <c r="I1986" s="50"/>
      <c r="J1986" s="50"/>
      <c r="K1986" s="50"/>
      <c r="L1986" s="50"/>
      <c r="M1986" s="50"/>
      <c r="N1986" s="50"/>
      <c r="O1986" s="50"/>
      <c r="P1986" s="50"/>
      <c r="Q1986" s="50"/>
      <c r="R1986" s="50"/>
    </row>
    <row r="1987" spans="1:18" s="43" customFormat="1" x14ac:dyDescent="0.25">
      <c r="A1987" s="147" t="s">
        <v>1221</v>
      </c>
      <c r="B1987" s="241" t="s">
        <v>1183</v>
      </c>
      <c r="C1987" s="52"/>
      <c r="D1987" s="50"/>
      <c r="E1987" s="50"/>
      <c r="F1987" s="50"/>
      <c r="G1987" s="50"/>
      <c r="H1987" s="50"/>
      <c r="I1987" s="50"/>
      <c r="J1987" s="50"/>
      <c r="K1987" s="50"/>
      <c r="L1987" s="50"/>
      <c r="M1987" s="50"/>
      <c r="N1987" s="50"/>
      <c r="O1987" s="50"/>
      <c r="P1987" s="50"/>
      <c r="Q1987" s="50"/>
      <c r="R1987" s="50"/>
    </row>
    <row r="1988" spans="1:18" s="43" customFormat="1" x14ac:dyDescent="0.25">
      <c r="A1988" s="147" t="s">
        <v>1222</v>
      </c>
      <c r="B1988" s="241" t="s">
        <v>1183</v>
      </c>
      <c r="C1988" s="52"/>
      <c r="D1988" s="50"/>
      <c r="E1988" s="50"/>
      <c r="F1988" s="50"/>
      <c r="G1988" s="50"/>
      <c r="H1988" s="50"/>
      <c r="I1988" s="50"/>
      <c r="J1988" s="50"/>
      <c r="K1988" s="50"/>
      <c r="L1988" s="50"/>
      <c r="M1988" s="50"/>
      <c r="N1988" s="50"/>
      <c r="O1988" s="50"/>
      <c r="P1988" s="50"/>
      <c r="Q1988" s="50"/>
      <c r="R1988" s="50"/>
    </row>
    <row r="1989" spans="1:18" s="43" customFormat="1" x14ac:dyDescent="0.25">
      <c r="A1989" s="147" t="s">
        <v>1223</v>
      </c>
      <c r="B1989" s="241" t="s">
        <v>1183</v>
      </c>
      <c r="C1989" s="52"/>
      <c r="D1989" s="50"/>
      <c r="E1989" s="50"/>
      <c r="F1989" s="50"/>
      <c r="G1989" s="50"/>
      <c r="H1989" s="50"/>
      <c r="I1989" s="50"/>
      <c r="J1989" s="50"/>
      <c r="K1989" s="50"/>
      <c r="L1989" s="50"/>
      <c r="M1989" s="50"/>
      <c r="N1989" s="50"/>
      <c r="O1989" s="50"/>
      <c r="P1989" s="50"/>
      <c r="Q1989" s="50"/>
      <c r="R1989" s="50"/>
    </row>
    <row r="1990" spans="1:18" s="43" customFormat="1" x14ac:dyDescent="0.25">
      <c r="A1990" s="147" t="s">
        <v>972</v>
      </c>
      <c r="B1990" s="241" t="s">
        <v>1183</v>
      </c>
      <c r="C1990" s="52"/>
      <c r="D1990" s="50"/>
      <c r="E1990" s="50"/>
      <c r="F1990" s="50"/>
      <c r="G1990" s="50"/>
      <c r="H1990" s="50"/>
      <c r="I1990" s="50"/>
      <c r="J1990" s="50"/>
      <c r="K1990" s="50"/>
      <c r="L1990" s="50"/>
      <c r="M1990" s="50"/>
      <c r="N1990" s="50"/>
      <c r="O1990" s="50"/>
      <c r="P1990" s="50"/>
      <c r="Q1990" s="50"/>
      <c r="R1990" s="50"/>
    </row>
    <row r="1991" spans="1:18" s="43" customFormat="1" x14ac:dyDescent="0.25">
      <c r="A1991" s="233" t="s">
        <v>1016</v>
      </c>
      <c r="B1991" s="241" t="s">
        <v>1183</v>
      </c>
      <c r="C1991" s="52"/>
      <c r="D1991" s="50"/>
      <c r="E1991" s="50"/>
      <c r="F1991" s="50"/>
      <c r="G1991" s="50"/>
      <c r="H1991" s="50"/>
      <c r="I1991" s="50"/>
      <c r="J1991" s="50"/>
      <c r="K1991" s="50"/>
      <c r="L1991" s="50"/>
      <c r="M1991" s="50"/>
      <c r="N1991" s="50"/>
      <c r="O1991" s="50"/>
      <c r="P1991" s="50"/>
      <c r="Q1991" s="50"/>
      <c r="R1991" s="50"/>
    </row>
    <row r="1992" spans="1:18" s="43" customFormat="1" x14ac:dyDescent="0.25">
      <c r="A1992" s="147" t="s">
        <v>1018</v>
      </c>
      <c r="B1992" s="241" t="s">
        <v>1183</v>
      </c>
      <c r="C1992" s="52"/>
      <c r="D1992" s="50"/>
      <c r="E1992" s="50"/>
      <c r="F1992" s="50"/>
      <c r="G1992" s="50"/>
      <c r="H1992" s="50"/>
      <c r="I1992" s="50"/>
      <c r="J1992" s="50"/>
      <c r="K1992" s="50"/>
      <c r="L1992" s="50"/>
      <c r="M1992" s="50"/>
      <c r="N1992" s="50"/>
      <c r="O1992" s="50"/>
      <c r="P1992" s="50"/>
      <c r="Q1992" s="50"/>
      <c r="R1992" s="50"/>
    </row>
    <row r="1993" spans="1:18" s="43" customFormat="1" x14ac:dyDescent="0.25">
      <c r="A1993" s="147" t="s">
        <v>1020</v>
      </c>
      <c r="B1993" s="241" t="s">
        <v>1183</v>
      </c>
      <c r="C1993" s="52"/>
      <c r="D1993" s="50"/>
      <c r="E1993" s="50"/>
      <c r="F1993" s="50"/>
      <c r="G1993" s="50"/>
      <c r="H1993" s="50"/>
      <c r="I1993" s="50"/>
      <c r="J1993" s="50"/>
      <c r="K1993" s="50"/>
      <c r="L1993" s="50"/>
      <c r="M1993" s="50"/>
      <c r="N1993" s="50"/>
      <c r="O1993" s="50"/>
      <c r="P1993" s="50"/>
      <c r="Q1993" s="50"/>
      <c r="R1993" s="50"/>
    </row>
    <row r="1994" spans="1:18" s="43" customFormat="1" x14ac:dyDescent="0.25">
      <c r="A1994" s="147" t="s">
        <v>1224</v>
      </c>
      <c r="B1994" s="241" t="s">
        <v>1183</v>
      </c>
      <c r="C1994" s="52"/>
      <c r="D1994" s="50"/>
      <c r="E1994" s="50"/>
      <c r="F1994" s="50"/>
      <c r="G1994" s="50"/>
      <c r="H1994" s="50"/>
      <c r="I1994" s="50"/>
      <c r="J1994" s="50"/>
      <c r="K1994" s="50"/>
      <c r="L1994" s="50"/>
      <c r="M1994" s="50"/>
      <c r="N1994" s="50"/>
      <c r="O1994" s="50"/>
      <c r="P1994" s="50"/>
      <c r="Q1994" s="50"/>
      <c r="R1994" s="50"/>
    </row>
    <row r="1995" spans="1:18" s="43" customFormat="1" x14ac:dyDescent="0.25">
      <c r="A1995" s="233" t="s">
        <v>1225</v>
      </c>
      <c r="B1995" s="241" t="s">
        <v>1183</v>
      </c>
      <c r="C1995" s="52"/>
      <c r="D1995" s="50"/>
      <c r="E1995" s="50"/>
      <c r="F1995" s="50"/>
      <c r="G1995" s="50"/>
      <c r="H1995" s="50"/>
      <c r="I1995" s="50"/>
      <c r="J1995" s="50"/>
      <c r="K1995" s="50"/>
      <c r="L1995" s="50"/>
      <c r="M1995" s="50"/>
      <c r="N1995" s="50"/>
      <c r="O1995" s="50"/>
      <c r="P1995" s="50"/>
      <c r="Q1995" s="50"/>
      <c r="R1995" s="50"/>
    </row>
    <row r="1996" spans="1:18" s="43" customFormat="1" x14ac:dyDescent="0.25">
      <c r="A1996" s="147" t="s">
        <v>588</v>
      </c>
      <c r="B1996" s="241" t="s">
        <v>1183</v>
      </c>
      <c r="C1996" s="52"/>
      <c r="D1996" s="50"/>
      <c r="E1996" s="50"/>
      <c r="F1996" s="50"/>
      <c r="G1996" s="50"/>
      <c r="H1996" s="50"/>
      <c r="I1996" s="50"/>
      <c r="J1996" s="50"/>
      <c r="K1996" s="50"/>
      <c r="L1996" s="50"/>
      <c r="M1996" s="50"/>
      <c r="N1996" s="50"/>
      <c r="O1996" s="50"/>
      <c r="P1996" s="50"/>
      <c r="Q1996" s="50"/>
      <c r="R1996" s="50"/>
    </row>
    <row r="1997" spans="1:18" s="43" customFormat="1" x14ac:dyDescent="0.25">
      <c r="A1997" s="147" t="s">
        <v>596</v>
      </c>
      <c r="B1997" s="241" t="s">
        <v>1183</v>
      </c>
      <c r="C1997" s="52"/>
      <c r="D1997" s="50"/>
      <c r="E1997" s="50"/>
      <c r="F1997" s="50"/>
      <c r="G1997" s="50"/>
      <c r="H1997" s="50"/>
      <c r="I1997" s="50"/>
      <c r="J1997" s="50"/>
      <c r="K1997" s="50"/>
      <c r="L1997" s="50"/>
      <c r="M1997" s="50"/>
      <c r="N1997" s="50"/>
      <c r="O1997" s="50"/>
      <c r="P1997" s="50"/>
      <c r="Q1997" s="50"/>
      <c r="R1997" s="50"/>
    </row>
    <row r="1998" spans="1:18" s="43" customFormat="1" x14ac:dyDescent="0.25">
      <c r="A1998" s="242" t="s">
        <v>594</v>
      </c>
      <c r="B1998" s="241" t="s">
        <v>1183</v>
      </c>
      <c r="C1998" s="52"/>
      <c r="D1998" s="50"/>
      <c r="E1998" s="50"/>
      <c r="F1998" s="50"/>
      <c r="G1998" s="50"/>
      <c r="H1998" s="50"/>
      <c r="I1998" s="50"/>
      <c r="J1998" s="50"/>
      <c r="K1998" s="50"/>
      <c r="L1998" s="50"/>
      <c r="M1998" s="50"/>
      <c r="N1998" s="50"/>
      <c r="O1998" s="50"/>
      <c r="P1998" s="50"/>
      <c r="Q1998" s="50"/>
      <c r="R1998" s="50"/>
    </row>
    <row r="1999" spans="1:18" s="43" customFormat="1" x14ac:dyDescent="0.25">
      <c r="A1999" s="242" t="s">
        <v>595</v>
      </c>
      <c r="B1999" s="241" t="s">
        <v>1183</v>
      </c>
      <c r="C1999" s="52"/>
      <c r="D1999" s="50"/>
      <c r="E1999" s="50"/>
      <c r="F1999" s="50"/>
      <c r="G1999" s="50"/>
      <c r="H1999" s="50"/>
      <c r="I1999" s="50"/>
      <c r="J1999" s="50"/>
      <c r="K1999" s="50"/>
      <c r="L1999" s="50"/>
      <c r="M1999" s="50"/>
      <c r="N1999" s="50"/>
      <c r="O1999" s="50"/>
      <c r="P1999" s="50"/>
      <c r="Q1999" s="50"/>
      <c r="R1999" s="50"/>
    </row>
    <row r="2000" spans="1:18" s="43" customFormat="1" x14ac:dyDescent="0.25">
      <c r="A2000" s="243" t="s">
        <v>1226</v>
      </c>
      <c r="B2000" s="236"/>
      <c r="C2000" s="52"/>
      <c r="D2000" s="50"/>
      <c r="E2000" s="50"/>
      <c r="F2000" s="50"/>
      <c r="G2000" s="50"/>
      <c r="H2000" s="50"/>
      <c r="I2000" s="50"/>
      <c r="J2000" s="50"/>
      <c r="K2000" s="50"/>
      <c r="L2000" s="50"/>
      <c r="M2000" s="50"/>
      <c r="N2000" s="50"/>
      <c r="O2000" s="50"/>
      <c r="P2000" s="50"/>
      <c r="Q2000" s="50"/>
      <c r="R2000" s="50"/>
    </row>
    <row r="2001" spans="1:18" s="43" customFormat="1" x14ac:dyDescent="0.25">
      <c r="A2001" s="140" t="s">
        <v>505</v>
      </c>
      <c r="B2001" s="244" t="s">
        <v>506</v>
      </c>
      <c r="C2001" s="52"/>
      <c r="D2001" s="50"/>
      <c r="E2001" s="50"/>
      <c r="F2001" s="50"/>
      <c r="G2001" s="50">
        <v>20000</v>
      </c>
      <c r="H2001" s="50"/>
      <c r="I2001" s="50"/>
      <c r="J2001" s="50"/>
      <c r="K2001" s="50"/>
      <c r="L2001" s="50"/>
      <c r="M2001" s="50"/>
      <c r="N2001" s="50"/>
      <c r="O2001" s="50"/>
      <c r="P2001" s="50"/>
      <c r="Q2001" s="50"/>
      <c r="R2001" s="50"/>
    </row>
    <row r="2002" spans="1:18" s="43" customFormat="1" x14ac:dyDescent="0.25">
      <c r="A2002" s="140" t="s">
        <v>507</v>
      </c>
      <c r="B2002" s="244" t="s">
        <v>506</v>
      </c>
      <c r="C2002" s="52"/>
      <c r="D2002" s="50"/>
      <c r="E2002" s="50"/>
      <c r="F2002" s="50"/>
      <c r="G2002" s="50">
        <v>21900</v>
      </c>
      <c r="H2002" s="50"/>
      <c r="I2002" s="50"/>
      <c r="J2002" s="50"/>
      <c r="K2002" s="50"/>
      <c r="L2002" s="50"/>
      <c r="M2002" s="50"/>
      <c r="N2002" s="50"/>
      <c r="O2002" s="50"/>
      <c r="P2002" s="50"/>
      <c r="Q2002" s="50"/>
      <c r="R2002" s="50"/>
    </row>
    <row r="2003" spans="1:18" s="43" customFormat="1" x14ac:dyDescent="0.25">
      <c r="A2003" s="245" t="s">
        <v>810</v>
      </c>
      <c r="B2003" s="244" t="s">
        <v>506</v>
      </c>
      <c r="C2003" s="52"/>
      <c r="D2003" s="50"/>
      <c r="E2003" s="50"/>
      <c r="F2003" s="50"/>
      <c r="G2003" s="50">
        <v>6277</v>
      </c>
      <c r="H2003" s="50"/>
      <c r="I2003" s="50"/>
      <c r="J2003" s="50"/>
      <c r="K2003" s="50"/>
      <c r="L2003" s="50"/>
      <c r="M2003" s="50"/>
      <c r="N2003" s="50"/>
      <c r="O2003" s="50"/>
      <c r="P2003" s="50"/>
      <c r="Q2003" s="50"/>
      <c r="R2003" s="50"/>
    </row>
    <row r="2004" spans="1:18" s="43" customFormat="1" x14ac:dyDescent="0.25">
      <c r="A2004" s="140" t="s">
        <v>1227</v>
      </c>
      <c r="B2004" s="244" t="s">
        <v>506</v>
      </c>
      <c r="C2004" s="52"/>
      <c r="D2004" s="50"/>
      <c r="E2004" s="50"/>
      <c r="F2004" s="50"/>
      <c r="G2004" s="50">
        <v>7562</v>
      </c>
      <c r="H2004" s="50"/>
      <c r="I2004" s="50"/>
      <c r="J2004" s="50"/>
      <c r="K2004" s="50"/>
      <c r="L2004" s="50"/>
      <c r="M2004" s="50"/>
      <c r="N2004" s="50"/>
      <c r="O2004" s="50"/>
      <c r="P2004" s="50"/>
      <c r="Q2004" s="50"/>
      <c r="R2004" s="50"/>
    </row>
    <row r="2005" spans="1:18" s="43" customFormat="1" x14ac:dyDescent="0.25">
      <c r="A2005" s="246" t="s">
        <v>1228</v>
      </c>
      <c r="B2005" s="247" t="s">
        <v>691</v>
      </c>
      <c r="C2005" s="52"/>
      <c r="D2005" s="50"/>
      <c r="E2005" s="50"/>
      <c r="F2005" s="50"/>
      <c r="G2005" s="50">
        <v>20000</v>
      </c>
      <c r="H2005" s="50"/>
      <c r="I2005" s="50"/>
      <c r="J2005" s="50"/>
      <c r="K2005" s="50"/>
      <c r="L2005" s="50"/>
      <c r="M2005" s="50"/>
      <c r="N2005" s="50"/>
      <c r="O2005" s="50"/>
      <c r="P2005" s="50"/>
      <c r="Q2005" s="50"/>
      <c r="R2005" s="50"/>
    </row>
    <row r="2006" spans="1:18" s="43" customFormat="1" x14ac:dyDescent="0.25">
      <c r="A2006" s="147" t="s">
        <v>310</v>
      </c>
      <c r="B2006" s="247"/>
      <c r="C2006" s="52"/>
      <c r="D2006" s="50"/>
      <c r="E2006" s="50"/>
      <c r="F2006" s="50"/>
      <c r="G2006" s="50"/>
      <c r="H2006" s="50"/>
      <c r="I2006" s="50"/>
      <c r="J2006" s="50"/>
      <c r="K2006" s="50"/>
      <c r="L2006" s="50"/>
      <c r="M2006" s="50"/>
      <c r="N2006" s="50"/>
      <c r="O2006" s="50"/>
      <c r="P2006" s="50"/>
      <c r="Q2006" s="50"/>
      <c r="R2006" s="50"/>
    </row>
    <row r="2007" spans="1:18" s="43" customFormat="1" x14ac:dyDescent="0.25">
      <c r="A2007" s="147" t="s">
        <v>249</v>
      </c>
      <c r="B2007" s="247"/>
      <c r="C2007" s="52"/>
      <c r="D2007" s="50"/>
      <c r="E2007" s="50"/>
      <c r="F2007" s="50"/>
      <c r="G2007" s="50"/>
      <c r="H2007" s="50"/>
      <c r="I2007" s="50"/>
      <c r="J2007" s="50"/>
      <c r="K2007" s="50"/>
      <c r="L2007" s="50"/>
      <c r="M2007" s="50"/>
      <c r="N2007" s="50"/>
      <c r="O2007" s="50"/>
      <c r="P2007" s="50"/>
      <c r="Q2007" s="50"/>
      <c r="R2007" s="50"/>
    </row>
    <row r="2008" spans="1:18" s="43" customFormat="1" x14ac:dyDescent="0.25">
      <c r="A2008" s="147" t="s">
        <v>815</v>
      </c>
      <c r="B2008" s="247"/>
      <c r="C2008" s="52"/>
      <c r="D2008" s="50"/>
      <c r="E2008" s="50"/>
      <c r="F2008" s="50"/>
      <c r="G2008" s="50"/>
      <c r="H2008" s="50"/>
      <c r="I2008" s="50"/>
      <c r="J2008" s="50"/>
      <c r="K2008" s="50"/>
      <c r="L2008" s="50"/>
      <c r="M2008" s="50"/>
      <c r="N2008" s="50"/>
      <c r="O2008" s="50"/>
      <c r="P2008" s="50"/>
      <c r="Q2008" s="50"/>
      <c r="R2008" s="50"/>
    </row>
    <row r="2009" spans="1:18" s="43" customFormat="1" x14ac:dyDescent="0.25">
      <c r="A2009" s="147" t="s">
        <v>1229</v>
      </c>
      <c r="B2009" s="247"/>
      <c r="C2009" s="52"/>
      <c r="D2009" s="50"/>
      <c r="E2009" s="50"/>
      <c r="F2009" s="50"/>
      <c r="G2009" s="50"/>
      <c r="H2009" s="50"/>
      <c r="I2009" s="50"/>
      <c r="J2009" s="50"/>
      <c r="K2009" s="50"/>
      <c r="L2009" s="50"/>
      <c r="M2009" s="50"/>
      <c r="N2009" s="50"/>
      <c r="O2009" s="50"/>
      <c r="P2009" s="50"/>
      <c r="Q2009" s="50"/>
      <c r="R2009" s="50"/>
    </row>
    <row r="2010" spans="1:18" s="43" customFormat="1" x14ac:dyDescent="0.25">
      <c r="A2010" s="147" t="s">
        <v>1230</v>
      </c>
      <c r="B2010" s="247"/>
      <c r="C2010" s="52"/>
      <c r="D2010" s="50"/>
      <c r="E2010" s="50"/>
      <c r="F2010" s="50"/>
      <c r="G2010" s="50"/>
      <c r="H2010" s="50"/>
      <c r="I2010" s="50"/>
      <c r="J2010" s="50"/>
      <c r="K2010" s="50"/>
      <c r="L2010" s="50"/>
      <c r="M2010" s="50"/>
      <c r="N2010" s="50"/>
      <c r="O2010" s="50"/>
      <c r="P2010" s="50"/>
      <c r="Q2010" s="50"/>
      <c r="R2010" s="50"/>
    </row>
    <row r="2011" spans="1:18" s="43" customFormat="1" x14ac:dyDescent="0.25">
      <c r="A2011" s="147" t="s">
        <v>1231</v>
      </c>
      <c r="B2011" s="247"/>
      <c r="C2011" s="52"/>
      <c r="D2011" s="50"/>
      <c r="E2011" s="50"/>
      <c r="F2011" s="50"/>
      <c r="G2011" s="50"/>
      <c r="H2011" s="50"/>
      <c r="I2011" s="50"/>
      <c r="J2011" s="50"/>
      <c r="K2011" s="50"/>
      <c r="L2011" s="50"/>
      <c r="M2011" s="50"/>
      <c r="N2011" s="50"/>
      <c r="O2011" s="50"/>
      <c r="P2011" s="50"/>
      <c r="Q2011" s="50"/>
      <c r="R2011" s="50"/>
    </row>
    <row r="2012" spans="1:18" s="43" customFormat="1" x14ac:dyDescent="0.25">
      <c r="A2012" s="147" t="s">
        <v>1232</v>
      </c>
      <c r="B2012" s="247"/>
      <c r="C2012" s="52"/>
      <c r="D2012" s="50"/>
      <c r="E2012" s="50"/>
      <c r="F2012" s="50"/>
      <c r="G2012" s="50"/>
      <c r="H2012" s="50"/>
      <c r="I2012" s="50"/>
      <c r="J2012" s="50"/>
      <c r="K2012" s="50"/>
      <c r="L2012" s="50"/>
      <c r="M2012" s="50"/>
      <c r="N2012" s="50"/>
      <c r="O2012" s="50"/>
      <c r="P2012" s="50"/>
      <c r="Q2012" s="50"/>
      <c r="R2012" s="50"/>
    </row>
    <row r="2013" spans="1:18" s="43" customFormat="1" x14ac:dyDescent="0.25">
      <c r="A2013" s="246" t="s">
        <v>958</v>
      </c>
      <c r="B2013" s="247"/>
      <c r="C2013" s="52"/>
      <c r="D2013" s="50"/>
      <c r="E2013" s="50"/>
      <c r="F2013" s="50"/>
      <c r="G2013" s="50"/>
      <c r="H2013" s="50"/>
      <c r="I2013" s="50"/>
      <c r="J2013" s="50"/>
      <c r="K2013" s="50"/>
      <c r="L2013" s="50"/>
      <c r="M2013" s="50"/>
      <c r="N2013" s="50"/>
      <c r="O2013" s="50"/>
      <c r="P2013" s="50"/>
      <c r="Q2013" s="50"/>
      <c r="R2013" s="50"/>
    </row>
    <row r="2014" spans="1:18" s="43" customFormat="1" x14ac:dyDescent="0.25">
      <c r="A2014" s="59" t="s">
        <v>1010</v>
      </c>
      <c r="B2014" s="247"/>
      <c r="C2014" s="52"/>
      <c r="D2014" s="50"/>
      <c r="E2014" s="50"/>
      <c r="F2014" s="50"/>
      <c r="G2014" s="50"/>
      <c r="H2014" s="50"/>
      <c r="I2014" s="50"/>
      <c r="J2014" s="50"/>
      <c r="K2014" s="50"/>
      <c r="L2014" s="50"/>
      <c r="M2014" s="50"/>
      <c r="N2014" s="50"/>
      <c r="O2014" s="50"/>
      <c r="P2014" s="50"/>
      <c r="Q2014" s="50"/>
      <c r="R2014" s="50"/>
    </row>
    <row r="2015" spans="1:18" s="43" customFormat="1" x14ac:dyDescent="0.25">
      <c r="A2015" s="43" t="s">
        <v>1086</v>
      </c>
      <c r="B2015" s="247"/>
      <c r="C2015" s="52"/>
      <c r="D2015" s="50"/>
      <c r="E2015" s="50"/>
      <c r="F2015" s="50"/>
      <c r="H2015" s="50"/>
      <c r="I2015" s="50"/>
      <c r="J2015" s="50"/>
      <c r="K2015" s="50"/>
      <c r="L2015" s="50"/>
      <c r="M2015" s="50"/>
      <c r="N2015" s="50"/>
      <c r="O2015" s="50"/>
      <c r="P2015" s="50"/>
      <c r="Q2015" s="50"/>
      <c r="R2015" s="50"/>
    </row>
    <row r="2016" spans="1:18" s="43" customFormat="1" x14ac:dyDescent="0.25">
      <c r="A2016" s="43" t="s">
        <v>1233</v>
      </c>
      <c r="B2016" s="247"/>
      <c r="C2016" s="52"/>
      <c r="D2016" s="50"/>
      <c r="E2016" s="50"/>
      <c r="F2016" s="50"/>
      <c r="H2016" s="50"/>
      <c r="I2016" s="50"/>
      <c r="J2016" s="50"/>
      <c r="K2016" s="50"/>
      <c r="L2016" s="50"/>
      <c r="M2016" s="50"/>
      <c r="N2016" s="50"/>
      <c r="O2016" s="50"/>
      <c r="P2016" s="50"/>
      <c r="Q2016" s="50"/>
      <c r="R2016" s="50"/>
    </row>
    <row r="2017" spans="1:18" s="43" customFormat="1" x14ac:dyDescent="0.25">
      <c r="A2017" s="43" t="s">
        <v>1234</v>
      </c>
      <c r="B2017" s="247"/>
      <c r="C2017" s="52"/>
      <c r="D2017" s="50"/>
      <c r="E2017" s="50"/>
      <c r="F2017" s="50"/>
      <c r="H2017" s="50"/>
      <c r="I2017" s="50"/>
      <c r="J2017" s="50"/>
      <c r="K2017" s="50"/>
      <c r="L2017" s="50"/>
      <c r="M2017" s="50"/>
      <c r="N2017" s="50"/>
      <c r="O2017" s="50"/>
      <c r="P2017" s="50"/>
      <c r="Q2017" s="50"/>
      <c r="R2017" s="50"/>
    </row>
    <row r="2018" spans="1:18" s="43" customFormat="1" x14ac:dyDescent="0.25">
      <c r="A2018" s="52" t="s">
        <v>1235</v>
      </c>
      <c r="B2018" s="247"/>
      <c r="C2018" s="52"/>
      <c r="D2018" s="50"/>
      <c r="E2018" s="50"/>
      <c r="F2018" s="50"/>
      <c r="H2018" s="50"/>
      <c r="I2018" s="50"/>
      <c r="J2018" s="50"/>
      <c r="K2018" s="50"/>
      <c r="L2018" s="50"/>
      <c r="M2018" s="50"/>
      <c r="N2018" s="50"/>
      <c r="O2018" s="50"/>
      <c r="P2018" s="50"/>
      <c r="Q2018" s="50"/>
      <c r="R2018" s="50"/>
    </row>
    <row r="2019" spans="1:18" s="43" customFormat="1" x14ac:dyDescent="0.25">
      <c r="A2019" s="52" t="s">
        <v>1084</v>
      </c>
      <c r="B2019" s="247"/>
      <c r="C2019" s="52"/>
      <c r="D2019" s="50"/>
      <c r="E2019" s="50"/>
      <c r="F2019" s="50"/>
      <c r="H2019" s="50"/>
      <c r="I2019" s="50"/>
      <c r="J2019" s="50"/>
      <c r="K2019" s="50"/>
      <c r="L2019" s="50"/>
      <c r="M2019" s="50"/>
      <c r="N2019" s="50"/>
      <c r="O2019" s="50"/>
      <c r="P2019" s="50"/>
      <c r="Q2019" s="50"/>
      <c r="R2019" s="50"/>
    </row>
    <row r="2020" spans="1:18" s="43" customFormat="1" x14ac:dyDescent="0.25">
      <c r="A2020" s="235" t="s">
        <v>1197</v>
      </c>
      <c r="B2020" s="247"/>
      <c r="C2020" s="52"/>
      <c r="D2020" s="50"/>
      <c r="E2020" s="50"/>
      <c r="F2020" s="50"/>
      <c r="G2020" s="50"/>
      <c r="H2020" s="50"/>
      <c r="I2020" s="50"/>
      <c r="J2020" s="50"/>
      <c r="K2020" s="50"/>
      <c r="L2020" s="50"/>
      <c r="M2020" s="50"/>
      <c r="N2020" s="50"/>
      <c r="O2020" s="50"/>
      <c r="P2020" s="50"/>
      <c r="Q2020" s="50"/>
      <c r="R2020" s="50"/>
    </row>
    <row r="2021" spans="1:18" s="43" customFormat="1" x14ac:dyDescent="0.25">
      <c r="A2021" s="235" t="s">
        <v>1209</v>
      </c>
      <c r="B2021" s="247"/>
      <c r="C2021" s="52"/>
      <c r="D2021" s="50"/>
      <c r="E2021" s="50"/>
      <c r="F2021" s="50"/>
      <c r="G2021" s="50"/>
      <c r="H2021" s="50"/>
      <c r="I2021" s="50"/>
      <c r="J2021" s="50"/>
      <c r="K2021" s="50"/>
      <c r="L2021" s="50"/>
      <c r="M2021" s="50"/>
      <c r="N2021" s="50"/>
      <c r="O2021" s="50"/>
      <c r="P2021" s="50"/>
      <c r="Q2021" s="50"/>
      <c r="R2021" s="50"/>
    </row>
    <row r="2022" spans="1:18" s="43" customFormat="1" x14ac:dyDescent="0.25">
      <c r="A2022" s="52"/>
      <c r="B2022" s="42"/>
      <c r="C2022" s="52"/>
      <c r="D2022" s="50"/>
      <c r="E2022" s="50"/>
      <c r="F2022" s="50"/>
      <c r="G2022" s="50"/>
      <c r="H2022" s="50"/>
      <c r="I2022" s="50"/>
      <c r="J2022" s="50"/>
      <c r="K2022" s="50"/>
      <c r="L2022" s="50"/>
      <c r="M2022" s="50"/>
      <c r="N2022" s="50"/>
      <c r="O2022" s="50"/>
      <c r="P2022" s="50"/>
      <c r="Q2022" s="50"/>
      <c r="R2022" s="50"/>
    </row>
    <row r="2023" spans="1:18" x14ac:dyDescent="0.25">
      <c r="A2023" s="41" t="s">
        <v>254</v>
      </c>
      <c r="B2023" s="44"/>
      <c r="C2023" s="51">
        <f>SUM(C1801:C1926)</f>
        <v>3125054.42</v>
      </c>
      <c r="D2023" s="51">
        <f>SUM(D1801:D1926)</f>
        <v>4018888</v>
      </c>
      <c r="E2023" s="51">
        <f t="shared" ref="E2023:R2023" si="1067">SUM(E1801:E2022)</f>
        <v>3789725</v>
      </c>
      <c r="F2023" s="51">
        <f t="shared" si="1067"/>
        <v>3547253</v>
      </c>
      <c r="G2023" s="51">
        <f t="shared" si="1067"/>
        <v>2852540.36</v>
      </c>
      <c r="H2023" s="51">
        <f t="shared" si="1067"/>
        <v>3668076.9569942858</v>
      </c>
      <c r="I2023" s="51">
        <f t="shared" si="1067"/>
        <v>3178563.6236609523</v>
      </c>
      <c r="J2023" s="51">
        <f t="shared" si="1067"/>
        <v>3365144.2636609524</v>
      </c>
      <c r="K2023" s="51">
        <f t="shared" si="1067"/>
        <v>3293922.2184209526</v>
      </c>
      <c r="L2023" s="51">
        <f t="shared" si="1067"/>
        <v>3360720.6660080329</v>
      </c>
      <c r="M2023" s="51">
        <f t="shared" si="1067"/>
        <v>3456516.8871640987</v>
      </c>
      <c r="N2023" s="51">
        <f t="shared" si="1067"/>
        <v>3694756.0608455935</v>
      </c>
      <c r="O2023" s="51">
        <f t="shared" si="1067"/>
        <v>3490607.766987469</v>
      </c>
      <c r="P2023" s="51">
        <f t="shared" si="1067"/>
        <v>3766470.6508279061</v>
      </c>
      <c r="Q2023" s="51">
        <f t="shared" si="1067"/>
        <v>3765573.5190351889</v>
      </c>
      <c r="R2023" s="51">
        <f t="shared" si="1067"/>
        <v>3819615.6616525617</v>
      </c>
    </row>
    <row r="2024" spans="1:18" x14ac:dyDescent="0.25">
      <c r="C2024" s="50"/>
      <c r="D2024" s="50"/>
      <c r="E2024" s="50"/>
      <c r="F2024" s="50"/>
      <c r="G2024" s="50"/>
      <c r="H2024" s="50"/>
      <c r="I2024" s="50"/>
      <c r="J2024" s="50"/>
      <c r="K2024" s="50"/>
      <c r="L2024" s="50"/>
      <c r="M2024" s="50"/>
      <c r="N2024" s="50"/>
      <c r="O2024" s="50"/>
      <c r="P2024" s="50"/>
      <c r="Q2024" s="50"/>
      <c r="R2024" s="50"/>
    </row>
    <row r="2025" spans="1:18" x14ac:dyDescent="0.25">
      <c r="A2025" s="41" t="s">
        <v>171</v>
      </c>
      <c r="B2025" s="44"/>
      <c r="C2025" s="50"/>
      <c r="D2025" s="50"/>
      <c r="E2025" s="50"/>
      <c r="F2025" s="50"/>
      <c r="G2025" s="50"/>
      <c r="H2025" s="50"/>
      <c r="I2025" s="50"/>
      <c r="J2025" s="50"/>
      <c r="K2025" s="50"/>
      <c r="L2025" s="50"/>
      <c r="M2025" s="50"/>
      <c r="N2025" s="50"/>
      <c r="O2025" s="50"/>
      <c r="P2025" s="50"/>
      <c r="Q2025" s="50"/>
      <c r="R2025" s="50"/>
    </row>
    <row r="2026" spans="1:18" x14ac:dyDescent="0.25">
      <c r="A2026" s="41"/>
      <c r="B2026" s="44"/>
      <c r="C2026" s="50"/>
      <c r="D2026" s="50"/>
      <c r="E2026" s="50"/>
      <c r="F2026" s="50"/>
      <c r="G2026" s="50"/>
      <c r="H2026" s="50"/>
      <c r="I2026" s="50"/>
      <c r="J2026" s="50"/>
      <c r="K2026" s="50"/>
      <c r="L2026" s="50"/>
      <c r="M2026" s="50"/>
      <c r="N2026" s="50"/>
      <c r="O2026" s="50"/>
      <c r="P2026" s="50"/>
      <c r="Q2026" s="50"/>
      <c r="R2026" s="50"/>
    </row>
    <row r="2027" spans="1:18" x14ac:dyDescent="0.25">
      <c r="A2027" s="41" t="s">
        <v>1236</v>
      </c>
      <c r="B2027" s="44"/>
      <c r="C2027" s="50"/>
      <c r="D2027" s="50"/>
      <c r="E2027" s="50"/>
      <c r="F2027" s="50"/>
      <c r="G2027" s="50"/>
      <c r="H2027" s="50"/>
      <c r="I2027" s="50"/>
      <c r="J2027" s="50"/>
      <c r="K2027" s="50"/>
      <c r="L2027" s="248"/>
      <c r="M2027" s="248"/>
      <c r="N2027" s="248"/>
      <c r="O2027" s="248"/>
      <c r="P2027" s="248"/>
      <c r="Q2027" s="248"/>
      <c r="R2027" s="248"/>
    </row>
    <row r="2028" spans="1:18" x14ac:dyDescent="0.25">
      <c r="A2028" s="43" t="s">
        <v>1139</v>
      </c>
      <c r="C2028" s="67">
        <v>338476</v>
      </c>
      <c r="D2028" s="52">
        <v>415813</v>
      </c>
      <c r="E2028" s="59">
        <v>519266</v>
      </c>
      <c r="F2028" s="52">
        <v>525416</v>
      </c>
      <c r="G2028" s="67">
        <v>501251.77</v>
      </c>
      <c r="H2028" s="52">
        <v>877660</v>
      </c>
      <c r="I2028" s="52">
        <v>645476</v>
      </c>
      <c r="J2028" s="52">
        <v>610134</v>
      </c>
      <c r="K2028" s="52">
        <v>617836</v>
      </c>
      <c r="L2028" s="54">
        <f>K2028*1.033</f>
        <v>638224.58799999999</v>
      </c>
      <c r="M2028" s="54">
        <f>L2028*1.032</f>
        <v>658647.77481600002</v>
      </c>
      <c r="N2028" s="54">
        <f>M2028*1.03</f>
        <v>678407.20806048007</v>
      </c>
      <c r="O2028" s="54">
        <f>N2028*1.032</f>
        <v>700116.23871841549</v>
      </c>
      <c r="P2028" s="54">
        <f>O2028*1.034</f>
        <v>723920.19083484169</v>
      </c>
      <c r="Q2028" s="54">
        <f>P2028*1.034</f>
        <v>748533.47732322628</v>
      </c>
      <c r="R2028" s="54">
        <f>Q2028*1.034</f>
        <v>773983.61555221595</v>
      </c>
    </row>
    <row r="2029" spans="1:18" x14ac:dyDescent="0.25">
      <c r="A2029" s="43" t="s">
        <v>1140</v>
      </c>
      <c r="C2029" s="54">
        <v>112490</v>
      </c>
      <c r="D2029" s="50">
        <v>84478</v>
      </c>
      <c r="E2029" s="50">
        <v>83539</v>
      </c>
      <c r="F2029" s="50">
        <v>61232</v>
      </c>
      <c r="G2029" s="50">
        <v>0</v>
      </c>
      <c r="H2029" s="50">
        <v>111259.95699428571</v>
      </c>
      <c r="I2029" s="50">
        <v>140926.62366095238</v>
      </c>
      <c r="J2029" s="50">
        <v>139475.30366095237</v>
      </c>
      <c r="K2029" s="50">
        <v>136059.34366095238</v>
      </c>
      <c r="L2029" s="50">
        <v>131561.19238095239</v>
      </c>
      <c r="M2029" s="50">
        <v>91780.952380952367</v>
      </c>
      <c r="N2029" s="50">
        <v>105280.95238095237</v>
      </c>
      <c r="O2029" s="50">
        <v>76214.28571428571</v>
      </c>
      <c r="P2029" s="50">
        <v>106214.28571428571</v>
      </c>
      <c r="Q2029" s="50">
        <v>99381.28571428571</v>
      </c>
      <c r="R2029" s="50">
        <v>99381.28571428571</v>
      </c>
    </row>
    <row r="2030" spans="1:18" x14ac:dyDescent="0.25">
      <c r="A2030" s="43" t="s">
        <v>1237</v>
      </c>
      <c r="C2030" s="54">
        <v>0</v>
      </c>
      <c r="D2030" s="43">
        <v>0</v>
      </c>
      <c r="E2030" s="43">
        <v>0</v>
      </c>
      <c r="F2030" s="43">
        <v>0</v>
      </c>
      <c r="G2030" s="43">
        <v>0</v>
      </c>
      <c r="H2030" s="43">
        <v>0</v>
      </c>
      <c r="I2030" s="43">
        <v>0</v>
      </c>
      <c r="J2030" s="43">
        <v>0</v>
      </c>
      <c r="K2030" s="43">
        <v>0</v>
      </c>
      <c r="L2030" s="43">
        <v>0</v>
      </c>
      <c r="M2030" s="43">
        <v>0</v>
      </c>
      <c r="N2030" s="43">
        <v>0</v>
      </c>
      <c r="O2030" s="43">
        <v>0</v>
      </c>
      <c r="P2030" s="43">
        <v>0</v>
      </c>
      <c r="Q2030" s="43">
        <v>0</v>
      </c>
      <c r="R2030" s="43">
        <v>0</v>
      </c>
    </row>
    <row r="2031" spans="1:18" x14ac:dyDescent="0.25">
      <c r="A2031" s="43" t="s">
        <v>93</v>
      </c>
      <c r="C2031" s="54">
        <v>0</v>
      </c>
      <c r="D2031" s="50">
        <v>0</v>
      </c>
      <c r="E2031" s="50">
        <v>0</v>
      </c>
      <c r="F2031" s="50">
        <v>0</v>
      </c>
      <c r="G2031" s="50">
        <v>0</v>
      </c>
      <c r="H2031" s="50">
        <v>0</v>
      </c>
      <c r="I2031" s="50">
        <v>0</v>
      </c>
      <c r="J2031" s="50">
        <v>0</v>
      </c>
      <c r="K2031" s="50">
        <v>0</v>
      </c>
      <c r="L2031" s="50">
        <v>0</v>
      </c>
      <c r="M2031" s="50">
        <v>0</v>
      </c>
      <c r="N2031" s="50">
        <v>0</v>
      </c>
      <c r="O2031" s="50">
        <v>0</v>
      </c>
      <c r="P2031" s="50">
        <v>0</v>
      </c>
      <c r="Q2031" s="50">
        <v>0</v>
      </c>
      <c r="R2031" s="50">
        <v>0</v>
      </c>
    </row>
    <row r="2032" spans="1:18" x14ac:dyDescent="0.25">
      <c r="A2032" s="43" t="s">
        <v>1238</v>
      </c>
      <c r="C2032" s="54">
        <v>30000</v>
      </c>
      <c r="D2032" s="43">
        <v>0</v>
      </c>
      <c r="E2032" s="43">
        <v>0</v>
      </c>
      <c r="F2032" s="43">
        <v>0</v>
      </c>
      <c r="G2032" s="43">
        <v>0</v>
      </c>
      <c r="H2032" s="43">
        <v>0</v>
      </c>
      <c r="I2032" s="43">
        <v>0</v>
      </c>
      <c r="J2032" s="43">
        <v>0</v>
      </c>
      <c r="K2032" s="43">
        <v>0</v>
      </c>
      <c r="L2032" s="43">
        <v>0</v>
      </c>
      <c r="M2032" s="43">
        <v>0</v>
      </c>
      <c r="N2032" s="43">
        <v>0</v>
      </c>
      <c r="O2032" s="43">
        <v>0</v>
      </c>
      <c r="P2032" s="43">
        <v>0</v>
      </c>
      <c r="Q2032" s="43">
        <v>0</v>
      </c>
      <c r="R2032" s="43">
        <v>0</v>
      </c>
    </row>
    <row r="2033" spans="1:18" x14ac:dyDescent="0.25">
      <c r="A2033" s="43" t="s">
        <v>1070</v>
      </c>
      <c r="C2033" s="54">
        <v>25000</v>
      </c>
      <c r="D2033" s="43">
        <v>20000</v>
      </c>
      <c r="E2033" s="43">
        <v>20000</v>
      </c>
      <c r="F2033" s="43">
        <v>20000</v>
      </c>
      <c r="G2033" s="43">
        <v>26000</v>
      </c>
      <c r="H2033" s="43">
        <v>22000</v>
      </c>
      <c r="I2033" s="43">
        <v>22000</v>
      </c>
      <c r="J2033" s="43">
        <v>22000</v>
      </c>
      <c r="K2033" s="43">
        <v>25000</v>
      </c>
      <c r="L2033" s="43">
        <v>25000</v>
      </c>
      <c r="M2033" s="43">
        <v>25000</v>
      </c>
      <c r="N2033" s="43">
        <v>25000</v>
      </c>
      <c r="O2033" s="43">
        <v>27500</v>
      </c>
      <c r="P2033" s="43">
        <v>27500</v>
      </c>
      <c r="Q2033" s="43">
        <v>27500</v>
      </c>
      <c r="R2033" s="43">
        <v>27500</v>
      </c>
    </row>
    <row r="2034" spans="1:18" x14ac:dyDescent="0.25">
      <c r="A2034" s="43" t="s">
        <v>1239</v>
      </c>
      <c r="C2034" s="249">
        <v>365564</v>
      </c>
      <c r="D2034" s="50">
        <f>D706</f>
        <v>337574</v>
      </c>
      <c r="E2034" s="50">
        <v>360125</v>
      </c>
      <c r="F2034" s="50">
        <v>332407</v>
      </c>
      <c r="G2034" s="50">
        <v>553935</v>
      </c>
      <c r="H2034" s="50">
        <v>330000</v>
      </c>
      <c r="I2034" s="54">
        <f t="shared" ref="I2034" si="1068">H2034*1.023</f>
        <v>337589.99999999994</v>
      </c>
      <c r="J2034" s="54">
        <f t="shared" ref="J2034:K2034" si="1069">I2034*1.024</f>
        <v>345692.15999999997</v>
      </c>
      <c r="K2034" s="54">
        <f t="shared" si="1069"/>
        <v>353988.77184</v>
      </c>
      <c r="L2034" s="54">
        <f t="shared" ref="L2034" si="1070">K2034*1.023</f>
        <v>362130.51359231997</v>
      </c>
      <c r="M2034" s="54">
        <f t="shared" ref="M2034" si="1071">L2034*1.022</f>
        <v>370097.38489135104</v>
      </c>
      <c r="N2034" s="54">
        <f t="shared" ref="N2034" si="1072">M2034*1.023</f>
        <v>378609.62474385207</v>
      </c>
      <c r="O2034" s="54">
        <f t="shared" ref="O2034:P2034" si="1073">N2034*1.025</f>
        <v>388074.86536244833</v>
      </c>
      <c r="P2034" s="54">
        <f t="shared" si="1073"/>
        <v>397776.73699650948</v>
      </c>
      <c r="Q2034" s="54">
        <f t="shared" ref="Q2034:R2034" si="1074">P2034*1.024</f>
        <v>407323.37868442573</v>
      </c>
      <c r="R2034" s="54">
        <f t="shared" si="1074"/>
        <v>417099.13977285195</v>
      </c>
    </row>
    <row r="2035" spans="1:18" x14ac:dyDescent="0.25">
      <c r="A2035" s="43" t="s">
        <v>1240</v>
      </c>
      <c r="C2035" s="249">
        <v>45679</v>
      </c>
      <c r="D2035" s="43">
        <v>47186</v>
      </c>
      <c r="E2035">
        <v>32665</v>
      </c>
      <c r="F2035" s="43">
        <v>28698</v>
      </c>
      <c r="G2035" s="43">
        <v>27931</v>
      </c>
      <c r="H2035" s="43">
        <v>11900</v>
      </c>
      <c r="I2035" s="43">
        <v>12700</v>
      </c>
      <c r="J2035" s="50">
        <v>15600</v>
      </c>
      <c r="K2035" s="50">
        <v>16600</v>
      </c>
      <c r="L2035" s="50">
        <v>17100</v>
      </c>
      <c r="M2035" s="50">
        <v>16500</v>
      </c>
      <c r="N2035" s="50">
        <v>15800</v>
      </c>
      <c r="O2035" s="50">
        <v>18600</v>
      </c>
      <c r="P2035" s="50">
        <v>21700</v>
      </c>
      <c r="Q2035" s="50">
        <v>23100</v>
      </c>
      <c r="R2035" s="50">
        <v>23100</v>
      </c>
    </row>
    <row r="2036" spans="1:18" x14ac:dyDescent="0.25">
      <c r="A2036" s="43" t="s">
        <v>901</v>
      </c>
      <c r="C2036" s="67">
        <v>12182</v>
      </c>
      <c r="D2036" s="50">
        <v>0</v>
      </c>
      <c r="E2036" s="50"/>
      <c r="F2036" s="50">
        <v>0</v>
      </c>
      <c r="G2036" s="50">
        <v>22000</v>
      </c>
      <c r="H2036" s="50">
        <v>0</v>
      </c>
      <c r="I2036" s="50">
        <v>0</v>
      </c>
      <c r="J2036" s="50">
        <v>0</v>
      </c>
      <c r="K2036" s="50">
        <v>0</v>
      </c>
      <c r="L2036" s="50">
        <v>0</v>
      </c>
      <c r="M2036" s="50">
        <v>0</v>
      </c>
      <c r="N2036" s="50">
        <v>0</v>
      </c>
      <c r="O2036" s="50">
        <v>0</v>
      </c>
      <c r="P2036" s="50">
        <v>0</v>
      </c>
      <c r="Q2036" s="50">
        <v>0</v>
      </c>
      <c r="R2036" s="50">
        <v>0</v>
      </c>
    </row>
    <row r="2037" spans="1:18" x14ac:dyDescent="0.25">
      <c r="A2037" s="43" t="s">
        <v>1241</v>
      </c>
      <c r="C2037" s="50"/>
      <c r="D2037" s="50"/>
      <c r="E2037" s="50"/>
      <c r="F2037" s="50"/>
      <c r="G2037" s="50"/>
      <c r="H2037" s="50"/>
      <c r="I2037" s="50"/>
      <c r="J2037" s="50"/>
      <c r="K2037" s="50"/>
      <c r="L2037" s="50"/>
      <c r="M2037" s="50"/>
      <c r="N2037" s="50"/>
      <c r="O2037" s="50"/>
      <c r="P2037" s="50"/>
      <c r="Q2037" s="50"/>
      <c r="R2037" s="50"/>
    </row>
    <row r="2038" spans="1:18" x14ac:dyDescent="0.25">
      <c r="A2038" s="43" t="s">
        <v>1242</v>
      </c>
      <c r="C2038" s="54"/>
      <c r="D2038" s="43">
        <v>0</v>
      </c>
      <c r="F2038" s="43">
        <v>0</v>
      </c>
      <c r="G2038" s="43">
        <v>0</v>
      </c>
      <c r="H2038" s="43">
        <v>0</v>
      </c>
      <c r="I2038" s="43">
        <v>0</v>
      </c>
      <c r="J2038" s="43">
        <v>0</v>
      </c>
      <c r="K2038" s="43">
        <v>0</v>
      </c>
      <c r="L2038" s="43">
        <v>0</v>
      </c>
      <c r="M2038" s="43">
        <v>0</v>
      </c>
      <c r="N2038" s="43">
        <v>0</v>
      </c>
      <c r="O2038" s="43">
        <v>0</v>
      </c>
      <c r="P2038" s="43">
        <v>0</v>
      </c>
      <c r="Q2038" s="43">
        <v>0</v>
      </c>
      <c r="R2038" s="43">
        <v>0</v>
      </c>
    </row>
    <row r="2039" spans="1:18" x14ac:dyDescent="0.25">
      <c r="A2039" s="43" t="s">
        <v>1243</v>
      </c>
      <c r="C2039" s="54">
        <v>52510</v>
      </c>
      <c r="D2039" s="43">
        <v>56555</v>
      </c>
      <c r="E2039">
        <v>63122</v>
      </c>
      <c r="F2039" s="43">
        <v>65328</v>
      </c>
      <c r="G2039" s="43">
        <v>34471</v>
      </c>
      <c r="H2039" s="43">
        <v>0</v>
      </c>
      <c r="I2039" s="43">
        <v>0</v>
      </c>
      <c r="J2039" s="43">
        <v>0</v>
      </c>
      <c r="K2039" s="43">
        <v>0</v>
      </c>
      <c r="L2039" s="43">
        <v>0</v>
      </c>
      <c r="M2039" s="43">
        <v>0</v>
      </c>
      <c r="N2039" s="43">
        <v>0</v>
      </c>
      <c r="O2039" s="43">
        <v>0</v>
      </c>
      <c r="P2039" s="43">
        <v>0</v>
      </c>
      <c r="Q2039" s="43">
        <v>0</v>
      </c>
      <c r="R2039" s="43">
        <v>0</v>
      </c>
    </row>
    <row r="2040" spans="1:18" x14ac:dyDescent="0.25">
      <c r="A2040" s="43" t="s">
        <v>1145</v>
      </c>
      <c r="C2040" s="59">
        <v>30000</v>
      </c>
    </row>
    <row r="2041" spans="1:18" x14ac:dyDescent="0.25">
      <c r="A2041" s="43" t="s">
        <v>1244</v>
      </c>
      <c r="C2041" s="59"/>
      <c r="E2041" s="50"/>
      <c r="F2041" s="50"/>
      <c r="G2041" s="50">
        <v>0</v>
      </c>
      <c r="H2041" s="50">
        <v>420100</v>
      </c>
      <c r="I2041" s="50">
        <v>7060</v>
      </c>
      <c r="J2041" s="43">
        <v>0</v>
      </c>
      <c r="K2041" s="43">
        <v>0</v>
      </c>
      <c r="L2041" s="43">
        <v>0</v>
      </c>
      <c r="M2041" s="43">
        <v>0</v>
      </c>
      <c r="N2041" s="43">
        <v>0</v>
      </c>
      <c r="O2041" s="43">
        <v>0</v>
      </c>
      <c r="P2041" s="43">
        <v>0</v>
      </c>
      <c r="Q2041" s="43">
        <v>0</v>
      </c>
      <c r="R2041" s="43">
        <v>0</v>
      </c>
    </row>
    <row r="2042" spans="1:18" x14ac:dyDescent="0.25">
      <c r="A2042" s="43" t="s">
        <v>1245</v>
      </c>
      <c r="C2042" s="50"/>
      <c r="D2042" s="50"/>
      <c r="E2042" s="50"/>
      <c r="F2042" s="50"/>
      <c r="G2042" s="50"/>
      <c r="H2042" s="50"/>
      <c r="I2042" s="50"/>
      <c r="J2042" s="50"/>
      <c r="K2042" s="50"/>
      <c r="L2042" s="50"/>
      <c r="M2042" s="50"/>
      <c r="N2042" s="50"/>
      <c r="O2042" s="50"/>
      <c r="P2042" s="50"/>
      <c r="Q2042" s="50"/>
      <c r="R2042" s="50"/>
    </row>
    <row r="2043" spans="1:18" x14ac:dyDescent="0.25">
      <c r="A2043" s="52" t="s">
        <v>1148</v>
      </c>
      <c r="C2043" s="50"/>
      <c r="D2043" s="50"/>
      <c r="E2043" s="50"/>
      <c r="F2043" s="50"/>
      <c r="G2043" s="50"/>
      <c r="H2043" s="50"/>
      <c r="I2043" s="50"/>
      <c r="J2043" s="50"/>
      <c r="K2043" s="50"/>
      <c r="L2043" s="50"/>
      <c r="M2043" s="50"/>
      <c r="N2043" s="50"/>
      <c r="O2043" s="50"/>
      <c r="P2043" s="50"/>
      <c r="Q2043" s="50"/>
      <c r="R2043" s="50"/>
    </row>
    <row r="2044" spans="1:18" s="43" customFormat="1" x14ac:dyDescent="0.25">
      <c r="A2044" s="41" t="s">
        <v>1246</v>
      </c>
      <c r="B2044" s="53"/>
      <c r="C2044" s="50"/>
      <c r="D2044" s="50"/>
      <c r="E2044" s="50"/>
      <c r="F2044" s="50"/>
      <c r="G2044" s="50"/>
      <c r="H2044" s="50"/>
      <c r="I2044" s="50"/>
      <c r="J2044" s="50"/>
      <c r="K2044" s="50"/>
      <c r="L2044" s="50"/>
      <c r="M2044" s="50"/>
      <c r="N2044" s="50"/>
      <c r="O2044" s="50"/>
      <c r="P2044" s="50"/>
      <c r="Q2044" s="50"/>
      <c r="R2044" s="50"/>
    </row>
    <row r="2045" spans="1:18" s="43" customFormat="1" x14ac:dyDescent="0.25">
      <c r="A2045" s="109" t="s">
        <v>1176</v>
      </c>
      <c r="B2045" s="53"/>
      <c r="C2045" s="50"/>
      <c r="D2045" s="50"/>
      <c r="E2045" s="50"/>
      <c r="F2045" s="50"/>
      <c r="G2045" s="50"/>
      <c r="H2045" s="50"/>
      <c r="I2045" s="50"/>
      <c r="J2045" s="50"/>
      <c r="K2045" s="50"/>
      <c r="L2045" s="50"/>
      <c r="M2045" s="50"/>
      <c r="N2045" s="50"/>
      <c r="O2045" s="50"/>
      <c r="P2045" s="50"/>
      <c r="Q2045" s="50"/>
      <c r="R2045" s="50"/>
    </row>
    <row r="2046" spans="1:18" s="43" customFormat="1" x14ac:dyDescent="0.25">
      <c r="A2046" s="52" t="s">
        <v>1247</v>
      </c>
      <c r="B2046" s="53"/>
      <c r="C2046" s="50"/>
      <c r="D2046" s="50"/>
      <c r="E2046" s="50"/>
      <c r="F2046" s="50"/>
      <c r="G2046" s="50"/>
      <c r="H2046" s="50"/>
      <c r="I2046" s="50"/>
      <c r="J2046" s="50"/>
      <c r="K2046" s="50"/>
      <c r="L2046" s="50"/>
      <c r="M2046" s="50"/>
      <c r="N2046" s="50"/>
      <c r="O2046" s="50"/>
      <c r="P2046" s="50"/>
      <c r="Q2046" s="50"/>
      <c r="R2046" s="50"/>
    </row>
    <row r="2047" spans="1:18" s="43" customFormat="1" x14ac:dyDescent="0.25">
      <c r="A2047" s="52" t="s">
        <v>1248</v>
      </c>
      <c r="B2047" s="53"/>
      <c r="C2047" s="50"/>
      <c r="D2047" s="50"/>
      <c r="E2047" s="50"/>
      <c r="F2047" s="50"/>
      <c r="G2047" s="50"/>
      <c r="H2047" s="50"/>
      <c r="I2047" s="50"/>
      <c r="J2047" s="50"/>
      <c r="K2047" s="50"/>
      <c r="L2047" s="50"/>
      <c r="M2047" s="50"/>
      <c r="N2047" s="50"/>
      <c r="O2047" s="50"/>
      <c r="P2047" s="50"/>
      <c r="Q2047" s="50"/>
      <c r="R2047" s="50"/>
    </row>
    <row r="2048" spans="1:18" s="43" customFormat="1" x14ac:dyDescent="0.25">
      <c r="A2048" s="52" t="s">
        <v>954</v>
      </c>
      <c r="B2048" s="53"/>
      <c r="C2048" s="50"/>
      <c r="D2048" s="50"/>
      <c r="E2048" s="50"/>
      <c r="F2048" s="50"/>
      <c r="G2048" s="50"/>
      <c r="H2048" s="50"/>
      <c r="I2048" s="50"/>
      <c r="J2048" s="50"/>
      <c r="K2048" s="50"/>
      <c r="L2048" s="50"/>
      <c r="M2048" s="50"/>
      <c r="N2048" s="50"/>
      <c r="O2048" s="50"/>
      <c r="P2048" s="50"/>
      <c r="Q2048" s="50"/>
      <c r="R2048" s="50"/>
    </row>
    <row r="2049" spans="1:18" s="43" customFormat="1" x14ac:dyDescent="0.25">
      <c r="A2049" s="43" t="s">
        <v>1084</v>
      </c>
      <c r="B2049" s="53"/>
      <c r="C2049" s="50"/>
      <c r="D2049" s="50"/>
      <c r="E2049" s="50"/>
      <c r="F2049" s="50"/>
      <c r="G2049" s="50"/>
      <c r="H2049" s="50"/>
      <c r="I2049" s="50"/>
      <c r="J2049" s="50"/>
      <c r="K2049" s="50"/>
      <c r="L2049" s="50"/>
      <c r="M2049" s="50"/>
      <c r="N2049" s="50"/>
      <c r="O2049" s="50"/>
      <c r="P2049" s="50"/>
      <c r="Q2049" s="50"/>
      <c r="R2049" s="50"/>
    </row>
    <row r="2050" spans="1:18" s="43" customFormat="1" x14ac:dyDescent="0.25">
      <c r="A2050" s="59" t="s">
        <v>1177</v>
      </c>
      <c r="B2050" s="53"/>
      <c r="C2050" s="50"/>
      <c r="D2050" s="50"/>
      <c r="E2050" s="50"/>
      <c r="F2050" s="50"/>
      <c r="G2050" s="50"/>
      <c r="H2050" s="50"/>
      <c r="I2050" s="50"/>
      <c r="J2050" s="50"/>
      <c r="K2050" s="50"/>
      <c r="L2050" s="50"/>
      <c r="M2050" s="50"/>
      <c r="N2050" s="50"/>
      <c r="O2050" s="50"/>
      <c r="P2050" s="50"/>
      <c r="Q2050" s="50"/>
      <c r="R2050" s="50"/>
    </row>
    <row r="2051" spans="1:18" s="43" customFormat="1" x14ac:dyDescent="0.25">
      <c r="A2051" s="43" t="s">
        <v>627</v>
      </c>
      <c r="B2051" s="53"/>
      <c r="C2051" s="50"/>
      <c r="D2051" s="50"/>
      <c r="E2051" s="50"/>
      <c r="F2051" s="50"/>
      <c r="G2051" s="50"/>
      <c r="H2051" s="50"/>
      <c r="I2051" s="50"/>
      <c r="J2051" s="50"/>
      <c r="K2051" s="50"/>
      <c r="L2051" s="50"/>
      <c r="M2051" s="50"/>
      <c r="N2051" s="50"/>
      <c r="O2051" s="50"/>
      <c r="P2051" s="50"/>
      <c r="Q2051" s="50"/>
      <c r="R2051" s="50"/>
    </row>
    <row r="2052" spans="1:18" s="43" customFormat="1" x14ac:dyDescent="0.25">
      <c r="A2052" s="52" t="s">
        <v>1249</v>
      </c>
      <c r="B2052" s="53"/>
      <c r="C2052" s="50"/>
      <c r="D2052" s="50"/>
      <c r="E2052" s="50"/>
      <c r="F2052" s="50"/>
      <c r="G2052" s="50"/>
      <c r="H2052" s="50"/>
      <c r="I2052" s="50"/>
      <c r="J2052" s="50"/>
      <c r="K2052" s="50"/>
      <c r="L2052" s="50"/>
      <c r="M2052" s="50"/>
      <c r="N2052" s="50"/>
      <c r="O2052" s="50"/>
      <c r="P2052" s="50"/>
      <c r="Q2052" s="50"/>
      <c r="R2052" s="50"/>
    </row>
    <row r="2053" spans="1:18" s="43" customFormat="1" x14ac:dyDescent="0.25">
      <c r="A2053" s="52" t="s">
        <v>1250</v>
      </c>
      <c r="B2053" s="53"/>
      <c r="C2053" s="50"/>
      <c r="D2053" s="50"/>
      <c r="E2053" s="50"/>
      <c r="F2053" s="50"/>
      <c r="G2053" s="50"/>
      <c r="H2053" s="50"/>
      <c r="I2053" s="50"/>
      <c r="J2053" s="50"/>
      <c r="K2053" s="50"/>
      <c r="L2053" s="50"/>
      <c r="M2053" s="50"/>
      <c r="N2053" s="50"/>
      <c r="O2053" s="50"/>
      <c r="P2053" s="50"/>
      <c r="Q2053" s="50"/>
      <c r="R2053" s="50"/>
    </row>
    <row r="2054" spans="1:18" s="43" customFormat="1" x14ac:dyDescent="0.25">
      <c r="A2054" s="52" t="s">
        <v>1027</v>
      </c>
      <c r="B2054" s="53"/>
      <c r="C2054" s="50"/>
      <c r="D2054" s="50"/>
      <c r="E2054" s="50"/>
      <c r="F2054" s="50"/>
      <c r="G2054" s="50"/>
      <c r="H2054" s="50"/>
      <c r="I2054" s="50"/>
      <c r="J2054" s="50"/>
      <c r="K2054" s="50"/>
      <c r="L2054" s="50"/>
      <c r="M2054" s="50"/>
      <c r="N2054" s="50"/>
      <c r="O2054" s="50"/>
      <c r="P2054" s="50"/>
      <c r="Q2054" s="50"/>
      <c r="R2054" s="50"/>
    </row>
    <row r="2055" spans="1:18" s="43" customFormat="1" x14ac:dyDescent="0.25">
      <c r="A2055" s="43" t="s">
        <v>1178</v>
      </c>
      <c r="B2055" s="53"/>
      <c r="C2055" s="50"/>
      <c r="D2055" s="50"/>
      <c r="E2055" s="50"/>
      <c r="F2055" s="50"/>
      <c r="G2055" s="50"/>
      <c r="H2055" s="50"/>
      <c r="I2055" s="50"/>
      <c r="J2055" s="50"/>
      <c r="K2055" s="50"/>
      <c r="L2055" s="50"/>
      <c r="M2055" s="50"/>
      <c r="N2055" s="50"/>
      <c r="O2055" s="50"/>
      <c r="P2055" s="50"/>
      <c r="Q2055" s="50"/>
      <c r="R2055" s="50"/>
    </row>
    <row r="2056" spans="1:18" s="43" customFormat="1" x14ac:dyDescent="0.25">
      <c r="A2056" s="52" t="s">
        <v>792</v>
      </c>
      <c r="B2056" s="53"/>
      <c r="C2056" s="50"/>
      <c r="D2056" s="50"/>
      <c r="E2056" s="50"/>
      <c r="F2056" s="50"/>
      <c r="G2056" s="50"/>
      <c r="H2056" s="50"/>
      <c r="I2056" s="50"/>
      <c r="J2056" s="50"/>
      <c r="K2056" s="50"/>
      <c r="L2056" s="50"/>
      <c r="M2056" s="50"/>
      <c r="N2056" s="50"/>
      <c r="O2056" s="50"/>
      <c r="P2056" s="50"/>
      <c r="Q2056" s="50"/>
      <c r="R2056" s="50"/>
    </row>
    <row r="2057" spans="1:18" s="43" customFormat="1" x14ac:dyDescent="0.25">
      <c r="A2057" s="41" t="s">
        <v>1251</v>
      </c>
      <c r="B2057" s="53"/>
      <c r="C2057" s="50"/>
      <c r="D2057" s="50"/>
      <c r="E2057" s="50"/>
      <c r="F2057" s="50"/>
      <c r="G2057" s="50"/>
      <c r="H2057" s="50"/>
      <c r="I2057" s="50"/>
      <c r="J2057" s="50"/>
      <c r="K2057" s="50"/>
      <c r="L2057" s="50"/>
      <c r="M2057" s="50"/>
      <c r="N2057" s="50"/>
      <c r="O2057" s="50"/>
      <c r="P2057" s="50"/>
      <c r="Q2057" s="50"/>
      <c r="R2057" s="50"/>
    </row>
    <row r="2058" spans="1:18" s="43" customFormat="1" x14ac:dyDescent="0.25">
      <c r="A2058" s="52" t="s">
        <v>1252</v>
      </c>
      <c r="B2058" s="53"/>
      <c r="C2058" s="67"/>
      <c r="D2058" s="50"/>
      <c r="E2058" s="50"/>
      <c r="F2058" s="50"/>
      <c r="G2058" s="50"/>
      <c r="H2058" s="50"/>
      <c r="I2058" s="50"/>
      <c r="J2058" s="50"/>
      <c r="K2058" s="50"/>
      <c r="L2058" s="50"/>
      <c r="M2058" s="50"/>
      <c r="N2058" s="50"/>
      <c r="O2058" s="50"/>
      <c r="P2058" s="50"/>
      <c r="Q2058" s="50"/>
      <c r="R2058" s="50"/>
    </row>
    <row r="2059" spans="1:18" s="43" customFormat="1" x14ac:dyDescent="0.25">
      <c r="A2059" s="52" t="s">
        <v>1253</v>
      </c>
      <c r="B2059" s="53"/>
      <c r="C2059" s="67"/>
      <c r="D2059" s="50"/>
      <c r="E2059" s="50"/>
      <c r="F2059" s="50"/>
      <c r="G2059" s="50"/>
      <c r="H2059" s="50"/>
      <c r="I2059" s="50"/>
      <c r="J2059" s="50"/>
      <c r="K2059" s="50"/>
      <c r="L2059" s="50"/>
      <c r="M2059" s="50"/>
      <c r="N2059" s="50"/>
      <c r="O2059" s="50"/>
      <c r="P2059" s="50"/>
      <c r="Q2059" s="50"/>
      <c r="R2059" s="50"/>
    </row>
    <row r="2060" spans="1:18" s="43" customFormat="1" x14ac:dyDescent="0.25">
      <c r="A2060" s="52" t="s">
        <v>1254</v>
      </c>
      <c r="B2060" s="53"/>
      <c r="C2060" s="67"/>
      <c r="D2060" s="50"/>
      <c r="E2060" s="50"/>
      <c r="F2060" s="50"/>
      <c r="G2060" s="50"/>
      <c r="H2060" s="50"/>
      <c r="I2060" s="50"/>
      <c r="J2060" s="50"/>
      <c r="K2060" s="50"/>
      <c r="L2060" s="50"/>
      <c r="M2060" s="50"/>
      <c r="N2060" s="50"/>
      <c r="O2060" s="50"/>
      <c r="P2060" s="50"/>
      <c r="Q2060" s="50"/>
      <c r="R2060" s="50"/>
    </row>
    <row r="2061" spans="1:18" s="43" customFormat="1" x14ac:dyDescent="0.25">
      <c r="A2061" s="52" t="s">
        <v>1255</v>
      </c>
      <c r="B2061" s="53"/>
      <c r="C2061" s="67"/>
      <c r="D2061" s="50"/>
      <c r="E2061" s="50"/>
      <c r="F2061" s="50"/>
      <c r="G2061" s="50"/>
      <c r="H2061" s="50"/>
      <c r="I2061" s="50"/>
      <c r="J2061" s="50"/>
      <c r="K2061" s="50"/>
      <c r="L2061" s="50"/>
      <c r="M2061" s="50"/>
      <c r="N2061" s="50"/>
      <c r="O2061" s="50"/>
      <c r="P2061" s="50"/>
      <c r="Q2061" s="50"/>
      <c r="R2061" s="50"/>
    </row>
    <row r="2062" spans="1:18" s="43" customFormat="1" x14ac:dyDescent="0.25">
      <c r="A2062" s="52" t="s">
        <v>999</v>
      </c>
      <c r="B2062" s="53"/>
      <c r="C2062" s="52"/>
      <c r="D2062" s="50"/>
      <c r="E2062" s="50"/>
      <c r="F2062" s="50"/>
      <c r="G2062" s="50"/>
      <c r="H2062" s="50"/>
      <c r="I2062" s="50"/>
      <c r="J2062" s="50"/>
      <c r="K2062" s="50"/>
      <c r="L2062" s="50"/>
      <c r="M2062" s="50"/>
      <c r="N2062" s="50"/>
      <c r="O2062" s="50"/>
      <c r="P2062" s="50"/>
      <c r="Q2062" s="50"/>
      <c r="R2062" s="50"/>
    </row>
    <row r="2063" spans="1:18" s="43" customFormat="1" x14ac:dyDescent="0.25">
      <c r="A2063" s="52" t="s">
        <v>1054</v>
      </c>
      <c r="B2063" s="53"/>
      <c r="C2063" s="52"/>
      <c r="D2063" s="50"/>
      <c r="E2063" s="50"/>
      <c r="F2063" s="50"/>
      <c r="G2063" s="50"/>
      <c r="H2063" s="50"/>
      <c r="I2063" s="50"/>
      <c r="J2063" s="50"/>
      <c r="K2063" s="50"/>
      <c r="L2063" s="50"/>
      <c r="M2063" s="50"/>
      <c r="N2063" s="50"/>
      <c r="O2063" s="50"/>
      <c r="P2063" s="50"/>
      <c r="Q2063" s="50"/>
      <c r="R2063" s="50"/>
    </row>
    <row r="2064" spans="1:18" s="43" customFormat="1" x14ac:dyDescent="0.25">
      <c r="A2064" s="52" t="s">
        <v>1055</v>
      </c>
      <c r="B2064" s="53"/>
      <c r="C2064" s="52"/>
      <c r="D2064" s="50"/>
      <c r="E2064" s="50"/>
      <c r="F2064" s="50"/>
      <c r="G2064" s="50"/>
      <c r="H2064" s="50"/>
      <c r="I2064" s="50"/>
      <c r="J2064" s="50"/>
      <c r="K2064" s="50"/>
      <c r="L2064" s="50"/>
      <c r="M2064" s="50"/>
      <c r="N2064" s="50"/>
      <c r="O2064" s="50"/>
      <c r="P2064" s="50"/>
      <c r="Q2064" s="50"/>
      <c r="R2064" s="50"/>
    </row>
    <row r="2065" spans="1:18" s="43" customFormat="1" x14ac:dyDescent="0.25">
      <c r="A2065" s="52" t="s">
        <v>1082</v>
      </c>
      <c r="B2065" s="53"/>
      <c r="C2065" s="67"/>
      <c r="D2065" s="50"/>
      <c r="E2065" s="50"/>
      <c r="F2065" s="50"/>
      <c r="G2065" s="50"/>
      <c r="H2065" s="50"/>
      <c r="I2065" s="50"/>
      <c r="J2065" s="50"/>
      <c r="K2065" s="50"/>
      <c r="L2065" s="50"/>
      <c r="M2065" s="50"/>
      <c r="N2065" s="50"/>
      <c r="O2065" s="50"/>
      <c r="P2065" s="50"/>
      <c r="Q2065" s="50"/>
      <c r="R2065" s="50"/>
    </row>
    <row r="2066" spans="1:18" s="43" customFormat="1" x14ac:dyDescent="0.25">
      <c r="A2066" s="52" t="s">
        <v>1094</v>
      </c>
      <c r="B2066" s="53"/>
      <c r="C2066" s="52"/>
      <c r="D2066" s="50"/>
      <c r="E2066" s="50"/>
      <c r="F2066" s="50"/>
      <c r="G2066" s="50"/>
      <c r="H2066" s="50"/>
      <c r="I2066" s="50"/>
      <c r="J2066" s="50"/>
      <c r="K2066" s="50"/>
      <c r="L2066" s="50"/>
      <c r="M2066" s="50"/>
      <c r="N2066" s="50"/>
      <c r="O2066" s="50"/>
      <c r="P2066" s="50"/>
      <c r="Q2066" s="50"/>
      <c r="R2066" s="50"/>
    </row>
    <row r="2067" spans="1:18" s="43" customFormat="1" x14ac:dyDescent="0.25">
      <c r="A2067" s="52" t="s">
        <v>1096</v>
      </c>
      <c r="B2067" s="53"/>
      <c r="C2067" s="52"/>
      <c r="D2067" s="50"/>
      <c r="E2067" s="50"/>
      <c r="F2067" s="50"/>
      <c r="G2067" s="50"/>
      <c r="H2067" s="50"/>
      <c r="I2067" s="50"/>
      <c r="J2067" s="50"/>
      <c r="K2067" s="50"/>
      <c r="L2067" s="50"/>
      <c r="M2067" s="50"/>
      <c r="N2067" s="50"/>
      <c r="O2067" s="50"/>
      <c r="P2067" s="50"/>
      <c r="Q2067" s="50"/>
      <c r="R2067" s="50"/>
    </row>
    <row r="2068" spans="1:18" s="43" customFormat="1" x14ac:dyDescent="0.25">
      <c r="A2068" s="59" t="s">
        <v>1177</v>
      </c>
      <c r="B2068" s="53"/>
      <c r="C2068" s="52"/>
      <c r="D2068" s="50"/>
      <c r="E2068" s="50"/>
      <c r="F2068" s="50"/>
      <c r="G2068" s="50">
        <v>41744</v>
      </c>
      <c r="H2068" s="50"/>
      <c r="I2068" s="50"/>
      <c r="J2068" s="50"/>
      <c r="K2068" s="50"/>
      <c r="L2068" s="50"/>
      <c r="M2068" s="50"/>
      <c r="N2068" s="50"/>
      <c r="O2068" s="50"/>
      <c r="P2068" s="50"/>
      <c r="Q2068" s="50"/>
      <c r="R2068" s="50"/>
    </row>
    <row r="2069" spans="1:18" s="43" customFormat="1" x14ac:dyDescent="0.25">
      <c r="A2069" s="52" t="s">
        <v>1102</v>
      </c>
      <c r="B2069" s="53"/>
      <c r="C2069" s="52"/>
      <c r="D2069" s="50"/>
      <c r="E2069" s="50"/>
      <c r="F2069" s="50"/>
      <c r="G2069" s="50"/>
      <c r="H2069" s="50"/>
      <c r="I2069" s="50"/>
      <c r="J2069" s="50"/>
      <c r="K2069" s="50"/>
      <c r="L2069" s="50"/>
      <c r="M2069" s="50"/>
      <c r="N2069" s="50"/>
      <c r="O2069" s="50"/>
      <c r="P2069" s="50"/>
      <c r="Q2069" s="50"/>
      <c r="R2069" s="50"/>
    </row>
    <row r="2070" spans="1:18" s="43" customFormat="1" x14ac:dyDescent="0.25">
      <c r="A2070" s="52" t="s">
        <v>1176</v>
      </c>
      <c r="B2070" s="53"/>
      <c r="C2070" s="52"/>
      <c r="D2070" s="50"/>
      <c r="E2070" s="50"/>
      <c r="F2070" s="50"/>
      <c r="G2070" s="50"/>
      <c r="H2070" s="50"/>
      <c r="I2070" s="50"/>
      <c r="J2070" s="50"/>
      <c r="K2070" s="50"/>
      <c r="L2070" s="50"/>
      <c r="M2070" s="50"/>
      <c r="N2070" s="50"/>
      <c r="O2070" s="50"/>
      <c r="P2070" s="50"/>
      <c r="Q2070" s="50"/>
      <c r="R2070" s="50"/>
    </row>
    <row r="2071" spans="1:18" s="43" customFormat="1" x14ac:dyDescent="0.25">
      <c r="A2071" s="52" t="s">
        <v>632</v>
      </c>
      <c r="B2071" s="53"/>
      <c r="C2071" s="52"/>
      <c r="D2071" s="50"/>
      <c r="E2071" s="50"/>
      <c r="F2071" s="50"/>
      <c r="G2071" s="50"/>
      <c r="H2071" s="50"/>
      <c r="I2071" s="50"/>
      <c r="J2071" s="50"/>
      <c r="K2071" s="50"/>
      <c r="L2071" s="50"/>
      <c r="M2071" s="50"/>
      <c r="N2071" s="50"/>
      <c r="O2071" s="50"/>
      <c r="P2071" s="50"/>
      <c r="Q2071" s="50"/>
      <c r="R2071" s="50"/>
    </row>
    <row r="2072" spans="1:18" s="43" customFormat="1" x14ac:dyDescent="0.25">
      <c r="A2072" s="52" t="s">
        <v>749</v>
      </c>
      <c r="B2072" s="53"/>
      <c r="C2072" s="52"/>
      <c r="D2072" s="50"/>
      <c r="E2072" s="50"/>
      <c r="F2072" s="50"/>
      <c r="G2072" s="50"/>
      <c r="H2072" s="50"/>
      <c r="I2072" s="50"/>
      <c r="J2072" s="50"/>
      <c r="K2072" s="50"/>
      <c r="L2072" s="50"/>
      <c r="M2072" s="50"/>
      <c r="N2072" s="50"/>
      <c r="O2072" s="50"/>
      <c r="P2072" s="50"/>
      <c r="Q2072" s="50"/>
      <c r="R2072" s="50"/>
    </row>
    <row r="2073" spans="1:18" s="43" customFormat="1" x14ac:dyDescent="0.25">
      <c r="A2073" s="52" t="s">
        <v>752</v>
      </c>
      <c r="B2073" s="53"/>
      <c r="C2073" s="52"/>
      <c r="D2073" s="50"/>
      <c r="E2073" s="50"/>
      <c r="F2073" s="50"/>
      <c r="G2073" s="50"/>
      <c r="H2073" s="50"/>
      <c r="I2073" s="50"/>
      <c r="J2073" s="50"/>
      <c r="K2073" s="50"/>
      <c r="L2073" s="50"/>
      <c r="M2073" s="50"/>
      <c r="N2073" s="50"/>
      <c r="O2073" s="50"/>
      <c r="P2073" s="50"/>
      <c r="Q2073" s="50"/>
      <c r="R2073" s="50"/>
    </row>
    <row r="2074" spans="1:18" s="43" customFormat="1" x14ac:dyDescent="0.25">
      <c r="A2074" s="52" t="s">
        <v>751</v>
      </c>
      <c r="B2074" s="53"/>
      <c r="C2074" s="52"/>
      <c r="D2074" s="50"/>
      <c r="E2074" s="50"/>
      <c r="F2074" s="50"/>
      <c r="G2074" s="50"/>
      <c r="H2074" s="50"/>
      <c r="I2074" s="50"/>
      <c r="J2074" s="50"/>
      <c r="K2074" s="50"/>
      <c r="L2074" s="50"/>
      <c r="M2074" s="50"/>
      <c r="N2074" s="50"/>
      <c r="O2074" s="50"/>
      <c r="P2074" s="50"/>
      <c r="Q2074" s="50"/>
      <c r="R2074" s="50"/>
    </row>
    <row r="2075" spans="1:18" x14ac:dyDescent="0.25">
      <c r="A2075" s="52" t="s">
        <v>1256</v>
      </c>
      <c r="B2075" s="44"/>
      <c r="C2075" s="52"/>
      <c r="D2075" s="50"/>
      <c r="E2075" s="50"/>
      <c r="F2075" s="50"/>
      <c r="G2075" s="50"/>
      <c r="H2075" s="50"/>
      <c r="I2075" s="50"/>
      <c r="J2075" s="50"/>
      <c r="K2075" s="50"/>
      <c r="L2075" s="50"/>
      <c r="M2075" s="50"/>
      <c r="N2075" s="50"/>
      <c r="O2075" s="50"/>
      <c r="P2075" s="50"/>
      <c r="Q2075" s="50"/>
      <c r="R2075" s="50"/>
    </row>
    <row r="2076" spans="1:18" x14ac:dyDescent="0.25">
      <c r="A2076" s="41" t="s">
        <v>1181</v>
      </c>
      <c r="B2076" s="44"/>
      <c r="C2076" s="52"/>
      <c r="D2076" s="50"/>
      <c r="E2076" s="50"/>
      <c r="F2076" s="50"/>
      <c r="G2076" s="50"/>
      <c r="H2076" s="50"/>
      <c r="I2076" s="50"/>
      <c r="J2076" s="50"/>
      <c r="K2076" s="50"/>
      <c r="L2076" s="50"/>
      <c r="M2076" s="50"/>
      <c r="N2076" s="50"/>
      <c r="O2076" s="50"/>
      <c r="P2076" s="50"/>
      <c r="Q2076" s="50"/>
      <c r="R2076" s="50"/>
    </row>
    <row r="2077" spans="1:18" x14ac:dyDescent="0.25">
      <c r="A2077" s="131" t="s">
        <v>486</v>
      </c>
      <c r="B2077" s="44"/>
      <c r="C2077" s="50">
        <v>12727</v>
      </c>
      <c r="D2077" s="50"/>
      <c r="E2077" s="50"/>
      <c r="F2077" s="50"/>
      <c r="G2077" s="50"/>
      <c r="H2077" s="50"/>
      <c r="I2077" s="50"/>
      <c r="J2077" s="50"/>
      <c r="K2077" s="50"/>
      <c r="L2077" s="50"/>
      <c r="M2077" s="50"/>
      <c r="N2077" s="50"/>
      <c r="O2077" s="50"/>
      <c r="P2077" s="50"/>
      <c r="Q2077" s="50"/>
      <c r="R2077" s="50"/>
    </row>
    <row r="2078" spans="1:18" x14ac:dyDescent="0.25">
      <c r="A2078" s="131" t="s">
        <v>535</v>
      </c>
      <c r="B2078" s="44"/>
      <c r="C2078" s="50">
        <v>3000</v>
      </c>
      <c r="D2078" s="50"/>
      <c r="E2078" s="50"/>
      <c r="F2078" s="50"/>
      <c r="G2078" s="50"/>
      <c r="H2078" s="50"/>
      <c r="I2078" s="50"/>
      <c r="J2078" s="50"/>
      <c r="K2078" s="50"/>
      <c r="L2078" s="50"/>
      <c r="M2078" s="50"/>
      <c r="N2078" s="50"/>
      <c r="O2078" s="50"/>
      <c r="P2078" s="50"/>
      <c r="Q2078" s="50"/>
      <c r="R2078" s="50"/>
    </row>
    <row r="2079" spans="1:18" x14ac:dyDescent="0.25">
      <c r="A2079" s="131" t="s">
        <v>548</v>
      </c>
      <c r="B2079" s="44"/>
      <c r="C2079" s="50">
        <v>5000</v>
      </c>
      <c r="D2079" s="50"/>
      <c r="E2079" s="50"/>
      <c r="F2079" s="50"/>
      <c r="G2079" s="50"/>
      <c r="H2079" s="50"/>
      <c r="I2079" s="50"/>
      <c r="J2079" s="50"/>
      <c r="K2079" s="50"/>
      <c r="L2079" s="50"/>
      <c r="M2079" s="50"/>
      <c r="N2079" s="50"/>
      <c r="O2079" s="50"/>
      <c r="P2079" s="50"/>
      <c r="Q2079" s="50"/>
      <c r="R2079" s="50"/>
    </row>
    <row r="2080" spans="1:18" x14ac:dyDescent="0.25">
      <c r="A2080" s="91" t="s">
        <v>561</v>
      </c>
      <c r="B2080" s="44"/>
      <c r="C2080" s="50">
        <v>140467</v>
      </c>
      <c r="D2080" s="50"/>
      <c r="E2080" s="50"/>
      <c r="F2080" s="50"/>
      <c r="G2080" s="50"/>
      <c r="H2080" s="50"/>
      <c r="I2080" s="50"/>
      <c r="J2080" s="50"/>
      <c r="K2080" s="50"/>
      <c r="L2080" s="50"/>
      <c r="M2080" s="50"/>
      <c r="N2080" s="50"/>
      <c r="O2080" s="50"/>
      <c r="P2080" s="50"/>
      <c r="Q2080" s="50"/>
      <c r="R2080" s="50"/>
    </row>
    <row r="2081" spans="1:18" s="43" customFormat="1" x14ac:dyDescent="0.25">
      <c r="A2081" s="233" t="s">
        <v>1257</v>
      </c>
      <c r="B2081" s="44"/>
      <c r="C2081" s="50"/>
      <c r="D2081" s="50"/>
      <c r="E2081" s="50"/>
      <c r="F2081" s="50"/>
      <c r="H2081" s="50"/>
      <c r="I2081" s="50"/>
      <c r="J2081" s="50"/>
      <c r="K2081" s="50"/>
      <c r="L2081" s="50"/>
      <c r="M2081" s="50"/>
      <c r="N2081" s="50"/>
      <c r="O2081" s="50"/>
      <c r="P2081" s="50"/>
      <c r="Q2081" s="50"/>
      <c r="R2081" s="50"/>
    </row>
    <row r="2082" spans="1:18" s="43" customFormat="1" x14ac:dyDescent="0.25">
      <c r="A2082" s="147" t="s">
        <v>310</v>
      </c>
      <c r="B2082" s="44"/>
      <c r="C2082" s="50"/>
      <c r="D2082" s="50"/>
      <c r="E2082" s="50"/>
      <c r="F2082" s="50"/>
      <c r="G2082" s="250">
        <v>45511</v>
      </c>
      <c r="H2082" s="50"/>
      <c r="I2082" s="50"/>
      <c r="J2082" s="50"/>
      <c r="K2082" s="50"/>
      <c r="L2082" s="50"/>
      <c r="M2082" s="50"/>
      <c r="N2082" s="50"/>
      <c r="O2082" s="50"/>
      <c r="P2082" s="50"/>
      <c r="Q2082" s="50"/>
      <c r="R2082" s="50"/>
    </row>
    <row r="2083" spans="1:18" s="43" customFormat="1" x14ac:dyDescent="0.25">
      <c r="A2083" s="147" t="s">
        <v>249</v>
      </c>
      <c r="B2083" s="44"/>
      <c r="C2083" s="50"/>
      <c r="D2083" s="50"/>
      <c r="E2083" s="50"/>
      <c r="F2083" s="50"/>
      <c r="G2083" s="234">
        <v>5000</v>
      </c>
      <c r="H2083" s="50"/>
      <c r="I2083" s="50"/>
      <c r="J2083" s="50"/>
      <c r="K2083" s="50"/>
      <c r="L2083" s="50"/>
      <c r="M2083" s="50"/>
      <c r="N2083" s="50"/>
      <c r="O2083" s="50"/>
      <c r="P2083" s="50"/>
      <c r="Q2083" s="50"/>
      <c r="R2083" s="50"/>
    </row>
    <row r="2084" spans="1:18" s="43" customFormat="1" x14ac:dyDescent="0.25">
      <c r="A2084" s="251" t="s">
        <v>815</v>
      </c>
      <c r="B2084" s="44"/>
      <c r="C2084" s="50"/>
      <c r="D2084" s="50"/>
      <c r="E2084" s="50"/>
      <c r="F2084" s="50"/>
      <c r="G2084" s="250">
        <v>5040</v>
      </c>
      <c r="H2084" s="50"/>
      <c r="I2084" s="50"/>
      <c r="J2084" s="50"/>
      <c r="K2084" s="50"/>
      <c r="L2084" s="50"/>
      <c r="M2084" s="50"/>
      <c r="N2084" s="50"/>
      <c r="O2084" s="50"/>
      <c r="P2084" s="50"/>
      <c r="Q2084" s="50"/>
      <c r="R2084" s="50"/>
    </row>
    <row r="2085" spans="1:18" s="43" customFormat="1" x14ac:dyDescent="0.25">
      <c r="A2085" s="251" t="s">
        <v>1229</v>
      </c>
      <c r="B2085" s="44"/>
      <c r="C2085" s="50"/>
      <c r="D2085" s="50"/>
      <c r="E2085" s="50"/>
      <c r="F2085" s="50"/>
      <c r="G2085" s="250">
        <v>6968</v>
      </c>
      <c r="H2085" s="50"/>
      <c r="I2085" s="50"/>
      <c r="J2085" s="50"/>
      <c r="K2085" s="50"/>
      <c r="L2085" s="50"/>
      <c r="M2085" s="50"/>
      <c r="N2085" s="50"/>
      <c r="O2085" s="50"/>
      <c r="P2085" s="50"/>
      <c r="Q2085" s="50"/>
      <c r="R2085" s="50"/>
    </row>
    <row r="2086" spans="1:18" s="43" customFormat="1" x14ac:dyDescent="0.25">
      <c r="A2086" s="147" t="s">
        <v>1230</v>
      </c>
      <c r="B2086" s="44"/>
      <c r="C2086" s="50"/>
      <c r="D2086" s="50"/>
      <c r="E2086" s="50"/>
      <c r="F2086" s="50"/>
      <c r="G2086" s="250">
        <v>3373</v>
      </c>
      <c r="H2086" s="50"/>
      <c r="I2086" s="50"/>
      <c r="J2086" s="50"/>
      <c r="K2086" s="50"/>
      <c r="L2086" s="50"/>
      <c r="M2086" s="50"/>
      <c r="N2086" s="50"/>
      <c r="O2086" s="50"/>
      <c r="P2086" s="50"/>
      <c r="Q2086" s="50"/>
      <c r="R2086" s="50"/>
    </row>
    <row r="2087" spans="1:18" s="43" customFormat="1" x14ac:dyDescent="0.25">
      <c r="A2087" s="147" t="s">
        <v>1231</v>
      </c>
      <c r="B2087" s="44"/>
      <c r="C2087" s="50"/>
      <c r="D2087" s="50"/>
      <c r="E2087" s="50"/>
      <c r="F2087" s="50"/>
      <c r="G2087" s="250">
        <v>5018</v>
      </c>
      <c r="H2087" s="50"/>
      <c r="I2087" s="50"/>
      <c r="J2087" s="50"/>
      <c r="K2087" s="50"/>
      <c r="L2087" s="50"/>
      <c r="M2087" s="50"/>
      <c r="N2087" s="50"/>
      <c r="O2087" s="50"/>
      <c r="P2087" s="50"/>
      <c r="Q2087" s="50"/>
      <c r="R2087" s="50"/>
    </row>
    <row r="2088" spans="1:18" s="43" customFormat="1" x14ac:dyDescent="0.25">
      <c r="A2088" s="147" t="s">
        <v>1232</v>
      </c>
      <c r="B2088" s="44"/>
      <c r="C2088" s="50"/>
      <c r="D2088" s="50"/>
      <c r="E2088" s="50"/>
      <c r="F2088" s="50"/>
      <c r="G2088" s="250">
        <v>14474</v>
      </c>
      <c r="H2088" s="50"/>
      <c r="I2088" s="50"/>
      <c r="J2088" s="50"/>
      <c r="K2088" s="50"/>
      <c r="L2088" s="50"/>
      <c r="M2088" s="50"/>
      <c r="N2088" s="50"/>
      <c r="O2088" s="50"/>
      <c r="P2088" s="50"/>
      <c r="Q2088" s="50"/>
      <c r="R2088" s="50"/>
    </row>
    <row r="2089" spans="1:18" s="43" customFormat="1" x14ac:dyDescent="0.25">
      <c r="A2089" s="52" t="s">
        <v>958</v>
      </c>
      <c r="B2089" s="44"/>
      <c r="C2089" s="50"/>
      <c r="D2089" s="50"/>
      <c r="E2089" s="50"/>
      <c r="F2089" s="50"/>
      <c r="G2089">
        <v>85000</v>
      </c>
      <c r="H2089" s="50"/>
      <c r="I2089" s="50"/>
      <c r="J2089" s="50"/>
      <c r="K2089" s="50"/>
      <c r="L2089" s="50"/>
      <c r="M2089" s="50"/>
      <c r="N2089" s="50"/>
      <c r="O2089" s="50"/>
      <c r="P2089" s="50"/>
      <c r="Q2089" s="50"/>
      <c r="R2089" s="50"/>
    </row>
    <row r="2090" spans="1:18" s="43" customFormat="1" x14ac:dyDescent="0.25">
      <c r="A2090" s="52" t="s">
        <v>1258</v>
      </c>
      <c r="B2090" s="44"/>
      <c r="C2090" s="50"/>
      <c r="D2090" s="50"/>
      <c r="E2090" s="50"/>
      <c r="F2090" s="50"/>
      <c r="G2090">
        <v>18000</v>
      </c>
      <c r="H2090" s="50"/>
      <c r="I2090" s="50"/>
      <c r="J2090" s="50"/>
      <c r="K2090" s="50"/>
      <c r="L2090" s="50"/>
      <c r="M2090" s="50"/>
      <c r="N2090" s="50"/>
      <c r="O2090" s="50"/>
      <c r="P2090" s="50"/>
      <c r="Q2090" s="50"/>
      <c r="R2090" s="50"/>
    </row>
    <row r="2091" spans="1:18" s="43" customFormat="1" x14ac:dyDescent="0.25">
      <c r="A2091" s="252" t="s">
        <v>1086</v>
      </c>
      <c r="B2091" s="44"/>
      <c r="C2091" s="50"/>
      <c r="D2091" s="50"/>
      <c r="E2091" s="50"/>
      <c r="F2091" s="50"/>
      <c r="G2091" s="43">
        <v>64000</v>
      </c>
      <c r="H2091" s="50"/>
      <c r="I2091" s="50"/>
      <c r="J2091" s="50"/>
      <c r="K2091" s="50"/>
      <c r="L2091" s="50"/>
      <c r="M2091" s="50"/>
      <c r="N2091" s="50"/>
      <c r="O2091" s="50"/>
      <c r="P2091" s="50"/>
      <c r="Q2091" s="50"/>
      <c r="R2091" s="50"/>
    </row>
    <row r="2092" spans="1:18" s="43" customFormat="1" x14ac:dyDescent="0.25">
      <c r="A2092" s="141" t="s">
        <v>1233</v>
      </c>
      <c r="B2092" s="44"/>
      <c r="C2092" s="50"/>
      <c r="D2092" s="50"/>
      <c r="E2092" s="50"/>
      <c r="F2092" s="50"/>
      <c r="G2092" s="43">
        <v>13500</v>
      </c>
      <c r="H2092" s="50"/>
      <c r="I2092" s="50"/>
      <c r="J2092" s="50"/>
      <c r="K2092" s="50"/>
      <c r="L2092" s="50"/>
      <c r="M2092" s="50"/>
      <c r="N2092" s="50"/>
      <c r="O2092" s="50"/>
      <c r="P2092" s="50"/>
      <c r="Q2092" s="50"/>
      <c r="R2092" s="50"/>
    </row>
    <row r="2093" spans="1:18" s="43" customFormat="1" x14ac:dyDescent="0.25">
      <c r="A2093" s="141" t="s">
        <v>1259</v>
      </c>
      <c r="B2093" s="44"/>
      <c r="C2093" s="50"/>
      <c r="D2093" s="50"/>
      <c r="E2093" s="50"/>
      <c r="F2093" s="50"/>
      <c r="G2093" s="43">
        <v>20532</v>
      </c>
      <c r="H2093" s="50"/>
      <c r="I2093" s="50"/>
      <c r="J2093" s="50"/>
      <c r="K2093" s="50"/>
      <c r="L2093" s="50"/>
      <c r="M2093" s="50"/>
      <c r="N2093" s="50"/>
      <c r="O2093" s="50"/>
      <c r="P2093" s="50"/>
      <c r="Q2093" s="50"/>
      <c r="R2093" s="50"/>
    </row>
    <row r="2094" spans="1:18" s="43" customFormat="1" x14ac:dyDescent="0.25">
      <c r="A2094" s="141" t="s">
        <v>1234</v>
      </c>
      <c r="B2094" s="44"/>
      <c r="C2094" s="50"/>
      <c r="D2094" s="50"/>
      <c r="E2094" s="50"/>
      <c r="F2094" s="50"/>
      <c r="G2094" s="43">
        <v>17000</v>
      </c>
      <c r="H2094" s="50"/>
      <c r="I2094" s="50"/>
      <c r="J2094" s="50"/>
      <c r="K2094" s="50"/>
      <c r="L2094" s="50"/>
      <c r="M2094" s="50"/>
      <c r="N2094" s="50"/>
      <c r="O2094" s="50"/>
      <c r="P2094" s="50"/>
      <c r="Q2094" s="50"/>
      <c r="R2094" s="50"/>
    </row>
    <row r="2095" spans="1:18" s="43" customFormat="1" x14ac:dyDescent="0.25">
      <c r="A2095" s="235" t="s">
        <v>1197</v>
      </c>
      <c r="B2095" s="44"/>
      <c r="C2095" s="50"/>
      <c r="D2095" s="50"/>
      <c r="E2095" s="50"/>
      <c r="F2095" s="50"/>
      <c r="G2095" s="250">
        <v>925600</v>
      </c>
      <c r="H2095" s="50"/>
      <c r="I2095" s="50"/>
      <c r="J2095" s="50"/>
      <c r="K2095" s="50"/>
      <c r="L2095" s="50"/>
      <c r="M2095" s="50"/>
      <c r="N2095" s="50"/>
      <c r="O2095" s="50"/>
      <c r="P2095" s="50"/>
      <c r="Q2095" s="50"/>
      <c r="R2095" s="50"/>
    </row>
    <row r="2096" spans="1:18" s="43" customFormat="1" x14ac:dyDescent="0.25">
      <c r="A2096" s="235" t="s">
        <v>1209</v>
      </c>
      <c r="B2096" s="44"/>
      <c r="C2096" s="50"/>
      <c r="D2096" s="50"/>
      <c r="E2096" s="50"/>
      <c r="F2096" s="50"/>
      <c r="G2096" s="250">
        <v>185338</v>
      </c>
      <c r="H2096" s="50"/>
      <c r="I2096" s="50"/>
      <c r="J2096" s="50"/>
      <c r="K2096" s="50"/>
      <c r="L2096" s="50"/>
      <c r="M2096" s="50"/>
      <c r="N2096" s="50"/>
      <c r="O2096" s="50"/>
      <c r="P2096" s="50"/>
      <c r="Q2096" s="50"/>
      <c r="R2096" s="50"/>
    </row>
    <row r="2097" spans="1:18" s="43" customFormat="1" x14ac:dyDescent="0.25">
      <c r="A2097" s="41" t="s">
        <v>1260</v>
      </c>
      <c r="B2097" s="44"/>
      <c r="C2097" s="50"/>
      <c r="D2097" s="50"/>
      <c r="E2097" s="50"/>
      <c r="F2097" s="50"/>
      <c r="G2097">
        <v>204714</v>
      </c>
      <c r="H2097" s="50"/>
      <c r="I2097" s="50"/>
      <c r="J2097" s="50"/>
      <c r="K2097" s="50"/>
      <c r="L2097" s="50"/>
      <c r="M2097" s="50"/>
      <c r="N2097" s="50"/>
      <c r="O2097" s="50"/>
      <c r="P2097" s="50"/>
      <c r="Q2097" s="50"/>
      <c r="R2097" s="50"/>
    </row>
    <row r="2098" spans="1:18" s="43" customFormat="1" x14ac:dyDescent="0.25">
      <c r="A2098" s="52"/>
      <c r="B2098" s="44"/>
      <c r="C2098" s="50"/>
      <c r="D2098" s="50"/>
      <c r="E2098" s="50"/>
      <c r="F2098" s="50"/>
      <c r="G2098" s="50"/>
      <c r="H2098" s="50"/>
      <c r="I2098" s="50"/>
      <c r="J2098" s="50"/>
      <c r="K2098" s="50"/>
      <c r="L2098" s="50"/>
      <c r="M2098" s="50"/>
      <c r="N2098" s="50"/>
      <c r="O2098" s="50"/>
      <c r="P2098" s="50"/>
      <c r="Q2098" s="50"/>
      <c r="R2098" s="50"/>
    </row>
    <row r="2099" spans="1:18" s="43" customFormat="1" x14ac:dyDescent="0.25">
      <c r="A2099" s="52"/>
      <c r="B2099" s="44"/>
      <c r="C2099" s="50"/>
      <c r="D2099" s="50"/>
      <c r="E2099" s="50"/>
      <c r="F2099" s="50"/>
      <c r="G2099" s="50"/>
      <c r="H2099" s="50"/>
      <c r="I2099" s="50"/>
      <c r="J2099" s="50"/>
      <c r="K2099" s="50"/>
      <c r="L2099" s="50"/>
      <c r="M2099" s="50"/>
      <c r="N2099" s="50"/>
      <c r="O2099" s="50"/>
      <c r="P2099" s="50"/>
      <c r="Q2099" s="50"/>
      <c r="R2099" s="50"/>
    </row>
    <row r="2100" spans="1:18" s="43" customFormat="1" x14ac:dyDescent="0.25">
      <c r="A2100" s="52"/>
      <c r="B2100" s="44"/>
      <c r="C2100" s="50"/>
      <c r="D2100" s="50"/>
      <c r="E2100" s="50"/>
      <c r="F2100" s="50"/>
      <c r="G2100" s="50"/>
      <c r="H2100" s="50"/>
      <c r="I2100" s="50"/>
      <c r="J2100" s="50"/>
      <c r="K2100" s="50"/>
      <c r="L2100" s="50"/>
      <c r="M2100" s="50"/>
      <c r="N2100" s="50"/>
      <c r="O2100" s="50"/>
      <c r="P2100" s="50"/>
      <c r="Q2100" s="50"/>
      <c r="R2100" s="50"/>
    </row>
    <row r="2101" spans="1:18" s="43" customFormat="1" x14ac:dyDescent="0.25">
      <c r="A2101" s="52"/>
      <c r="B2101" s="44"/>
      <c r="C2101" s="50"/>
      <c r="D2101" s="50"/>
      <c r="E2101" s="50"/>
      <c r="F2101" s="50"/>
      <c r="G2101" s="50"/>
      <c r="H2101" s="50"/>
      <c r="I2101" s="50"/>
      <c r="J2101" s="50"/>
      <c r="K2101" s="50"/>
      <c r="L2101" s="50"/>
      <c r="M2101" s="50"/>
      <c r="N2101" s="50"/>
      <c r="O2101" s="50"/>
      <c r="P2101" s="50"/>
      <c r="Q2101" s="50"/>
      <c r="R2101" s="50"/>
    </row>
    <row r="2102" spans="1:18" s="43" customFormat="1" x14ac:dyDescent="0.25">
      <c r="A2102" s="52"/>
      <c r="B2102" s="44"/>
      <c r="C2102" s="50"/>
      <c r="D2102" s="50"/>
      <c r="E2102" s="50"/>
      <c r="F2102" s="50"/>
      <c r="G2102" s="50"/>
      <c r="H2102" s="50"/>
      <c r="I2102" s="50"/>
      <c r="J2102" s="50"/>
      <c r="K2102" s="50"/>
      <c r="L2102" s="50"/>
      <c r="M2102" s="50"/>
      <c r="N2102" s="50"/>
      <c r="O2102" s="50"/>
      <c r="P2102" s="50"/>
      <c r="Q2102" s="50"/>
      <c r="R2102" s="50"/>
    </row>
    <row r="2103" spans="1:18" s="43" customFormat="1" x14ac:dyDescent="0.25">
      <c r="A2103" s="52"/>
      <c r="B2103" s="44"/>
      <c r="C2103" s="50"/>
      <c r="D2103" s="50"/>
      <c r="E2103" s="50"/>
      <c r="F2103" s="50"/>
      <c r="G2103" s="50"/>
      <c r="H2103" s="50"/>
      <c r="I2103" s="50"/>
      <c r="J2103" s="50"/>
      <c r="K2103" s="50"/>
      <c r="L2103" s="50"/>
      <c r="M2103" s="50"/>
      <c r="N2103" s="50"/>
      <c r="O2103" s="50"/>
      <c r="P2103" s="50"/>
      <c r="Q2103" s="50"/>
      <c r="R2103" s="50"/>
    </row>
    <row r="2104" spans="1:18" s="43" customFormat="1" x14ac:dyDescent="0.25">
      <c r="A2104" s="52"/>
      <c r="B2104" s="44"/>
      <c r="C2104" s="50"/>
      <c r="D2104" s="50"/>
      <c r="E2104" s="50"/>
      <c r="F2104" s="50"/>
      <c r="G2104" s="50"/>
      <c r="H2104" s="50"/>
      <c r="I2104" s="50"/>
      <c r="J2104" s="50"/>
      <c r="K2104" s="50"/>
      <c r="L2104" s="50"/>
      <c r="M2104" s="50"/>
      <c r="N2104" s="50"/>
      <c r="O2104" s="50"/>
      <c r="P2104" s="50"/>
      <c r="Q2104" s="50"/>
      <c r="R2104" s="50"/>
    </row>
    <row r="2105" spans="1:18" x14ac:dyDescent="0.25">
      <c r="A2105" s="52"/>
      <c r="B2105" s="44"/>
      <c r="C2105" s="52"/>
      <c r="D2105" s="50"/>
      <c r="E2105" s="50"/>
      <c r="F2105" s="50"/>
      <c r="G2105" s="50"/>
      <c r="H2105" s="50"/>
      <c r="I2105" s="50"/>
      <c r="J2105" s="50"/>
      <c r="K2105" s="50"/>
      <c r="L2105" s="50"/>
      <c r="M2105" s="50"/>
      <c r="N2105" s="50"/>
      <c r="O2105" s="50"/>
      <c r="P2105" s="50"/>
      <c r="Q2105" s="50"/>
      <c r="R2105" s="50"/>
    </row>
    <row r="2106" spans="1:18" x14ac:dyDescent="0.25">
      <c r="A2106" s="41" t="s">
        <v>107</v>
      </c>
      <c r="B2106" s="44"/>
      <c r="C2106" s="51">
        <f>SUM(C2028:C2105)</f>
        <v>1173095</v>
      </c>
      <c r="D2106" s="51">
        <f>SUM(D2028:D2075)</f>
        <v>961606</v>
      </c>
      <c r="E2106" s="51">
        <f>SUM(E2028:E2075)</f>
        <v>1078717</v>
      </c>
      <c r="F2106" s="51">
        <f t="shared" ref="F2106" si="1075">SUM(F2028:F2105)</f>
        <v>1033081</v>
      </c>
      <c r="G2106" s="51">
        <f>SUM(G2028:G2105)</f>
        <v>2826400.77</v>
      </c>
      <c r="H2106" s="51">
        <f>SUM(H2028:H2105)</f>
        <v>1772919.9569942858</v>
      </c>
      <c r="I2106" s="51">
        <f t="shared" ref="I2106:R2106" si="1076">SUM(I2028:I2075)</f>
        <v>1165752.6236609523</v>
      </c>
      <c r="J2106" s="51">
        <f t="shared" si="1076"/>
        <v>1132901.4636609524</v>
      </c>
      <c r="K2106" s="51">
        <f t="shared" si="1076"/>
        <v>1149484.1155009523</v>
      </c>
      <c r="L2106" s="51">
        <f t="shared" si="1076"/>
        <v>1174016.2939732724</v>
      </c>
      <c r="M2106" s="51">
        <f t="shared" si="1076"/>
        <v>1162026.1120883033</v>
      </c>
      <c r="N2106" s="51">
        <f t="shared" si="1076"/>
        <v>1203097.7851852844</v>
      </c>
      <c r="O2106" s="51">
        <f t="shared" si="1076"/>
        <v>1210505.3897951494</v>
      </c>
      <c r="P2106" s="51">
        <f t="shared" si="1076"/>
        <v>1277111.2135456367</v>
      </c>
      <c r="Q2106" s="51">
        <f t="shared" si="1076"/>
        <v>1305838.1417219378</v>
      </c>
      <c r="R2106" s="51">
        <f t="shared" si="1076"/>
        <v>1341064.0410393537</v>
      </c>
    </row>
    <row r="2107" spans="1:18" x14ac:dyDescent="0.25">
      <c r="C2107" s="50"/>
      <c r="D2107" s="50"/>
      <c r="E2107" s="50"/>
      <c r="F2107" s="50"/>
      <c r="G2107" s="50"/>
      <c r="H2107" s="50"/>
      <c r="I2107" s="50"/>
      <c r="J2107" s="50"/>
      <c r="K2107" s="50"/>
      <c r="L2107" s="50"/>
      <c r="M2107" s="50"/>
      <c r="N2107" s="50"/>
      <c r="O2107" s="50"/>
      <c r="P2107" s="50"/>
      <c r="Q2107" s="50"/>
      <c r="R2107" s="50"/>
    </row>
    <row r="2108" spans="1:18" x14ac:dyDescent="0.25">
      <c r="A2108" s="41" t="s">
        <v>1261</v>
      </c>
      <c r="B2108" s="44"/>
      <c r="C2108" s="51">
        <f t="shared" ref="C2108:R2108" si="1077">C2106-C2023+C1796</f>
        <v>-1703368.42</v>
      </c>
      <c r="D2108" s="51">
        <f t="shared" si="1077"/>
        <v>-2784171</v>
      </c>
      <c r="E2108" s="51">
        <f t="shared" si="1077"/>
        <v>-2486182</v>
      </c>
      <c r="F2108" s="51">
        <f t="shared" si="1077"/>
        <v>-2242985</v>
      </c>
      <c r="G2108" s="51">
        <f t="shared" si="1077"/>
        <v>249539.41000000015</v>
      </c>
      <c r="H2108" s="51">
        <f t="shared" si="1077"/>
        <v>-1608957</v>
      </c>
      <c r="I2108" s="51">
        <f t="shared" si="1077"/>
        <v>-1678388.5</v>
      </c>
      <c r="J2108" s="51">
        <f t="shared" si="1077"/>
        <v>-1922281.0724999998</v>
      </c>
      <c r="K2108" s="51">
        <f t="shared" si="1077"/>
        <v>-1826307.1919475005</v>
      </c>
      <c r="L2108" s="51">
        <f t="shared" si="1077"/>
        <v>-1809973.6581457676</v>
      </c>
      <c r="M2108" s="51">
        <f t="shared" si="1077"/>
        <v>-1958717.3101823037</v>
      </c>
      <c r="N2108" s="51">
        <f t="shared" si="1077"/>
        <v>-2106314.3045983124</v>
      </c>
      <c r="O2108" s="51">
        <f t="shared" si="1077"/>
        <v>-1925299.321883539</v>
      </c>
      <c r="P2108" s="51">
        <f t="shared" si="1077"/>
        <v>-2123941.4678188367</v>
      </c>
      <c r="Q2108" s="51">
        <f t="shared" si="1077"/>
        <v>-2084142.7796313863</v>
      </c>
      <c r="R2108" s="51">
        <f t="shared" si="1077"/>
        <v>-2092371.3065393241</v>
      </c>
    </row>
    <row r="2109" spans="1:18" x14ac:dyDescent="0.25">
      <c r="C2109" s="50"/>
      <c r="D2109" s="50"/>
      <c r="E2109" s="50"/>
      <c r="F2109" s="50"/>
      <c r="G2109" s="50"/>
      <c r="H2109" s="50"/>
      <c r="I2109" s="50"/>
      <c r="J2109" s="50"/>
      <c r="K2109" s="50"/>
      <c r="L2109" s="50"/>
      <c r="M2109" s="50"/>
      <c r="N2109" s="50"/>
      <c r="O2109" s="50"/>
      <c r="P2109" s="50"/>
      <c r="Q2109" s="50"/>
      <c r="R2109" s="50"/>
    </row>
    <row r="2110" spans="1:18" x14ac:dyDescent="0.25">
      <c r="A2110" s="41" t="s">
        <v>1262</v>
      </c>
      <c r="B2110" s="44"/>
      <c r="C2110" s="50"/>
      <c r="D2110" s="50"/>
      <c r="E2110" s="50"/>
      <c r="F2110" s="50"/>
      <c r="G2110" s="50"/>
      <c r="H2110" s="50"/>
      <c r="I2110" s="50"/>
      <c r="J2110" s="50"/>
      <c r="K2110" s="50"/>
      <c r="L2110" s="50"/>
      <c r="M2110" s="50"/>
      <c r="N2110" s="50"/>
      <c r="O2110" s="50"/>
      <c r="P2110" s="50"/>
      <c r="Q2110" s="50"/>
      <c r="R2110" s="50"/>
    </row>
    <row r="2111" spans="1:18" x14ac:dyDescent="0.25">
      <c r="A2111" s="41"/>
      <c r="B2111" s="44"/>
      <c r="C2111" s="50"/>
      <c r="D2111" s="50"/>
      <c r="E2111" s="50"/>
      <c r="F2111" s="50"/>
      <c r="G2111" s="50"/>
      <c r="H2111" s="50"/>
      <c r="I2111" s="50"/>
      <c r="J2111" s="50"/>
      <c r="K2111" s="50"/>
      <c r="L2111" s="50"/>
      <c r="M2111" s="50"/>
      <c r="N2111" s="50"/>
      <c r="O2111" s="50"/>
      <c r="P2111" s="50"/>
      <c r="Q2111" s="50"/>
      <c r="R2111" s="50"/>
    </row>
    <row r="2112" spans="1:18" x14ac:dyDescent="0.25">
      <c r="A2112" s="41" t="s">
        <v>202</v>
      </c>
      <c r="B2112" s="44"/>
      <c r="C2112" s="50"/>
      <c r="D2112" s="50"/>
      <c r="E2112" s="50"/>
      <c r="F2112" s="50"/>
      <c r="G2112" s="50"/>
      <c r="H2112" s="50"/>
      <c r="I2112" s="50"/>
      <c r="J2112" s="50"/>
      <c r="K2112" s="50"/>
      <c r="L2112" s="50"/>
      <c r="M2112" s="50"/>
      <c r="N2112" s="50"/>
      <c r="O2112" s="50"/>
      <c r="P2112" s="50"/>
      <c r="Q2112" s="50"/>
      <c r="R2112" s="50"/>
    </row>
    <row r="2113" spans="1:20" x14ac:dyDescent="0.25">
      <c r="A2113" s="41"/>
      <c r="B2113" s="44"/>
      <c r="C2113" s="50"/>
      <c r="D2113" s="50"/>
      <c r="E2113" s="50"/>
      <c r="F2113" s="50"/>
      <c r="G2113" s="50"/>
      <c r="H2113" s="50"/>
      <c r="I2113" s="50"/>
      <c r="J2113" s="50"/>
      <c r="K2113" s="50"/>
      <c r="L2113" s="50"/>
      <c r="M2113" s="50"/>
      <c r="N2113" s="50"/>
      <c r="O2113" s="50"/>
      <c r="P2113" s="50"/>
      <c r="Q2113" s="50"/>
      <c r="R2113" s="50"/>
    </row>
    <row r="2114" spans="1:20" x14ac:dyDescent="0.25">
      <c r="C2114" s="50"/>
      <c r="D2114" s="50"/>
      <c r="E2114" s="50"/>
      <c r="F2114" s="50"/>
      <c r="G2114" s="50"/>
      <c r="H2114" s="50"/>
      <c r="I2114" s="50"/>
      <c r="J2114" s="50"/>
      <c r="K2114" s="50"/>
      <c r="L2114" s="50"/>
      <c r="M2114" s="50"/>
      <c r="N2114" s="50"/>
      <c r="O2114" s="50"/>
      <c r="P2114" s="50"/>
      <c r="Q2114" s="50"/>
      <c r="R2114" s="50"/>
    </row>
    <row r="2115" spans="1:20" x14ac:dyDescent="0.25">
      <c r="A2115" s="43" t="s">
        <v>1263</v>
      </c>
      <c r="C2115" s="54">
        <v>3305</v>
      </c>
      <c r="D2115" s="54">
        <v>650</v>
      </c>
      <c r="E2115">
        <v>1616</v>
      </c>
      <c r="F2115" s="54">
        <v>1250</v>
      </c>
      <c r="G2115" s="54">
        <v>4020</v>
      </c>
      <c r="H2115" s="54">
        <v>2000</v>
      </c>
      <c r="I2115" s="54">
        <f t="shared" ref="I2115:I2118" si="1078">H2115*1.023</f>
        <v>2045.9999999999998</v>
      </c>
      <c r="J2115" s="54">
        <f t="shared" ref="J2115:K2118" si="1079">I2115*1.024</f>
        <v>2095.1039999999998</v>
      </c>
      <c r="K2115" s="54">
        <f t="shared" si="1079"/>
        <v>2145.3864960000001</v>
      </c>
      <c r="L2115" s="54">
        <f t="shared" ref="L2115:L2118" si="1080">K2115*1.023</f>
        <v>2194.7303854080001</v>
      </c>
      <c r="M2115" s="54">
        <f t="shared" ref="M2115:M2118" si="1081">L2115*1.022</f>
        <v>2243.0144538869763</v>
      </c>
      <c r="N2115" s="54">
        <f t="shared" ref="N2115:N2118" si="1082">M2115*1.023</f>
        <v>2294.6037863263764</v>
      </c>
      <c r="O2115" s="54">
        <f t="shared" ref="O2115:P2118" si="1083">N2115*1.025</f>
        <v>2351.9688809845356</v>
      </c>
      <c r="P2115" s="54">
        <f t="shared" si="1083"/>
        <v>2410.7681030091489</v>
      </c>
      <c r="Q2115" s="54">
        <f t="shared" ref="Q2115:R2118" si="1084">P2115*1.024</f>
        <v>2468.6265374813684</v>
      </c>
      <c r="R2115" s="54">
        <f t="shared" si="1084"/>
        <v>2527.8735743809211</v>
      </c>
    </row>
    <row r="2116" spans="1:20" x14ac:dyDescent="0.25">
      <c r="A2116" s="43" t="s">
        <v>1264</v>
      </c>
      <c r="C2116" s="54">
        <v>24640</v>
      </c>
      <c r="D2116" s="54">
        <v>21647</v>
      </c>
      <c r="E2116">
        <v>21312</v>
      </c>
      <c r="F2116" s="54">
        <v>18900</v>
      </c>
      <c r="G2116" s="54">
        <v>18635</v>
      </c>
      <c r="H2116" s="54">
        <v>20000</v>
      </c>
      <c r="I2116" s="54">
        <f t="shared" si="1078"/>
        <v>20460</v>
      </c>
      <c r="J2116" s="54">
        <f t="shared" si="1079"/>
        <v>20951.04</v>
      </c>
      <c r="K2116" s="54">
        <f t="shared" si="1079"/>
        <v>21453.864960000003</v>
      </c>
      <c r="L2116" s="54">
        <f t="shared" si="1080"/>
        <v>21947.303854080001</v>
      </c>
      <c r="M2116" s="54">
        <f t="shared" si="1081"/>
        <v>22430.144538869761</v>
      </c>
      <c r="N2116" s="54">
        <f t="shared" si="1082"/>
        <v>22946.037863263762</v>
      </c>
      <c r="O2116" s="54">
        <f t="shared" si="1083"/>
        <v>23519.688809845353</v>
      </c>
      <c r="P2116" s="54">
        <f t="shared" si="1083"/>
        <v>24107.681030091484</v>
      </c>
      <c r="Q2116" s="54">
        <f t="shared" si="1084"/>
        <v>24686.26537481368</v>
      </c>
      <c r="R2116" s="54">
        <f t="shared" si="1084"/>
        <v>25278.735743809208</v>
      </c>
    </row>
    <row r="2117" spans="1:20" x14ac:dyDescent="0.25">
      <c r="A2117" s="43" t="s">
        <v>1265</v>
      </c>
      <c r="C2117" s="54">
        <v>54376</v>
      </c>
      <c r="D2117" s="54">
        <v>56776</v>
      </c>
      <c r="E2117">
        <v>58873</v>
      </c>
      <c r="F2117" s="54">
        <v>59120</v>
      </c>
      <c r="G2117" s="54">
        <v>61336</v>
      </c>
      <c r="H2117" s="54">
        <v>61000</v>
      </c>
      <c r="I2117" s="54">
        <f t="shared" si="1078"/>
        <v>62402.999999999993</v>
      </c>
      <c r="J2117" s="54">
        <f t="shared" si="1079"/>
        <v>63900.671999999991</v>
      </c>
      <c r="K2117" s="54">
        <f t="shared" si="1079"/>
        <v>65434.288127999993</v>
      </c>
      <c r="L2117" s="54">
        <f t="shared" si="1080"/>
        <v>66939.276754943989</v>
      </c>
      <c r="M2117" s="54">
        <f t="shared" si="1081"/>
        <v>68411.940843552758</v>
      </c>
      <c r="N2117" s="54">
        <f t="shared" si="1082"/>
        <v>69985.415482954471</v>
      </c>
      <c r="O2117" s="54">
        <f t="shared" si="1083"/>
        <v>71735.050870028324</v>
      </c>
      <c r="P2117" s="54">
        <f t="shared" si="1083"/>
        <v>73528.42714177903</v>
      </c>
      <c r="Q2117" s="54">
        <f t="shared" si="1084"/>
        <v>75293.10939318173</v>
      </c>
      <c r="R2117" s="54">
        <f t="shared" si="1084"/>
        <v>77100.144018618099</v>
      </c>
    </row>
    <row r="2118" spans="1:20" x14ac:dyDescent="0.25">
      <c r="A2118" s="43" t="s">
        <v>1266</v>
      </c>
      <c r="C2118" s="54">
        <v>50</v>
      </c>
      <c r="D2118" s="43">
        <v>50</v>
      </c>
      <c r="E2118">
        <v>45</v>
      </c>
      <c r="F2118" s="50">
        <v>20</v>
      </c>
      <c r="G2118" s="50">
        <v>0</v>
      </c>
      <c r="H2118" s="50">
        <v>100</v>
      </c>
      <c r="I2118" s="54">
        <f t="shared" si="1078"/>
        <v>102.3</v>
      </c>
      <c r="J2118" s="54">
        <f t="shared" si="1079"/>
        <v>104.7552</v>
      </c>
      <c r="K2118" s="54">
        <f t="shared" si="1079"/>
        <v>107.26932480000001</v>
      </c>
      <c r="L2118" s="54">
        <f t="shared" si="1080"/>
        <v>109.7365192704</v>
      </c>
      <c r="M2118" s="54">
        <f t="shared" si="1081"/>
        <v>112.1507226943488</v>
      </c>
      <c r="N2118" s="54">
        <f t="shared" si="1082"/>
        <v>114.73018931631881</v>
      </c>
      <c r="O2118" s="54">
        <f t="shared" si="1083"/>
        <v>117.59844404922677</v>
      </c>
      <c r="P2118" s="54">
        <f t="shared" si="1083"/>
        <v>120.53840515045744</v>
      </c>
      <c r="Q2118" s="54">
        <f t="shared" si="1084"/>
        <v>123.43132687406842</v>
      </c>
      <c r="R2118" s="54">
        <f t="shared" si="1084"/>
        <v>126.39367871904606</v>
      </c>
    </row>
    <row r="2119" spans="1:20" x14ac:dyDescent="0.25">
      <c r="A2119" s="52" t="s">
        <v>1267</v>
      </c>
      <c r="C2119" s="54"/>
      <c r="E2119">
        <v>3986244</v>
      </c>
      <c r="F2119" s="50">
        <v>0</v>
      </c>
      <c r="G2119" s="50">
        <v>0</v>
      </c>
      <c r="H2119" s="50">
        <v>0</v>
      </c>
      <c r="I2119" s="50">
        <v>0</v>
      </c>
      <c r="J2119" s="50">
        <v>0</v>
      </c>
      <c r="K2119" s="50">
        <v>0</v>
      </c>
      <c r="L2119" s="50">
        <v>0</v>
      </c>
      <c r="M2119" s="50">
        <v>0</v>
      </c>
      <c r="N2119" s="50">
        <v>0</v>
      </c>
      <c r="O2119" s="50">
        <v>0</v>
      </c>
      <c r="P2119" s="50">
        <v>0</v>
      </c>
      <c r="Q2119" s="50">
        <v>0</v>
      </c>
      <c r="R2119" s="50">
        <v>0</v>
      </c>
    </row>
    <row r="2120" spans="1:20" x14ac:dyDescent="0.25">
      <c r="A2120" s="43" t="s">
        <v>1268</v>
      </c>
      <c r="C2120" s="54">
        <v>26375</v>
      </c>
      <c r="D2120" s="50">
        <v>15452</v>
      </c>
      <c r="E2120">
        <v>31227</v>
      </c>
      <c r="F2120" s="50">
        <v>9005</v>
      </c>
      <c r="G2120" s="50">
        <v>2959</v>
      </c>
      <c r="H2120" s="50">
        <v>32900</v>
      </c>
      <c r="I2120" s="50">
        <v>81600</v>
      </c>
      <c r="J2120" s="50">
        <v>26700</v>
      </c>
      <c r="K2120" s="50">
        <v>0</v>
      </c>
      <c r="L2120" s="50">
        <v>0</v>
      </c>
      <c r="M2120" s="50">
        <v>38100</v>
      </c>
      <c r="N2120" s="50">
        <v>39700</v>
      </c>
      <c r="O2120" s="50">
        <v>19800</v>
      </c>
      <c r="P2120" s="50">
        <v>64900</v>
      </c>
      <c r="Q2120" s="43">
        <v>19400</v>
      </c>
      <c r="R2120" s="43">
        <v>19400</v>
      </c>
    </row>
    <row r="2121" spans="1:20" x14ac:dyDescent="0.25">
      <c r="A2121" s="43" t="s">
        <v>1269</v>
      </c>
      <c r="C2121" s="54">
        <f>96+1037+253</f>
        <v>1386</v>
      </c>
      <c r="D2121" s="54">
        <v>5834</v>
      </c>
      <c r="E2121">
        <f>370+5177+253</f>
        <v>5800</v>
      </c>
      <c r="F2121" s="54">
        <v>504</v>
      </c>
      <c r="G2121" s="54">
        <v>904</v>
      </c>
      <c r="H2121" s="54">
        <v>1200</v>
      </c>
      <c r="I2121" s="54">
        <f t="shared" ref="I2121:I2122" si="1085">H2121*1.023</f>
        <v>1227.5999999999999</v>
      </c>
      <c r="J2121" s="54">
        <f t="shared" ref="J2121:K2122" si="1086">I2121*1.024</f>
        <v>1257.0624</v>
      </c>
      <c r="K2121" s="54">
        <f t="shared" si="1086"/>
        <v>1287.2318976000001</v>
      </c>
      <c r="L2121" s="54">
        <f t="shared" ref="L2121:L2122" si="1087">K2121*1.023</f>
        <v>1316.8382312448</v>
      </c>
      <c r="M2121" s="54">
        <f t="shared" ref="M2121:M2122" si="1088">L2121*1.022</f>
        <v>1345.8086723321856</v>
      </c>
      <c r="N2121" s="54">
        <f t="shared" ref="N2121:N2122" si="1089">M2121*1.023</f>
        <v>1376.7622717958257</v>
      </c>
      <c r="O2121" s="54">
        <f t="shared" ref="O2121:P2122" si="1090">N2121*1.025</f>
        <v>1411.1813285907213</v>
      </c>
      <c r="P2121" s="54">
        <f t="shared" si="1090"/>
        <v>1446.4608618054892</v>
      </c>
      <c r="Q2121" s="54">
        <f t="shared" ref="Q2121:R2122" si="1091">P2121*1.024</f>
        <v>1481.175922488821</v>
      </c>
      <c r="R2121" s="54">
        <f t="shared" si="1091"/>
        <v>1516.7241446285527</v>
      </c>
    </row>
    <row r="2122" spans="1:20" x14ac:dyDescent="0.25">
      <c r="A2122" s="43" t="s">
        <v>1270</v>
      </c>
      <c r="C2122" s="54">
        <f>3239</f>
        <v>3239</v>
      </c>
      <c r="D2122" s="54">
        <v>3573</v>
      </c>
      <c r="E2122">
        <v>3975</v>
      </c>
      <c r="F2122" s="54">
        <v>11999</v>
      </c>
      <c r="G2122" s="54">
        <v>14183</v>
      </c>
      <c r="H2122" s="54">
        <v>13700</v>
      </c>
      <c r="I2122" s="54">
        <f t="shared" si="1085"/>
        <v>14015.099999999999</v>
      </c>
      <c r="J2122" s="54">
        <f t="shared" si="1086"/>
        <v>14351.462399999999</v>
      </c>
      <c r="K2122" s="54">
        <f t="shared" si="1086"/>
        <v>14695.897497599999</v>
      </c>
      <c r="L2122" s="54">
        <f t="shared" si="1087"/>
        <v>15033.903140044798</v>
      </c>
      <c r="M2122" s="54">
        <f t="shared" si="1088"/>
        <v>15364.649009125784</v>
      </c>
      <c r="N2122" s="54">
        <f t="shared" si="1089"/>
        <v>15718.035936335675</v>
      </c>
      <c r="O2122" s="54">
        <f t="shared" si="1090"/>
        <v>16110.986834744066</v>
      </c>
      <c r="P2122" s="54">
        <f t="shared" si="1090"/>
        <v>16513.761505612667</v>
      </c>
      <c r="Q2122" s="54">
        <f t="shared" si="1091"/>
        <v>16910.091781747371</v>
      </c>
      <c r="R2122" s="54">
        <f t="shared" si="1091"/>
        <v>17315.933984509309</v>
      </c>
    </row>
    <row r="2123" spans="1:20" x14ac:dyDescent="0.25">
      <c r="A2123" s="52" t="s">
        <v>1271</v>
      </c>
      <c r="C2123" s="54">
        <v>6819937</v>
      </c>
      <c r="D2123" s="50">
        <v>6978871</v>
      </c>
      <c r="E2123">
        <v>7193586</v>
      </c>
      <c r="F2123" s="50">
        <v>7345366</v>
      </c>
      <c r="G2123" s="50">
        <v>7453142</v>
      </c>
      <c r="H2123" s="50">
        <f>7849500-161200-53400</f>
        <v>7634900</v>
      </c>
      <c r="I2123" s="50">
        <f>8078900-I2131-53000</f>
        <v>7860300</v>
      </c>
      <c r="J2123" s="50">
        <f t="shared" ref="J2123:R2123" si="1092">I2123*1.025</f>
        <v>8056807.4999999991</v>
      </c>
      <c r="K2123" s="50">
        <f t="shared" si="1092"/>
        <v>8258227.6874999981</v>
      </c>
      <c r="L2123" s="50">
        <f t="shared" si="1092"/>
        <v>8464683.3796874974</v>
      </c>
      <c r="M2123" s="50">
        <f t="shared" si="1092"/>
        <v>8676300.4641796835</v>
      </c>
      <c r="N2123" s="50">
        <f t="shared" si="1092"/>
        <v>8893207.9757841751</v>
      </c>
      <c r="O2123" s="50">
        <f t="shared" si="1092"/>
        <v>9115538.1751787793</v>
      </c>
      <c r="P2123" s="50">
        <f t="shared" si="1092"/>
        <v>9343426.6295582484</v>
      </c>
      <c r="Q2123" s="50">
        <f t="shared" si="1092"/>
        <v>9577012.2952972036</v>
      </c>
      <c r="R2123" s="50">
        <f t="shared" si="1092"/>
        <v>9816437.6026796326</v>
      </c>
      <c r="T2123" s="54"/>
    </row>
    <row r="2124" spans="1:20" ht="12" customHeight="1" x14ac:dyDescent="0.25">
      <c r="A2124" s="209" t="s">
        <v>1272</v>
      </c>
      <c r="B2124" s="204" t="s">
        <v>950</v>
      </c>
      <c r="C2124" s="253"/>
      <c r="D2124" s="205">
        <v>0</v>
      </c>
      <c r="E2124" s="205">
        <v>0</v>
      </c>
      <c r="F2124" s="205">
        <v>-34</v>
      </c>
      <c r="G2124" s="205">
        <v>0</v>
      </c>
      <c r="H2124" s="205">
        <v>0</v>
      </c>
      <c r="I2124" s="205">
        <v>0</v>
      </c>
      <c r="J2124" s="205">
        <v>0</v>
      </c>
      <c r="K2124" s="205">
        <v>0</v>
      </c>
      <c r="L2124" s="205">
        <v>0</v>
      </c>
      <c r="M2124" s="207">
        <v>0</v>
      </c>
      <c r="N2124" s="207">
        <v>0</v>
      </c>
      <c r="O2124" s="207">
        <v>0</v>
      </c>
      <c r="P2124" s="207">
        <v>0</v>
      </c>
      <c r="Q2124" s="207">
        <f t="shared" ref="Q2124:R2124" si="1093">P2124*1.03</f>
        <v>0</v>
      </c>
      <c r="R2124" s="207">
        <f t="shared" si="1093"/>
        <v>0</v>
      </c>
    </row>
    <row r="2125" spans="1:20" ht="12" customHeight="1" x14ac:dyDescent="0.25">
      <c r="A2125" s="253" t="s">
        <v>1273</v>
      </c>
      <c r="B2125" s="204"/>
      <c r="C2125" s="206">
        <f>335020-54</f>
        <v>334966</v>
      </c>
      <c r="D2125" s="205">
        <v>342421</v>
      </c>
      <c r="E2125" s="205">
        <v>354401</v>
      </c>
      <c r="F2125" s="205">
        <v>361788</v>
      </c>
      <c r="G2125" s="205">
        <v>366922</v>
      </c>
      <c r="H2125" s="205">
        <v>375900</v>
      </c>
      <c r="I2125" s="205">
        <v>387000</v>
      </c>
      <c r="J2125" s="205">
        <f t="shared" ref="J2125:L2125" si="1094">I2125*1.025</f>
        <v>396674.99999999994</v>
      </c>
      <c r="K2125" s="205">
        <f t="shared" si="1094"/>
        <v>406591.87499999988</v>
      </c>
      <c r="L2125" s="205">
        <f t="shared" si="1094"/>
        <v>416756.67187499983</v>
      </c>
      <c r="M2125" s="207">
        <f>L2125*1.025</f>
        <v>427175.58867187478</v>
      </c>
      <c r="N2125" s="207">
        <f t="shared" ref="N2125:R2125" si="1095">M2125*1.025</f>
        <v>437854.97838867159</v>
      </c>
      <c r="O2125" s="207">
        <f t="shared" si="1095"/>
        <v>448801.35284838831</v>
      </c>
      <c r="P2125" s="207">
        <f t="shared" si="1095"/>
        <v>460021.386669598</v>
      </c>
      <c r="Q2125" s="207">
        <f t="shared" si="1095"/>
        <v>471521.92133633792</v>
      </c>
      <c r="R2125" s="207">
        <f t="shared" si="1095"/>
        <v>483309.96936974634</v>
      </c>
      <c r="T2125" s="54"/>
    </row>
    <row r="2126" spans="1:20" x14ac:dyDescent="0.25">
      <c r="A2126" s="213" t="s">
        <v>1272</v>
      </c>
      <c r="B2126" s="254" t="s">
        <v>590</v>
      </c>
      <c r="C2126" s="54">
        <f>225781-64</f>
        <v>225717</v>
      </c>
      <c r="D2126" s="255">
        <v>0</v>
      </c>
      <c r="E2126" s="255">
        <v>0</v>
      </c>
      <c r="F2126" s="255">
        <v>0</v>
      </c>
      <c r="G2126" s="255">
        <v>0</v>
      </c>
      <c r="H2126" s="255">
        <v>0</v>
      </c>
      <c r="I2126" s="255">
        <v>0</v>
      </c>
      <c r="J2126" s="255">
        <v>0</v>
      </c>
      <c r="K2126" s="255">
        <v>0</v>
      </c>
      <c r="L2126" s="255">
        <v>0</v>
      </c>
      <c r="M2126" s="161">
        <v>0</v>
      </c>
      <c r="N2126" s="161">
        <v>0</v>
      </c>
      <c r="O2126" s="161">
        <v>0</v>
      </c>
      <c r="P2126" s="161">
        <v>0</v>
      </c>
      <c r="Q2126" s="161">
        <f t="shared" ref="Q2126:R2126" si="1096">P2126*1.03</f>
        <v>0</v>
      </c>
      <c r="R2126" s="161">
        <f t="shared" si="1096"/>
        <v>0</v>
      </c>
    </row>
    <row r="2127" spans="1:20" x14ac:dyDescent="0.25">
      <c r="A2127" s="158" t="s">
        <v>1274</v>
      </c>
      <c r="B2127" s="256"/>
      <c r="C2127" s="59"/>
      <c r="D2127" s="255">
        <v>230760</v>
      </c>
      <c r="E2127" s="255">
        <v>238735</v>
      </c>
      <c r="F2127" s="255">
        <v>243703</v>
      </c>
      <c r="G2127" s="255">
        <v>247145</v>
      </c>
      <c r="H2127" s="255">
        <v>251200</v>
      </c>
      <c r="I2127" s="255">
        <v>258100</v>
      </c>
      <c r="J2127" s="255">
        <f t="shared" ref="J2127:R2131" si="1097">I2127*1.025</f>
        <v>264552.5</v>
      </c>
      <c r="K2127" s="255">
        <f t="shared" si="1097"/>
        <v>271166.3125</v>
      </c>
      <c r="L2127" s="255">
        <f t="shared" si="1097"/>
        <v>277945.47031249997</v>
      </c>
      <c r="M2127" s="161">
        <f t="shared" si="1097"/>
        <v>284894.10707031243</v>
      </c>
      <c r="N2127" s="161">
        <f t="shared" si="1097"/>
        <v>292016.45974707021</v>
      </c>
      <c r="O2127" s="161">
        <f t="shared" si="1097"/>
        <v>299316.87124074693</v>
      </c>
      <c r="P2127" s="161">
        <f t="shared" si="1097"/>
        <v>306799.7930217656</v>
      </c>
      <c r="Q2127" s="161">
        <f t="shared" si="1097"/>
        <v>314469.78784730972</v>
      </c>
      <c r="R2127" s="161">
        <f t="shared" si="1097"/>
        <v>322331.53254349245</v>
      </c>
    </row>
    <row r="2128" spans="1:20" x14ac:dyDescent="0.25">
      <c r="A2128" s="257" t="s">
        <v>1275</v>
      </c>
      <c r="B2128" s="258" t="s">
        <v>832</v>
      </c>
      <c r="C2128" s="54">
        <v>79018</v>
      </c>
      <c r="D2128" s="259">
        <v>80762</v>
      </c>
      <c r="E2128" s="259">
        <v>83579</v>
      </c>
      <c r="F2128" s="259">
        <f>170628/2</f>
        <v>85314</v>
      </c>
      <c r="G2128" s="259">
        <v>86536</v>
      </c>
      <c r="H2128" s="259">
        <v>88700</v>
      </c>
      <c r="I2128" s="259">
        <v>91300</v>
      </c>
      <c r="J2128" s="259">
        <f t="shared" si="1097"/>
        <v>93582.499999999985</v>
      </c>
      <c r="K2128" s="259">
        <f t="shared" si="1097"/>
        <v>95922.062499999971</v>
      </c>
      <c r="L2128" s="259">
        <f t="shared" si="1097"/>
        <v>98320.114062499968</v>
      </c>
      <c r="M2128" s="190">
        <f t="shared" si="1097"/>
        <v>100778.11691406246</v>
      </c>
      <c r="N2128" s="190">
        <f t="shared" si="1097"/>
        <v>103297.569836914</v>
      </c>
      <c r="O2128" s="190">
        <f t="shared" si="1097"/>
        <v>105880.00908283684</v>
      </c>
      <c r="P2128" s="190">
        <f t="shared" si="1097"/>
        <v>108527.00930990775</v>
      </c>
      <c r="Q2128" s="190">
        <f t="shared" si="1097"/>
        <v>111240.18454265544</v>
      </c>
      <c r="R2128" s="190">
        <f t="shared" si="1097"/>
        <v>114021.18915622181</v>
      </c>
    </row>
    <row r="2129" spans="1:20" x14ac:dyDescent="0.25">
      <c r="A2129" s="260" t="s">
        <v>1276</v>
      </c>
      <c r="B2129" s="127" t="s">
        <v>468</v>
      </c>
      <c r="C2129" s="54">
        <v>79017</v>
      </c>
      <c r="D2129" s="134">
        <v>80762</v>
      </c>
      <c r="E2129" s="134">
        <v>83579</v>
      </c>
      <c r="F2129" s="134">
        <v>85314</v>
      </c>
      <c r="G2129" s="134">
        <v>86535</v>
      </c>
      <c r="H2129" s="134">
        <v>88700</v>
      </c>
      <c r="I2129" s="134">
        <v>91300</v>
      </c>
      <c r="J2129" s="134">
        <f t="shared" si="1097"/>
        <v>93582.499999999985</v>
      </c>
      <c r="K2129" s="134">
        <f t="shared" si="1097"/>
        <v>95922.062499999971</v>
      </c>
      <c r="L2129" s="134">
        <f t="shared" si="1097"/>
        <v>98320.114062499968</v>
      </c>
      <c r="M2129" s="195">
        <f t="shared" si="1097"/>
        <v>100778.11691406246</v>
      </c>
      <c r="N2129" s="195">
        <f t="shared" si="1097"/>
        <v>103297.569836914</v>
      </c>
      <c r="O2129" s="195">
        <f t="shared" si="1097"/>
        <v>105880.00908283684</v>
      </c>
      <c r="P2129" s="195">
        <f t="shared" si="1097"/>
        <v>108527.00930990775</v>
      </c>
      <c r="Q2129" s="195">
        <f t="shared" si="1097"/>
        <v>111240.18454265544</v>
      </c>
      <c r="R2129" s="195">
        <f t="shared" si="1097"/>
        <v>114021.18915622181</v>
      </c>
    </row>
    <row r="2130" spans="1:20" x14ac:dyDescent="0.25">
      <c r="A2130" s="83" t="s">
        <v>1277</v>
      </c>
      <c r="B2130" s="84" t="s">
        <v>317</v>
      </c>
      <c r="C2130" s="54">
        <v>311846</v>
      </c>
      <c r="D2130" s="261">
        <v>318766</v>
      </c>
      <c r="E2130" s="261">
        <v>329686</v>
      </c>
      <c r="F2130" s="261">
        <v>336471</v>
      </c>
      <c r="G2130" s="89">
        <v>-81</v>
      </c>
      <c r="H2130" s="89">
        <v>0</v>
      </c>
      <c r="I2130" s="89">
        <v>0</v>
      </c>
      <c r="J2130" s="89">
        <f>I2130*1.025</f>
        <v>0</v>
      </c>
      <c r="K2130" s="89">
        <f t="shared" si="1097"/>
        <v>0</v>
      </c>
      <c r="L2130" s="89">
        <f t="shared" si="1097"/>
        <v>0</v>
      </c>
      <c r="M2130" s="89">
        <f t="shared" si="1097"/>
        <v>0</v>
      </c>
      <c r="N2130" s="89">
        <f t="shared" si="1097"/>
        <v>0</v>
      </c>
      <c r="O2130" s="89">
        <f t="shared" si="1097"/>
        <v>0</v>
      </c>
      <c r="P2130" s="89">
        <f t="shared" si="1097"/>
        <v>0</v>
      </c>
      <c r="Q2130" s="89">
        <f t="shared" si="1097"/>
        <v>0</v>
      </c>
      <c r="R2130" s="89">
        <f t="shared" si="1097"/>
        <v>0</v>
      </c>
      <c r="S2130" s="43"/>
    </row>
    <row r="2131" spans="1:20" s="43" customFormat="1" x14ac:dyDescent="0.25">
      <c r="A2131" s="262" t="s">
        <v>1278</v>
      </c>
      <c r="B2131" s="263">
        <v>0.02</v>
      </c>
      <c r="C2131" s="54">
        <v>145600</v>
      </c>
      <c r="D2131" s="264">
        <v>148900</v>
      </c>
      <c r="E2131" s="264">
        <v>152500</v>
      </c>
      <c r="F2131" s="264">
        <v>155300</v>
      </c>
      <c r="G2131" s="264">
        <v>157600</v>
      </c>
      <c r="H2131" s="264">
        <v>161200</v>
      </c>
      <c r="I2131" s="264">
        <v>165600</v>
      </c>
      <c r="J2131" s="264">
        <f t="shared" ref="J2131:K2131" si="1098">I2131*1.025</f>
        <v>169739.99999999997</v>
      </c>
      <c r="K2131" s="264">
        <f t="shared" si="1098"/>
        <v>173983.49999999994</v>
      </c>
      <c r="L2131" s="190">
        <f>K2131*1.025</f>
        <v>178333.08749999994</v>
      </c>
      <c r="M2131" s="190">
        <f>L2131*1.025</f>
        <v>182791.41468749993</v>
      </c>
      <c r="N2131" s="190">
        <f t="shared" si="1097"/>
        <v>187361.20005468742</v>
      </c>
      <c r="O2131" s="190">
        <f t="shared" si="1097"/>
        <v>192045.2300560546</v>
      </c>
      <c r="P2131" s="190">
        <f t="shared" si="1097"/>
        <v>196846.36080745596</v>
      </c>
      <c r="Q2131" s="190">
        <f t="shared" si="1097"/>
        <v>201767.51982764233</v>
      </c>
      <c r="R2131" s="190">
        <f t="shared" si="1097"/>
        <v>206811.70782333336</v>
      </c>
      <c r="T2131" s="54"/>
    </row>
    <row r="2132" spans="1:20" s="43" customFormat="1" x14ac:dyDescent="0.25">
      <c r="A2132" s="265" t="s">
        <v>1279</v>
      </c>
      <c r="B2132" s="266">
        <v>0.03</v>
      </c>
      <c r="C2132" s="50"/>
      <c r="D2132" s="50"/>
      <c r="E2132" s="50"/>
      <c r="F2132" s="50"/>
      <c r="G2132" s="50">
        <v>0</v>
      </c>
      <c r="H2132" s="50"/>
      <c r="I2132" s="267">
        <v>0</v>
      </c>
      <c r="J2132" s="267">
        <f>I2132*1.025</f>
        <v>0</v>
      </c>
      <c r="K2132" s="267">
        <f>J2132*1.025</f>
        <v>0</v>
      </c>
      <c r="L2132" s="267">
        <f t="shared" ref="L2132:R2132" si="1099">K2132*1.025</f>
        <v>0</v>
      </c>
      <c r="M2132" s="267">
        <f t="shared" si="1099"/>
        <v>0</v>
      </c>
      <c r="N2132" s="267">
        <f t="shared" si="1099"/>
        <v>0</v>
      </c>
      <c r="O2132" s="267">
        <f t="shared" si="1099"/>
        <v>0</v>
      </c>
      <c r="P2132" s="267">
        <f t="shared" si="1099"/>
        <v>0</v>
      </c>
      <c r="Q2132" s="267">
        <f t="shared" si="1099"/>
        <v>0</v>
      </c>
      <c r="R2132" s="267">
        <f t="shared" si="1099"/>
        <v>0</v>
      </c>
    </row>
    <row r="2133" spans="1:20" x14ac:dyDescent="0.25">
      <c r="A2133" s="52" t="s">
        <v>1280</v>
      </c>
      <c r="B2133" s="53"/>
      <c r="C2133" s="54">
        <v>19127</v>
      </c>
      <c r="D2133" s="54">
        <v>17247</v>
      </c>
      <c r="E2133" s="43">
        <v>20437</v>
      </c>
      <c r="F2133" s="54">
        <v>20351</v>
      </c>
      <c r="G2133" s="54">
        <v>17799</v>
      </c>
      <c r="H2133" s="54">
        <v>17400</v>
      </c>
      <c r="I2133" s="54">
        <f>H2133*1.025</f>
        <v>17835</v>
      </c>
      <c r="J2133" s="54">
        <f t="shared" ref="J2133:R2133" si="1100">I2133*1.025</f>
        <v>18280.875</v>
      </c>
      <c r="K2133" s="54">
        <f t="shared" si="1100"/>
        <v>18737.896874999999</v>
      </c>
      <c r="L2133" s="54">
        <f t="shared" si="1100"/>
        <v>19206.344296874995</v>
      </c>
      <c r="M2133" s="54">
        <f t="shared" si="1100"/>
        <v>19686.502904296867</v>
      </c>
      <c r="N2133" s="54">
        <f t="shared" si="1100"/>
        <v>20178.665476904287</v>
      </c>
      <c r="O2133" s="54">
        <f t="shared" si="1100"/>
        <v>20683.132113826894</v>
      </c>
      <c r="P2133" s="54">
        <f t="shared" si="1100"/>
        <v>21200.210416672566</v>
      </c>
      <c r="Q2133" s="54">
        <f t="shared" si="1100"/>
        <v>21730.215677089378</v>
      </c>
      <c r="R2133" s="54">
        <f t="shared" si="1100"/>
        <v>22273.47106901661</v>
      </c>
      <c r="S2133" s="43"/>
    </row>
    <row r="2134" spans="1:20" x14ac:dyDescent="0.25">
      <c r="A2134" s="43" t="s">
        <v>1281</v>
      </c>
      <c r="C2134" s="54">
        <v>337545</v>
      </c>
      <c r="D2134" s="50">
        <v>303584</v>
      </c>
      <c r="E2134" s="50">
        <v>326320</v>
      </c>
      <c r="F2134" s="50">
        <v>478024</v>
      </c>
      <c r="G2134" s="50">
        <v>466439</v>
      </c>
      <c r="H2134" s="54">
        <f>473400+12000</f>
        <v>485400</v>
      </c>
      <c r="I2134" s="54">
        <f>493100+12000</f>
        <v>505100</v>
      </c>
      <c r="J2134" s="54">
        <f>591700+12000</f>
        <v>603700</v>
      </c>
      <c r="K2134" s="50">
        <f>611500+12000</f>
        <v>623500</v>
      </c>
      <c r="L2134" s="50">
        <f>572048.387096774+12000</f>
        <v>584048.38709677395</v>
      </c>
      <c r="M2134" s="50">
        <f>532596.774193548+12000</f>
        <v>544596.77419354802</v>
      </c>
      <c r="N2134" s="50">
        <f>611500+12000</f>
        <v>623500</v>
      </c>
      <c r="O2134" s="50">
        <f>690403.225806452+12000</f>
        <v>702403.22580645198</v>
      </c>
      <c r="P2134" s="50">
        <f>710129.032258064+12000</f>
        <v>722129.03225806402</v>
      </c>
      <c r="Q2134" s="50">
        <f>670677.419354839+12000</f>
        <v>682677.41935483902</v>
      </c>
      <c r="R2134" s="50">
        <f>670677.419354839+12000</f>
        <v>682677.41935483902</v>
      </c>
      <c r="S2134" s="43"/>
    </row>
    <row r="2135" spans="1:20" x14ac:dyDescent="0.25">
      <c r="A2135" s="43" t="s">
        <v>1282</v>
      </c>
      <c r="C2135" s="54">
        <v>141407</v>
      </c>
      <c r="D2135">
        <v>299461</v>
      </c>
      <c r="E2135" s="43">
        <v>297821</v>
      </c>
      <c r="F2135" s="54">
        <v>447463</v>
      </c>
      <c r="G2135" s="50">
        <v>306229</v>
      </c>
      <c r="H2135" s="50">
        <f>294900+6500</f>
        <v>301400</v>
      </c>
      <c r="I2135" s="54">
        <f t="shared" ref="I2135" si="1101">H2135*1.023</f>
        <v>308332.19999999995</v>
      </c>
      <c r="J2135" s="54">
        <f t="shared" ref="J2135:K2135" si="1102">I2135*1.024</f>
        <v>315732.17279999994</v>
      </c>
      <c r="K2135" s="54">
        <f t="shared" si="1102"/>
        <v>323309.74494719994</v>
      </c>
      <c r="L2135" s="54">
        <f t="shared" ref="L2135" si="1103">K2135*1.023</f>
        <v>330745.86908098549</v>
      </c>
      <c r="M2135" s="54">
        <f t="shared" ref="M2135" si="1104">L2135*1.022</f>
        <v>338022.27820076718</v>
      </c>
      <c r="N2135" s="54">
        <f t="shared" ref="N2135" si="1105">M2135*1.023</f>
        <v>345796.79059938481</v>
      </c>
      <c r="O2135" s="54">
        <f t="shared" ref="O2135:P2135" si="1106">N2135*1.025</f>
        <v>354441.71036436938</v>
      </c>
      <c r="P2135" s="54">
        <f t="shared" si="1106"/>
        <v>363302.75312347861</v>
      </c>
      <c r="Q2135" s="54">
        <f t="shared" ref="Q2135:R2135" si="1107">P2135*1.024</f>
        <v>372022.01919844211</v>
      </c>
      <c r="R2135" s="54">
        <f t="shared" si="1107"/>
        <v>380950.54765920475</v>
      </c>
      <c r="S2135" s="43"/>
    </row>
    <row r="2136" spans="1:20" x14ac:dyDescent="0.25">
      <c r="A2136" s="43" t="s">
        <v>1283</v>
      </c>
      <c r="C2136" s="54">
        <v>52613</v>
      </c>
      <c r="D2136" s="54">
        <v>51981</v>
      </c>
      <c r="E2136" s="52">
        <v>50567</v>
      </c>
      <c r="F2136" s="54">
        <v>49034</v>
      </c>
      <c r="G2136" s="50">
        <v>28452</v>
      </c>
      <c r="H2136" s="50">
        <v>29400</v>
      </c>
      <c r="I2136" s="50">
        <f>53000*0.55</f>
        <v>29150.000000000004</v>
      </c>
      <c r="J2136" s="50">
        <f t="shared" ref="J2136:R2136" si="1108">I2136*1.025</f>
        <v>29878.75</v>
      </c>
      <c r="K2136" s="50">
        <f t="shared" si="1108"/>
        <v>30625.718749999996</v>
      </c>
      <c r="L2136" s="50">
        <f t="shared" si="1108"/>
        <v>31391.361718749995</v>
      </c>
      <c r="M2136" s="50">
        <f t="shared" si="1108"/>
        <v>32176.145761718741</v>
      </c>
      <c r="N2136" s="50">
        <f t="shared" si="1108"/>
        <v>32980.549405761703</v>
      </c>
      <c r="O2136" s="50">
        <f t="shared" si="1108"/>
        <v>33805.063140905746</v>
      </c>
      <c r="P2136" s="50">
        <f t="shared" si="1108"/>
        <v>34650.189719428388</v>
      </c>
      <c r="Q2136" s="50">
        <f t="shared" si="1108"/>
        <v>35516.444462414096</v>
      </c>
      <c r="R2136" s="50">
        <f t="shared" si="1108"/>
        <v>36404.355573974448</v>
      </c>
      <c r="S2136" s="43"/>
    </row>
    <row r="2137" spans="1:20" x14ac:dyDescent="0.25">
      <c r="A2137" s="43" t="s">
        <v>1284</v>
      </c>
      <c r="C2137" s="59"/>
      <c r="D2137" s="54">
        <v>230</v>
      </c>
      <c r="E2137" s="43">
        <v>75</v>
      </c>
      <c r="F2137" s="54"/>
      <c r="G2137" s="54">
        <v>0</v>
      </c>
      <c r="H2137" s="54"/>
      <c r="I2137" s="54"/>
      <c r="J2137" s="54"/>
      <c r="K2137" s="54"/>
      <c r="L2137" s="54"/>
      <c r="M2137" s="54"/>
      <c r="N2137" s="54"/>
      <c r="O2137" s="54"/>
      <c r="P2137" s="54"/>
      <c r="Q2137" s="54"/>
      <c r="R2137" s="54"/>
    </row>
    <row r="2138" spans="1:20" x14ac:dyDescent="0.25">
      <c r="A2138" s="52" t="s">
        <v>1285</v>
      </c>
      <c r="C2138" s="59"/>
      <c r="D2138" s="54"/>
      <c r="E2138" s="43">
        <v>435</v>
      </c>
      <c r="F2138" s="54"/>
      <c r="G2138" s="54">
        <v>312</v>
      </c>
      <c r="H2138" s="54"/>
      <c r="I2138" s="54"/>
      <c r="J2138" s="54"/>
      <c r="K2138" s="54"/>
      <c r="L2138" s="54"/>
      <c r="M2138" s="54"/>
      <c r="N2138" s="54"/>
      <c r="O2138" s="54"/>
      <c r="P2138" s="54"/>
      <c r="Q2138" s="54"/>
      <c r="R2138" s="54"/>
    </row>
    <row r="2139" spans="1:20" x14ac:dyDescent="0.25">
      <c r="A2139" s="52" t="s">
        <v>1286</v>
      </c>
      <c r="C2139" s="52"/>
      <c r="D2139" s="54"/>
      <c r="E2139" s="54"/>
      <c r="F2139" s="54"/>
      <c r="G2139" s="54">
        <v>0</v>
      </c>
      <c r="H2139" s="54"/>
      <c r="I2139" s="54"/>
      <c r="J2139" s="54"/>
      <c r="K2139" s="54"/>
      <c r="L2139" s="54"/>
      <c r="M2139" s="54"/>
      <c r="N2139" s="54"/>
      <c r="O2139" s="54"/>
      <c r="P2139" s="54"/>
      <c r="Q2139" s="54"/>
      <c r="R2139" s="54"/>
    </row>
    <row r="2140" spans="1:20" x14ac:dyDescent="0.25">
      <c r="A2140" s="52" t="s">
        <v>1270</v>
      </c>
      <c r="C2140" s="52"/>
      <c r="D2140" s="54"/>
      <c r="E2140" s="54"/>
      <c r="F2140" s="50">
        <v>61347</v>
      </c>
      <c r="G2140" s="54"/>
      <c r="H2140" s="54"/>
      <c r="I2140" s="54"/>
      <c r="J2140" s="54"/>
      <c r="K2140" s="54"/>
      <c r="L2140" s="54"/>
      <c r="M2140" s="54"/>
      <c r="N2140" s="54"/>
      <c r="O2140" s="54"/>
      <c r="P2140" s="54"/>
      <c r="Q2140" s="54"/>
      <c r="R2140" s="54"/>
    </row>
    <row r="2141" spans="1:20" x14ac:dyDescent="0.25">
      <c r="C2141" s="50"/>
      <c r="D2141" s="50"/>
      <c r="E2141" s="50"/>
      <c r="F2141" s="50"/>
      <c r="G2141" s="50"/>
      <c r="H2141" s="50"/>
      <c r="I2141" s="50"/>
      <c r="J2141" s="50"/>
      <c r="K2141" s="50"/>
      <c r="L2141" s="50"/>
      <c r="M2141" s="50"/>
      <c r="N2141" s="50"/>
      <c r="O2141" s="50"/>
      <c r="P2141" s="50"/>
      <c r="Q2141" s="50"/>
      <c r="R2141" s="50"/>
    </row>
    <row r="2142" spans="1:20" x14ac:dyDescent="0.25">
      <c r="A2142" s="41" t="s">
        <v>216</v>
      </c>
      <c r="B2142" s="44"/>
      <c r="C2142" s="51">
        <f t="shared" ref="C2142" si="1109">SUM(C2115:C2141)</f>
        <v>8660164</v>
      </c>
      <c r="D2142" s="51">
        <f t="shared" ref="D2142:F2142" si="1110">SUM(D2115:D2141)</f>
        <v>8957727</v>
      </c>
      <c r="E2142" s="51">
        <f t="shared" si="1110"/>
        <v>13240813</v>
      </c>
      <c r="F2142" s="51">
        <f t="shared" si="1110"/>
        <v>9770239</v>
      </c>
      <c r="G2142" s="51">
        <f>SUM(G2115:G2141)</f>
        <v>9319067</v>
      </c>
      <c r="H2142" s="51">
        <f>SUM(H2115:H2141)</f>
        <v>9565100</v>
      </c>
      <c r="I2142" s="51">
        <f t="shared" ref="I2142:R2142" si="1111">SUM(I2115:I2141)</f>
        <v>9895871.1999999993</v>
      </c>
      <c r="J2142" s="51">
        <f t="shared" si="1111"/>
        <v>10171891.8938</v>
      </c>
      <c r="K2142" s="51">
        <f t="shared" si="1111"/>
        <v>10403110.798876198</v>
      </c>
      <c r="L2142" s="51">
        <f t="shared" si="1111"/>
        <v>10607292.588578371</v>
      </c>
      <c r="M2142" s="51">
        <f t="shared" si="1111"/>
        <v>10855207.217738288</v>
      </c>
      <c r="N2142" s="51">
        <f t="shared" si="1111"/>
        <v>11191627.344660476</v>
      </c>
      <c r="O2142" s="51">
        <f t="shared" si="1111"/>
        <v>11513841.254083442</v>
      </c>
      <c r="P2142" s="51">
        <f t="shared" si="1111"/>
        <v>11848458.01124198</v>
      </c>
      <c r="Q2142" s="51">
        <f t="shared" si="1111"/>
        <v>12039560.692423178</v>
      </c>
      <c r="R2142" s="51">
        <f t="shared" si="1111"/>
        <v>12322504.78953035</v>
      </c>
    </row>
    <row r="2143" spans="1:20" x14ac:dyDescent="0.25">
      <c r="C2143" s="50"/>
      <c r="D2143" s="50"/>
      <c r="E2143" s="50"/>
      <c r="F2143" s="50"/>
      <c r="G2143" s="50"/>
      <c r="H2143" s="50"/>
      <c r="I2143" s="50"/>
      <c r="J2143" s="50"/>
      <c r="K2143" s="50"/>
      <c r="L2143" s="50"/>
      <c r="M2143" s="50"/>
      <c r="N2143" s="50"/>
      <c r="O2143" s="50"/>
      <c r="P2143" s="50"/>
      <c r="Q2143" s="50"/>
      <c r="R2143" s="50"/>
    </row>
    <row r="2144" spans="1:20" x14ac:dyDescent="0.25">
      <c r="A2144" s="41" t="s">
        <v>165</v>
      </c>
      <c r="B2144" s="44"/>
      <c r="C2144" s="50"/>
      <c r="D2144" s="50"/>
      <c r="E2144" s="50"/>
      <c r="F2144" s="50"/>
      <c r="G2144" s="50"/>
      <c r="H2144" s="50"/>
      <c r="I2144" s="50"/>
      <c r="J2144" s="50"/>
      <c r="K2144" s="50"/>
      <c r="L2144" s="50"/>
      <c r="M2144" s="50"/>
      <c r="N2144" s="50"/>
      <c r="O2144" s="50"/>
      <c r="P2144" s="50"/>
      <c r="Q2144" s="50"/>
      <c r="R2144" s="50"/>
    </row>
    <row r="2145" spans="1:18" x14ac:dyDescent="0.25">
      <c r="C2145" s="50"/>
      <c r="D2145" s="50"/>
      <c r="E2145" s="50"/>
      <c r="F2145" s="50"/>
      <c r="G2145" s="50"/>
      <c r="H2145" s="50"/>
      <c r="I2145" s="50"/>
      <c r="J2145" s="50"/>
      <c r="K2145" s="50"/>
      <c r="L2145" s="50"/>
      <c r="M2145" s="50"/>
      <c r="N2145" s="50"/>
      <c r="O2145" s="50"/>
      <c r="P2145" s="50"/>
      <c r="Q2145" s="50"/>
      <c r="R2145" s="50"/>
    </row>
    <row r="2146" spans="1:18" x14ac:dyDescent="0.25">
      <c r="A2146" s="43" t="s">
        <v>217</v>
      </c>
      <c r="C2146" s="54">
        <v>259343</v>
      </c>
      <c r="D2146" s="52">
        <v>283778</v>
      </c>
      <c r="E2146" s="43">
        <v>298703</v>
      </c>
      <c r="F2146" s="43">
        <v>292934</v>
      </c>
      <c r="G2146" s="43">
        <v>303236</v>
      </c>
      <c r="H2146" s="43">
        <v>339000</v>
      </c>
      <c r="I2146" s="54">
        <f>H2146*1.025</f>
        <v>347474.99999999994</v>
      </c>
      <c r="J2146" s="50">
        <f>I2146*1.029</f>
        <v>357551.77499999991</v>
      </c>
      <c r="K2146" s="54">
        <f>J2146*1.031</f>
        <v>368635.88002499985</v>
      </c>
      <c r="L2146" s="54">
        <f>K2146*1.033</f>
        <v>380800.86406582483</v>
      </c>
      <c r="M2146" s="54">
        <f>L2146*1.032</f>
        <v>392986.49171593122</v>
      </c>
      <c r="N2146" s="54">
        <f>M2146*1.03</f>
        <v>404776.08646740916</v>
      </c>
      <c r="O2146" s="54">
        <f>N2146*1.032</f>
        <v>417728.92123436625</v>
      </c>
      <c r="P2146" s="54">
        <f>O2146*1.034</f>
        <v>431931.70455633471</v>
      </c>
      <c r="Q2146" s="54">
        <f>P2146*1.034</f>
        <v>446617.38251125009</v>
      </c>
      <c r="R2146" s="54">
        <f>Q2146*1.034</f>
        <v>461802.37351663259</v>
      </c>
    </row>
    <row r="2147" spans="1:18" x14ac:dyDescent="0.25">
      <c r="A2147" s="43" t="s">
        <v>219</v>
      </c>
      <c r="C2147" s="54">
        <v>6153</v>
      </c>
      <c r="D2147" s="54">
        <v>2342</v>
      </c>
      <c r="E2147" s="50">
        <v>3429</v>
      </c>
      <c r="F2147" s="54">
        <v>3919</v>
      </c>
      <c r="G2147" s="54">
        <v>3416</v>
      </c>
      <c r="H2147" s="50">
        <v>4200</v>
      </c>
      <c r="I2147" s="54">
        <f>H2147*1.023</f>
        <v>4296.5999999999995</v>
      </c>
      <c r="J2147" s="54">
        <f>I2147*1.024</f>
        <v>4399.7183999999997</v>
      </c>
      <c r="K2147" s="54">
        <f>J2147*1.024</f>
        <v>4505.3116416000003</v>
      </c>
      <c r="L2147" s="54">
        <f>K2147*1.023</f>
        <v>4608.9338093567994</v>
      </c>
      <c r="M2147" s="54">
        <f>L2147*1.022</f>
        <v>4710.3303531626489</v>
      </c>
      <c r="N2147" s="54">
        <f>M2147*1.023</f>
        <v>4818.6679512853898</v>
      </c>
      <c r="O2147" s="54">
        <f>N2147*1.025</f>
        <v>4939.1346500675245</v>
      </c>
      <c r="P2147" s="54">
        <f>O2147*1.025</f>
        <v>5062.613016319212</v>
      </c>
      <c r="Q2147" s="54">
        <f>P2147*1.024</f>
        <v>5184.1157287108736</v>
      </c>
      <c r="R2147" s="54">
        <f>Q2147*1.024</f>
        <v>5308.5345061999342</v>
      </c>
    </row>
    <row r="2148" spans="1:18" x14ac:dyDescent="0.25">
      <c r="A2148" s="43" t="s">
        <v>220</v>
      </c>
      <c r="C2148" s="50">
        <v>30584</v>
      </c>
      <c r="D2148" s="54">
        <v>36730</v>
      </c>
      <c r="E2148" s="43">
        <v>40443</v>
      </c>
      <c r="F2148" s="54">
        <v>42896</v>
      </c>
      <c r="G2148" s="54">
        <v>40017</v>
      </c>
      <c r="H2148" s="54">
        <v>44600</v>
      </c>
      <c r="I2148" s="50">
        <f>H2148*1.025</f>
        <v>45714.999999999993</v>
      </c>
      <c r="J2148" s="50">
        <f>I2148*1.029</f>
        <v>47040.734999999986</v>
      </c>
      <c r="K2148" s="54">
        <f>J2148*1.031</f>
        <v>48498.997784999985</v>
      </c>
      <c r="L2148" s="54">
        <f>K2148*1.033</f>
        <v>50099.464711904984</v>
      </c>
      <c r="M2148" s="54">
        <f>L2148*1.032</f>
        <v>51702.647582685946</v>
      </c>
      <c r="N2148" s="54">
        <f>M2148*1.03</f>
        <v>53253.727010166527</v>
      </c>
      <c r="O2148" s="54">
        <f>N2148*1.032</f>
        <v>54957.846274491858</v>
      </c>
      <c r="P2148" s="54">
        <f>O2148*1.034</f>
        <v>56826.413047824586</v>
      </c>
      <c r="Q2148" s="54">
        <f>P2148*1.034</f>
        <v>58758.511091450622</v>
      </c>
      <c r="R2148" s="54">
        <f>Q2148*1.034</f>
        <v>60756.300468559944</v>
      </c>
    </row>
    <row r="2149" spans="1:18" x14ac:dyDescent="0.25">
      <c r="A2149" s="43" t="s">
        <v>1032</v>
      </c>
      <c r="C2149" s="169">
        <v>5762</v>
      </c>
      <c r="D2149" s="180">
        <v>4313</v>
      </c>
      <c r="E2149" s="60">
        <v>4313</v>
      </c>
      <c r="F2149" s="180">
        <v>4313</v>
      </c>
      <c r="G2149" s="180">
        <v>4248</v>
      </c>
      <c r="H2149" s="98">
        <v>3800</v>
      </c>
      <c r="I2149" s="180">
        <v>3800</v>
      </c>
      <c r="J2149" s="180">
        <v>5000</v>
      </c>
      <c r="K2149" s="180">
        <v>5000</v>
      </c>
      <c r="L2149" s="180">
        <v>5000</v>
      </c>
      <c r="M2149" s="180">
        <v>5400</v>
      </c>
      <c r="N2149" s="180">
        <v>5400</v>
      </c>
      <c r="O2149" s="180">
        <v>5400</v>
      </c>
      <c r="P2149" s="180">
        <v>5800</v>
      </c>
      <c r="Q2149" s="180">
        <v>5800</v>
      </c>
      <c r="R2149" s="180">
        <v>5800</v>
      </c>
    </row>
    <row r="2150" spans="1:18" x14ac:dyDescent="0.25">
      <c r="A2150" s="43" t="s">
        <v>1287</v>
      </c>
      <c r="C2150" s="54">
        <f>36920-3</f>
        <v>36917</v>
      </c>
      <c r="D2150" s="54">
        <v>38371</v>
      </c>
      <c r="E2150" s="43">
        <f>38743-10</f>
        <v>38733</v>
      </c>
      <c r="F2150" s="54">
        <v>42180</v>
      </c>
      <c r="G2150" s="54">
        <v>42052</v>
      </c>
      <c r="H2150" s="54">
        <v>44000</v>
      </c>
      <c r="I2150" s="54">
        <f>H2150*1.023</f>
        <v>45011.999999999993</v>
      </c>
      <c r="J2150" s="54">
        <f>I2150*1.024</f>
        <v>46092.287999999993</v>
      </c>
      <c r="K2150" s="54">
        <f>J2150*1.024</f>
        <v>47198.502911999996</v>
      </c>
      <c r="L2150" s="54">
        <f>K2150*1.023</f>
        <v>48284.068478975991</v>
      </c>
      <c r="M2150" s="54">
        <f>L2150*1.022</f>
        <v>49346.317985513466</v>
      </c>
      <c r="N2150" s="54">
        <f>M2150*1.023</f>
        <v>50481.283299180272</v>
      </c>
      <c r="O2150" s="54">
        <f>N2150*1.025</f>
        <v>51743.315381659777</v>
      </c>
      <c r="P2150" s="54">
        <f>O2150*1.025</f>
        <v>53036.898266201264</v>
      </c>
      <c r="Q2150" s="54">
        <f>P2150*1.024</f>
        <v>54309.783824590093</v>
      </c>
      <c r="R2150" s="54">
        <f>Q2150*1.024</f>
        <v>55613.218636380254</v>
      </c>
    </row>
    <row r="2151" spans="1:18" x14ac:dyDescent="0.25">
      <c r="A2151" s="43" t="s">
        <v>1288</v>
      </c>
      <c r="C2151" s="54">
        <v>22073</v>
      </c>
      <c r="D2151" s="54">
        <v>22611</v>
      </c>
      <c r="E2151" s="43">
        <v>22957</v>
      </c>
      <c r="F2151" s="54">
        <v>23273</v>
      </c>
      <c r="G2151" s="54">
        <v>23725</v>
      </c>
      <c r="H2151" s="54">
        <v>24500</v>
      </c>
      <c r="I2151" s="54">
        <f t="shared" ref="I2151:I2152" si="1112">H2151*1.023</f>
        <v>25063.499999999996</v>
      </c>
      <c r="J2151" s="54">
        <f t="shared" ref="J2151:K2152" si="1113">I2151*1.024</f>
        <v>25665.023999999998</v>
      </c>
      <c r="K2151" s="54">
        <f t="shared" si="1113"/>
        <v>26280.984575999999</v>
      </c>
      <c r="L2151" s="54">
        <f t="shared" ref="L2151:L2152" si="1114">K2151*1.023</f>
        <v>26885.447221247996</v>
      </c>
      <c r="M2151" s="54">
        <f t="shared" ref="M2151:M2152" si="1115">L2151*1.022</f>
        <v>27476.927060115453</v>
      </c>
      <c r="N2151" s="54">
        <f t="shared" ref="N2151:N2152" si="1116">M2151*1.023</f>
        <v>28108.896382498107</v>
      </c>
      <c r="O2151" s="54">
        <f t="shared" ref="O2151:P2152" si="1117">N2151*1.025</f>
        <v>28811.618792060559</v>
      </c>
      <c r="P2151" s="54">
        <f t="shared" si="1117"/>
        <v>29531.909261862071</v>
      </c>
      <c r="Q2151" s="54">
        <f t="shared" ref="Q2151:R2152" si="1118">P2151*1.024</f>
        <v>30240.675084146762</v>
      </c>
      <c r="R2151" s="54">
        <f t="shared" si="1118"/>
        <v>30966.451286166284</v>
      </c>
    </row>
    <row r="2152" spans="1:18" x14ac:dyDescent="0.25">
      <c r="A2152" s="43" t="s">
        <v>1289</v>
      </c>
      <c r="C2152" s="54">
        <v>361</v>
      </c>
      <c r="D2152" s="54">
        <v>2343</v>
      </c>
      <c r="E2152" s="43">
        <v>9668</v>
      </c>
      <c r="F2152" s="54">
        <v>17983</v>
      </c>
      <c r="G2152" s="54">
        <v>1802</v>
      </c>
      <c r="H2152" s="54">
        <v>5000</v>
      </c>
      <c r="I2152" s="54">
        <f t="shared" si="1112"/>
        <v>5115</v>
      </c>
      <c r="J2152" s="54">
        <f t="shared" si="1113"/>
        <v>5237.76</v>
      </c>
      <c r="K2152" s="54">
        <f t="shared" si="1113"/>
        <v>5363.4662400000007</v>
      </c>
      <c r="L2152" s="54">
        <f t="shared" si="1114"/>
        <v>5486.8259635200002</v>
      </c>
      <c r="M2152" s="54">
        <f t="shared" si="1115"/>
        <v>5607.5361347174403</v>
      </c>
      <c r="N2152" s="54">
        <f t="shared" si="1116"/>
        <v>5736.5094658159405</v>
      </c>
      <c r="O2152" s="54">
        <f t="shared" si="1117"/>
        <v>5879.9222024613382</v>
      </c>
      <c r="P2152" s="54">
        <f t="shared" si="1117"/>
        <v>6026.920257522871</v>
      </c>
      <c r="Q2152" s="54">
        <f t="shared" si="1118"/>
        <v>6171.56634370342</v>
      </c>
      <c r="R2152" s="54">
        <f t="shared" si="1118"/>
        <v>6319.6839359523019</v>
      </c>
    </row>
    <row r="2153" spans="1:18" x14ac:dyDescent="0.25">
      <c r="A2153" s="43" t="s">
        <v>1290</v>
      </c>
      <c r="C2153" s="54">
        <v>2452</v>
      </c>
      <c r="D2153" s="54">
        <v>3340</v>
      </c>
      <c r="E2153" s="43">
        <v>5073</v>
      </c>
      <c r="F2153" s="54">
        <v>11669</v>
      </c>
      <c r="G2153" s="54">
        <v>14551</v>
      </c>
      <c r="H2153" s="50">
        <v>0</v>
      </c>
      <c r="I2153" s="50">
        <v>0</v>
      </c>
      <c r="J2153" s="50">
        <v>0</v>
      </c>
      <c r="K2153" s="50">
        <v>3800</v>
      </c>
      <c r="L2153" s="50">
        <v>11900</v>
      </c>
      <c r="M2153" s="50">
        <v>0</v>
      </c>
      <c r="N2153" s="50">
        <v>0</v>
      </c>
      <c r="O2153" s="50">
        <v>0</v>
      </c>
      <c r="P2153" s="50">
        <v>0</v>
      </c>
      <c r="Q2153" s="50">
        <v>0</v>
      </c>
      <c r="R2153" s="50">
        <v>0</v>
      </c>
    </row>
    <row r="2154" spans="1:18" x14ac:dyDescent="0.25">
      <c r="A2154" s="43" t="s">
        <v>1291</v>
      </c>
      <c r="C2154" s="54">
        <v>0</v>
      </c>
      <c r="D2154" s="52">
        <v>0</v>
      </c>
      <c r="E2154" s="43">
        <v>0</v>
      </c>
      <c r="F2154" s="52">
        <v>0</v>
      </c>
      <c r="G2154" s="52">
        <v>0</v>
      </c>
      <c r="H2154" s="52">
        <v>0</v>
      </c>
      <c r="I2154" s="54">
        <v>0</v>
      </c>
      <c r="J2154" s="54">
        <v>0</v>
      </c>
      <c r="K2154" s="54">
        <v>0</v>
      </c>
      <c r="L2154" s="54">
        <v>0</v>
      </c>
      <c r="M2154" s="54">
        <v>0</v>
      </c>
      <c r="N2154" s="54">
        <v>0</v>
      </c>
      <c r="O2154" s="54">
        <v>0</v>
      </c>
      <c r="P2154" s="54">
        <v>0</v>
      </c>
      <c r="Q2154" s="54">
        <f t="shared" ref="Q2154:R2154" si="1119">P2154*1.024</f>
        <v>0</v>
      </c>
      <c r="R2154" s="54">
        <f t="shared" si="1119"/>
        <v>0</v>
      </c>
    </row>
    <row r="2155" spans="1:18" x14ac:dyDescent="0.25">
      <c r="A2155" s="43" t="s">
        <v>1292</v>
      </c>
      <c r="C2155" s="54">
        <v>17974</v>
      </c>
      <c r="D2155" s="52">
        <v>13969</v>
      </c>
      <c r="E2155" s="43">
        <v>9666</v>
      </c>
      <c r="F2155" s="52">
        <v>5033</v>
      </c>
      <c r="G2155" s="52">
        <v>672</v>
      </c>
      <c r="H2155" s="52">
        <v>0</v>
      </c>
      <c r="I2155" s="52">
        <v>0</v>
      </c>
      <c r="J2155" s="52">
        <v>0</v>
      </c>
      <c r="K2155" s="52">
        <v>0</v>
      </c>
      <c r="L2155" s="52">
        <v>0</v>
      </c>
      <c r="M2155" s="52">
        <v>0</v>
      </c>
      <c r="N2155" s="52">
        <v>0</v>
      </c>
      <c r="O2155" s="52">
        <v>0</v>
      </c>
      <c r="P2155" s="52">
        <v>0</v>
      </c>
      <c r="Q2155" s="52">
        <v>0</v>
      </c>
      <c r="R2155" s="52">
        <v>0</v>
      </c>
    </row>
    <row r="2156" spans="1:18" x14ac:dyDescent="0.25">
      <c r="A2156" s="52" t="s">
        <v>226</v>
      </c>
      <c r="B2156" s="53"/>
      <c r="C2156" s="54">
        <v>124</v>
      </c>
      <c r="D2156" s="54">
        <v>146</v>
      </c>
      <c r="E2156" s="43">
        <v>0</v>
      </c>
      <c r="F2156" s="54">
        <v>231</v>
      </c>
      <c r="G2156" s="54">
        <v>0</v>
      </c>
      <c r="H2156" s="54">
        <v>800</v>
      </c>
      <c r="I2156" s="54">
        <f>H2156*1.023</f>
        <v>818.4</v>
      </c>
      <c r="J2156" s="54">
        <f t="shared" ref="J2156:K2156" si="1120">I2156*1.024</f>
        <v>838.04160000000002</v>
      </c>
      <c r="K2156" s="54">
        <f t="shared" si="1120"/>
        <v>858.15459840000005</v>
      </c>
      <c r="L2156" s="54">
        <f t="shared" ref="L2156" si="1121">K2156*1.023</f>
        <v>877.89215416319996</v>
      </c>
      <c r="M2156" s="54">
        <f t="shared" ref="M2156" si="1122">L2156*1.022</f>
        <v>897.20578155479041</v>
      </c>
      <c r="N2156" s="54">
        <f t="shared" ref="N2156" si="1123">M2156*1.023</f>
        <v>917.84151453055051</v>
      </c>
      <c r="O2156" s="54">
        <f t="shared" ref="O2156:P2156" si="1124">N2156*1.025</f>
        <v>940.78755239381417</v>
      </c>
      <c r="P2156" s="54">
        <f t="shared" si="1124"/>
        <v>964.30724120365949</v>
      </c>
      <c r="Q2156" s="54">
        <f t="shared" ref="Q2156:R2156" si="1125">P2156*1.024</f>
        <v>987.45061499254734</v>
      </c>
      <c r="R2156" s="54">
        <f t="shared" si="1125"/>
        <v>1011.1494297523685</v>
      </c>
    </row>
    <row r="2157" spans="1:18" x14ac:dyDescent="0.25">
      <c r="A2157" s="52" t="s">
        <v>1293</v>
      </c>
      <c r="B2157" s="53"/>
      <c r="C2157" s="59">
        <v>0</v>
      </c>
      <c r="D2157" s="54">
        <f>C2157*1.024</f>
        <v>0</v>
      </c>
      <c r="E2157" s="43">
        <v>0</v>
      </c>
      <c r="F2157" s="54">
        <v>0</v>
      </c>
      <c r="G2157" s="54">
        <v>0</v>
      </c>
      <c r="H2157" s="54">
        <v>0</v>
      </c>
      <c r="I2157" s="54">
        <v>0</v>
      </c>
      <c r="J2157" s="54">
        <v>0</v>
      </c>
      <c r="K2157" s="54">
        <v>0</v>
      </c>
      <c r="L2157" s="54">
        <v>0</v>
      </c>
      <c r="M2157" s="54">
        <v>0</v>
      </c>
      <c r="N2157" s="54">
        <v>0</v>
      </c>
      <c r="O2157" s="54">
        <v>0</v>
      </c>
      <c r="P2157" s="54">
        <v>0</v>
      </c>
      <c r="Q2157" s="54">
        <f>P2157*1.028</f>
        <v>0</v>
      </c>
      <c r="R2157" s="54">
        <f>Q2157*1.028</f>
        <v>0</v>
      </c>
    </row>
    <row r="2158" spans="1:18" x14ac:dyDescent="0.25">
      <c r="A2158" s="59" t="s">
        <v>1294</v>
      </c>
      <c r="B2158" s="53"/>
      <c r="C2158" s="59"/>
      <c r="D2158" s="54"/>
      <c r="F2158" s="54">
        <v>4075</v>
      </c>
      <c r="G2158" s="54"/>
      <c r="H2158" s="54"/>
      <c r="I2158" s="54"/>
      <c r="J2158" s="54"/>
      <c r="K2158" s="54"/>
      <c r="L2158" s="54"/>
      <c r="M2158" s="54"/>
      <c r="N2158" s="54"/>
      <c r="O2158" s="54"/>
      <c r="P2158" s="54"/>
      <c r="Q2158" s="54"/>
      <c r="R2158" s="54"/>
    </row>
    <row r="2159" spans="1:18" x14ac:dyDescent="0.25">
      <c r="C2159" s="50"/>
      <c r="D2159" s="50"/>
      <c r="E2159" s="50"/>
      <c r="F2159" s="50"/>
      <c r="G2159" s="50"/>
      <c r="H2159" s="50"/>
      <c r="I2159" s="50"/>
      <c r="J2159" s="50"/>
      <c r="K2159" s="50"/>
      <c r="L2159" s="50"/>
      <c r="M2159" s="50"/>
      <c r="N2159" s="50"/>
      <c r="O2159" s="50"/>
      <c r="P2159" s="50"/>
      <c r="Q2159" s="50"/>
      <c r="R2159" s="50"/>
    </row>
    <row r="2160" spans="1:18" x14ac:dyDescent="0.25">
      <c r="A2160" s="41" t="s">
        <v>230</v>
      </c>
      <c r="B2160" s="44"/>
      <c r="C2160" s="51">
        <f t="shared" ref="C2160" si="1126">SUM(C2146:C2159)</f>
        <v>381743</v>
      </c>
      <c r="D2160" s="51">
        <f t="shared" ref="D2160:R2160" si="1127">SUM(D2146:D2159)</f>
        <v>407943</v>
      </c>
      <c r="E2160" s="51">
        <f t="shared" si="1127"/>
        <v>432985</v>
      </c>
      <c r="F2160" s="51">
        <f t="shared" si="1127"/>
        <v>448506</v>
      </c>
      <c r="G2160" s="51">
        <f t="shared" si="1127"/>
        <v>433719</v>
      </c>
      <c r="H2160" s="51">
        <f t="shared" si="1127"/>
        <v>465900</v>
      </c>
      <c r="I2160" s="51">
        <f t="shared" si="1127"/>
        <v>477295.49999999994</v>
      </c>
      <c r="J2160" s="51">
        <f t="shared" si="1127"/>
        <v>491825.34199999989</v>
      </c>
      <c r="K2160" s="51">
        <f t="shared" si="1127"/>
        <v>510141.29777799983</v>
      </c>
      <c r="L2160" s="51">
        <f t="shared" si="1127"/>
        <v>533943.49640499381</v>
      </c>
      <c r="M2160" s="51">
        <f t="shared" si="1127"/>
        <v>538127.45661368093</v>
      </c>
      <c r="N2160" s="51">
        <f t="shared" si="1127"/>
        <v>553493.01209088601</v>
      </c>
      <c r="O2160" s="51">
        <f t="shared" si="1127"/>
        <v>570401.5460875011</v>
      </c>
      <c r="P2160" s="51">
        <f t="shared" si="1127"/>
        <v>589180.76564726827</v>
      </c>
      <c r="Q2160" s="51">
        <f t="shared" si="1127"/>
        <v>608069.48519884446</v>
      </c>
      <c r="R2160" s="51">
        <f t="shared" si="1127"/>
        <v>627577.71177964367</v>
      </c>
    </row>
    <row r="2161" spans="1:18" x14ac:dyDescent="0.25">
      <c r="A2161" s="41"/>
      <c r="B2161" s="44"/>
      <c r="C2161" s="50"/>
      <c r="D2161" s="50"/>
      <c r="E2161" s="50"/>
      <c r="F2161" s="50"/>
      <c r="G2161" s="50"/>
      <c r="H2161" s="50"/>
      <c r="I2161" s="50"/>
      <c r="J2161" s="50"/>
      <c r="K2161" s="50"/>
      <c r="L2161" s="50"/>
      <c r="M2161" s="50"/>
      <c r="N2161" s="50"/>
      <c r="O2161" s="50"/>
      <c r="P2161" s="50"/>
      <c r="Q2161" s="50"/>
      <c r="R2161" s="50"/>
    </row>
    <row r="2162" spans="1:18" x14ac:dyDescent="0.25">
      <c r="A2162" s="41" t="s">
        <v>1295</v>
      </c>
      <c r="B2162" s="44"/>
      <c r="C2162" s="51">
        <f t="shared" ref="C2162:R2162" si="1128">C2160-C2142</f>
        <v>-8278421</v>
      </c>
      <c r="D2162" s="51">
        <f t="shared" si="1128"/>
        <v>-8549784</v>
      </c>
      <c r="E2162" s="51">
        <f t="shared" si="1128"/>
        <v>-12807828</v>
      </c>
      <c r="F2162" s="51">
        <f t="shared" si="1128"/>
        <v>-9321733</v>
      </c>
      <c r="G2162" s="51">
        <f t="shared" si="1128"/>
        <v>-8885348</v>
      </c>
      <c r="H2162" s="51">
        <f t="shared" si="1128"/>
        <v>-9099200</v>
      </c>
      <c r="I2162" s="51">
        <f t="shared" si="1128"/>
        <v>-9418575.6999999993</v>
      </c>
      <c r="J2162" s="51">
        <f t="shared" si="1128"/>
        <v>-9680066.5517999995</v>
      </c>
      <c r="K2162" s="51">
        <f t="shared" si="1128"/>
        <v>-9892969.5010981988</v>
      </c>
      <c r="L2162" s="51">
        <f t="shared" si="1128"/>
        <v>-10073349.092173377</v>
      </c>
      <c r="M2162" s="51">
        <f t="shared" si="1128"/>
        <v>-10317079.761124607</v>
      </c>
      <c r="N2162" s="51">
        <f t="shared" si="1128"/>
        <v>-10638134.33256959</v>
      </c>
      <c r="O2162" s="51">
        <f t="shared" si="1128"/>
        <v>-10943439.70799594</v>
      </c>
      <c r="P2162" s="51">
        <f t="shared" si="1128"/>
        <v>-11259277.245594712</v>
      </c>
      <c r="Q2162" s="51">
        <f t="shared" si="1128"/>
        <v>-11431491.207224334</v>
      </c>
      <c r="R2162" s="51">
        <f t="shared" si="1128"/>
        <v>-11694927.077750707</v>
      </c>
    </row>
    <row r="2163" spans="1:18" x14ac:dyDescent="0.25">
      <c r="A2163" s="41"/>
      <c r="B2163" s="44"/>
    </row>
    <row r="2164" spans="1:18" x14ac:dyDescent="0.25">
      <c r="A2164" s="41" t="s">
        <v>1296</v>
      </c>
      <c r="B2164" s="44"/>
      <c r="C2164" s="50"/>
      <c r="D2164" s="50"/>
      <c r="E2164" s="50"/>
      <c r="F2164" s="50"/>
      <c r="G2164" s="50"/>
      <c r="H2164" s="50"/>
      <c r="I2164" s="50"/>
      <c r="J2164" s="50"/>
      <c r="K2164" s="50"/>
      <c r="L2164" s="50"/>
      <c r="M2164" s="50"/>
      <c r="N2164" s="50"/>
      <c r="O2164" s="50"/>
      <c r="P2164" s="50"/>
      <c r="Q2164" s="50"/>
      <c r="R2164" s="50"/>
    </row>
    <row r="2165" spans="1:18" x14ac:dyDescent="0.25">
      <c r="C2165" s="50"/>
      <c r="D2165" s="50"/>
      <c r="E2165" s="50"/>
      <c r="F2165" s="50"/>
      <c r="G2165" s="50"/>
      <c r="H2165" s="50"/>
      <c r="I2165" s="50"/>
      <c r="J2165" s="50"/>
      <c r="K2165" s="50"/>
      <c r="L2165" s="50"/>
      <c r="M2165" s="50"/>
      <c r="N2165" s="50"/>
      <c r="O2165" s="50"/>
      <c r="P2165" s="50"/>
      <c r="Q2165" s="50"/>
      <c r="R2165" s="50"/>
    </row>
    <row r="2166" spans="1:18" x14ac:dyDescent="0.25">
      <c r="A2166" s="41" t="s">
        <v>165</v>
      </c>
      <c r="B2166" s="44"/>
      <c r="C2166" s="50"/>
      <c r="D2166" s="50"/>
      <c r="E2166" s="50"/>
      <c r="F2166" s="50"/>
      <c r="G2166" s="50"/>
      <c r="H2166" s="50"/>
      <c r="I2166" s="50"/>
      <c r="J2166" s="50"/>
      <c r="K2166" s="50"/>
      <c r="L2166" s="50"/>
      <c r="M2166" s="50"/>
      <c r="N2166" s="50"/>
      <c r="O2166" s="50"/>
      <c r="P2166" s="50"/>
      <c r="Q2166" s="50"/>
      <c r="R2166" s="50"/>
    </row>
    <row r="2167" spans="1:18" x14ac:dyDescent="0.25">
      <c r="C2167" s="50"/>
      <c r="D2167" s="50"/>
      <c r="E2167" s="50"/>
      <c r="F2167" s="50"/>
      <c r="G2167" s="50"/>
      <c r="H2167" s="50"/>
      <c r="I2167" s="50"/>
      <c r="J2167" s="50"/>
      <c r="K2167" s="50"/>
      <c r="L2167" s="50"/>
      <c r="M2167" s="50"/>
      <c r="N2167" s="50"/>
      <c r="O2167" s="50"/>
      <c r="P2167" s="50"/>
      <c r="Q2167" s="50"/>
      <c r="R2167" s="50"/>
    </row>
    <row r="2168" spans="1:18" x14ac:dyDescent="0.25">
      <c r="A2168" s="43" t="s">
        <v>217</v>
      </c>
      <c r="C2168" s="54">
        <v>230287</v>
      </c>
      <c r="D2168" s="54">
        <v>259373</v>
      </c>
      <c r="E2168" s="43">
        <v>242778</v>
      </c>
      <c r="F2168" s="43">
        <v>247266</v>
      </c>
      <c r="G2168" s="43">
        <v>255852</v>
      </c>
      <c r="H2168" s="43">
        <v>274900</v>
      </c>
      <c r="I2168" s="54">
        <f>H2168*1.025</f>
        <v>281772.5</v>
      </c>
      <c r="J2168" s="50">
        <f>I2168*1.029</f>
        <v>289943.90249999997</v>
      </c>
      <c r="K2168" s="54">
        <f>J2168*1.031</f>
        <v>298932.16347749997</v>
      </c>
      <c r="L2168" s="54">
        <f>K2168*1.033</f>
        <v>308796.92487225746</v>
      </c>
      <c r="M2168" s="54">
        <f>L2168*1.032</f>
        <v>318678.42646816972</v>
      </c>
      <c r="N2168" s="54">
        <f>M2168*1.03</f>
        <v>328238.77926221484</v>
      </c>
      <c r="O2168" s="54">
        <f>N2168*1.032</f>
        <v>338742.42019860575</v>
      </c>
      <c r="P2168" s="54">
        <f>O2168*1.034</f>
        <v>350259.66248535836</v>
      </c>
      <c r="Q2168" s="54">
        <f>P2168*1.034</f>
        <v>362168.49100986053</v>
      </c>
      <c r="R2168" s="54">
        <f>Q2168*1.034</f>
        <v>374482.2197041958</v>
      </c>
    </row>
    <row r="2169" spans="1:18" x14ac:dyDescent="0.25">
      <c r="A2169" s="43" t="s">
        <v>219</v>
      </c>
      <c r="C2169" s="54">
        <v>0</v>
      </c>
      <c r="D2169" s="54">
        <f>C2169*1.024</f>
        <v>0</v>
      </c>
      <c r="E2169" s="43">
        <v>13</v>
      </c>
      <c r="F2169" s="54">
        <v>0</v>
      </c>
      <c r="G2169" s="54">
        <v>0</v>
      </c>
      <c r="H2169" s="54">
        <v>0</v>
      </c>
      <c r="I2169" s="54">
        <f>H2169*1.02</f>
        <v>0</v>
      </c>
      <c r="J2169" s="54">
        <f t="shared" ref="J2169" si="1129">I2169*1.021</f>
        <v>0</v>
      </c>
      <c r="K2169" s="54">
        <f t="shared" ref="K2169" si="1130">J2169*1.023</f>
        <v>0</v>
      </c>
      <c r="L2169" s="54">
        <f t="shared" ref="L2169" si="1131">K2169*1.024</f>
        <v>0</v>
      </c>
      <c r="M2169" s="54">
        <f t="shared" ref="M2169" si="1132">L2169*1.023</f>
        <v>0</v>
      </c>
      <c r="N2169" s="54">
        <f t="shared" ref="N2169" si="1133">M2169*1.021</f>
        <v>0</v>
      </c>
      <c r="O2169" s="54">
        <f t="shared" ref="O2169" si="1134">N2169*1.022</f>
        <v>0</v>
      </c>
      <c r="P2169" s="54">
        <f t="shared" ref="P2169:R2169" si="1135">O2169*1.025</f>
        <v>0</v>
      </c>
      <c r="Q2169" s="54">
        <f t="shared" si="1135"/>
        <v>0</v>
      </c>
      <c r="R2169" s="54">
        <f t="shared" si="1135"/>
        <v>0</v>
      </c>
    </row>
    <row r="2170" spans="1:18" x14ac:dyDescent="0.25">
      <c r="A2170" s="43" t="s">
        <v>220</v>
      </c>
      <c r="C2170" s="50">
        <v>39370</v>
      </c>
      <c r="D2170" s="54">
        <v>42918</v>
      </c>
      <c r="E2170" s="43">
        <v>26846</v>
      </c>
      <c r="F2170" s="54">
        <v>24369</v>
      </c>
      <c r="G2170" s="54">
        <v>27975</v>
      </c>
      <c r="H2170" s="54">
        <v>34100</v>
      </c>
      <c r="I2170" s="54">
        <f>H2170*1.025</f>
        <v>34952.5</v>
      </c>
      <c r="J2170" s="50">
        <f>I2170*1.029</f>
        <v>35966.122499999998</v>
      </c>
      <c r="K2170" s="54">
        <f>J2170*1.031</f>
        <v>37081.072297499995</v>
      </c>
      <c r="L2170" s="54">
        <f>K2170*1.033</f>
        <v>38304.747683317495</v>
      </c>
      <c r="M2170" s="54">
        <f>L2170*1.032</f>
        <v>39530.499609183658</v>
      </c>
      <c r="N2170" s="54">
        <f>M2170*1.03</f>
        <v>40716.414597459167</v>
      </c>
      <c r="O2170" s="54">
        <f>N2170*1.032</f>
        <v>42019.339864577858</v>
      </c>
      <c r="P2170" s="54">
        <f>O2170*1.034</f>
        <v>43447.997419973508</v>
      </c>
      <c r="Q2170" s="54">
        <f>P2170*1.034</f>
        <v>44925.229332252609</v>
      </c>
      <c r="R2170" s="54">
        <f>Q2170*1.034</f>
        <v>46452.687129549202</v>
      </c>
    </row>
    <row r="2171" spans="1:18" x14ac:dyDescent="0.25">
      <c r="A2171" s="52" t="s">
        <v>1297</v>
      </c>
      <c r="B2171" s="53"/>
      <c r="C2171" s="52">
        <v>0</v>
      </c>
      <c r="D2171" s="54">
        <v>0</v>
      </c>
      <c r="E2171" s="43">
        <v>0</v>
      </c>
      <c r="F2171" s="54"/>
      <c r="G2171" s="54">
        <v>0</v>
      </c>
      <c r="H2171" s="54">
        <v>1000</v>
      </c>
      <c r="I2171" s="54">
        <f>H2171*1.023</f>
        <v>1022.9999999999999</v>
      </c>
      <c r="J2171" s="54">
        <f t="shared" ref="J2171:K2171" si="1136">I2171*1.024</f>
        <v>1047.5519999999999</v>
      </c>
      <c r="K2171" s="54">
        <f t="shared" si="1136"/>
        <v>1072.693248</v>
      </c>
      <c r="L2171" s="54">
        <f t="shared" ref="L2171" si="1137">K2171*1.023</f>
        <v>1097.365192704</v>
      </c>
      <c r="M2171" s="54">
        <f t="shared" ref="M2171" si="1138">L2171*1.022</f>
        <v>1121.5072269434881</v>
      </c>
      <c r="N2171" s="54">
        <f t="shared" ref="N2171" si="1139">M2171*1.023</f>
        <v>1147.3018931631882</v>
      </c>
      <c r="O2171" s="54">
        <f t="shared" ref="O2171:P2171" si="1140">N2171*1.025</f>
        <v>1175.9844404922678</v>
      </c>
      <c r="P2171" s="54">
        <f t="shared" si="1140"/>
        <v>1205.3840515045745</v>
      </c>
      <c r="Q2171" s="54">
        <f t="shared" ref="Q2171:R2171" si="1141">P2171*1.024</f>
        <v>1234.3132687406842</v>
      </c>
      <c r="R2171" s="54">
        <f t="shared" si="1141"/>
        <v>1263.9367871904606</v>
      </c>
    </row>
    <row r="2172" spans="1:18" x14ac:dyDescent="0.25">
      <c r="C2172" s="50"/>
      <c r="D2172" s="50"/>
      <c r="F2172" s="50"/>
      <c r="G2172" s="50"/>
      <c r="H2172" s="50"/>
      <c r="I2172" s="50"/>
      <c r="J2172" s="50"/>
      <c r="K2172" s="50"/>
      <c r="L2172" s="50"/>
      <c r="M2172" s="50"/>
      <c r="N2172" s="50"/>
      <c r="O2172" s="50"/>
      <c r="P2172" s="50"/>
      <c r="Q2172" s="50"/>
      <c r="R2172" s="50"/>
    </row>
    <row r="2173" spans="1:18" x14ac:dyDescent="0.25">
      <c r="A2173" s="41" t="s">
        <v>230</v>
      </c>
      <c r="B2173" s="44"/>
      <c r="C2173" s="51">
        <f t="shared" ref="C2173" si="1142">SUM(C2168:C2172)</f>
        <v>269657</v>
      </c>
      <c r="D2173" s="51">
        <f t="shared" ref="D2173:R2173" si="1143">SUM(D2168:D2172)</f>
        <v>302291</v>
      </c>
      <c r="E2173" s="51">
        <f t="shared" si="1143"/>
        <v>269637</v>
      </c>
      <c r="F2173" s="51">
        <f t="shared" si="1143"/>
        <v>271635</v>
      </c>
      <c r="G2173" s="51">
        <f t="shared" si="1143"/>
        <v>283827</v>
      </c>
      <c r="H2173" s="51">
        <f t="shared" si="1143"/>
        <v>310000</v>
      </c>
      <c r="I2173" s="51">
        <f t="shared" si="1143"/>
        <v>317748</v>
      </c>
      <c r="J2173" s="51">
        <f t="shared" si="1143"/>
        <v>326957.57699999999</v>
      </c>
      <c r="K2173" s="51">
        <f t="shared" si="1143"/>
        <v>337085.92902299995</v>
      </c>
      <c r="L2173" s="51">
        <f t="shared" si="1143"/>
        <v>348199.03774827899</v>
      </c>
      <c r="M2173" s="51">
        <f t="shared" si="1143"/>
        <v>359330.43330429686</v>
      </c>
      <c r="N2173" s="51">
        <f t="shared" si="1143"/>
        <v>370102.49575283722</v>
      </c>
      <c r="O2173" s="51">
        <f t="shared" si="1143"/>
        <v>381937.7445036759</v>
      </c>
      <c r="P2173" s="51">
        <f t="shared" si="1143"/>
        <v>394913.04395683645</v>
      </c>
      <c r="Q2173" s="51">
        <f t="shared" si="1143"/>
        <v>408328.03361085383</v>
      </c>
      <c r="R2173" s="51">
        <f t="shared" si="1143"/>
        <v>422198.84362093545</v>
      </c>
    </row>
    <row r="2174" spans="1:18" x14ac:dyDescent="0.25">
      <c r="C2174" s="50"/>
      <c r="D2174" s="50"/>
      <c r="E2174" s="50"/>
      <c r="F2174" s="50"/>
      <c r="G2174" s="50"/>
      <c r="H2174" s="50"/>
      <c r="I2174" s="50"/>
      <c r="J2174" s="50"/>
      <c r="K2174" s="50"/>
      <c r="L2174" s="50"/>
      <c r="M2174" s="50"/>
      <c r="N2174" s="50"/>
      <c r="O2174" s="50"/>
      <c r="P2174" s="50"/>
      <c r="Q2174" s="50"/>
      <c r="R2174" s="50"/>
    </row>
    <row r="2175" spans="1:18" x14ac:dyDescent="0.25">
      <c r="A2175" s="41" t="s">
        <v>1298</v>
      </c>
      <c r="B2175" s="44"/>
      <c r="C2175" s="51">
        <f t="shared" ref="C2175:R2175" si="1144">C2173</f>
        <v>269657</v>
      </c>
      <c r="D2175" s="51">
        <f t="shared" si="1144"/>
        <v>302291</v>
      </c>
      <c r="E2175" s="51">
        <f t="shared" si="1144"/>
        <v>269637</v>
      </c>
      <c r="F2175" s="51">
        <f t="shared" si="1144"/>
        <v>271635</v>
      </c>
      <c r="G2175" s="51">
        <f t="shared" si="1144"/>
        <v>283827</v>
      </c>
      <c r="H2175" s="51">
        <f t="shared" si="1144"/>
        <v>310000</v>
      </c>
      <c r="I2175" s="51">
        <f t="shared" si="1144"/>
        <v>317748</v>
      </c>
      <c r="J2175" s="51">
        <f t="shared" si="1144"/>
        <v>326957.57699999999</v>
      </c>
      <c r="K2175" s="51">
        <f t="shared" si="1144"/>
        <v>337085.92902299995</v>
      </c>
      <c r="L2175" s="51">
        <f t="shared" si="1144"/>
        <v>348199.03774827899</v>
      </c>
      <c r="M2175" s="51">
        <f t="shared" si="1144"/>
        <v>359330.43330429686</v>
      </c>
      <c r="N2175" s="51">
        <f t="shared" si="1144"/>
        <v>370102.49575283722</v>
      </c>
      <c r="O2175" s="51">
        <f t="shared" si="1144"/>
        <v>381937.7445036759</v>
      </c>
      <c r="P2175" s="51">
        <f t="shared" si="1144"/>
        <v>394913.04395683645</v>
      </c>
      <c r="Q2175" s="51">
        <f t="shared" si="1144"/>
        <v>408328.03361085383</v>
      </c>
      <c r="R2175" s="51">
        <f t="shared" si="1144"/>
        <v>422198.84362093545</v>
      </c>
    </row>
    <row r="2176" spans="1:18" x14ac:dyDescent="0.25">
      <c r="A2176" s="41"/>
      <c r="B2176" s="44"/>
    </row>
    <row r="2177" spans="1:18" x14ac:dyDescent="0.25">
      <c r="A2177" s="41" t="s">
        <v>638</v>
      </c>
      <c r="B2177" s="44"/>
      <c r="C2177" s="50"/>
      <c r="D2177" s="50"/>
      <c r="E2177" s="50"/>
      <c r="F2177" s="50"/>
      <c r="G2177" s="50"/>
      <c r="H2177" s="50"/>
      <c r="I2177" s="50"/>
      <c r="J2177" s="50"/>
      <c r="K2177" s="50"/>
      <c r="L2177" s="50"/>
      <c r="M2177" s="50"/>
      <c r="N2177" s="50"/>
      <c r="O2177" s="50"/>
      <c r="P2177" s="50"/>
      <c r="Q2177" s="50"/>
      <c r="R2177" s="50"/>
    </row>
    <row r="2178" spans="1:18" x14ac:dyDescent="0.25">
      <c r="A2178" s="41"/>
      <c r="B2178" s="44"/>
      <c r="C2178" s="50"/>
      <c r="D2178" s="50"/>
      <c r="E2178" s="50"/>
      <c r="F2178" s="50"/>
      <c r="G2178" s="50"/>
      <c r="H2178" s="50"/>
      <c r="I2178" s="50"/>
      <c r="J2178" s="50"/>
      <c r="K2178" s="50"/>
      <c r="L2178" s="50"/>
      <c r="M2178" s="50"/>
      <c r="N2178" s="50"/>
      <c r="O2178" s="50"/>
      <c r="P2178" s="50"/>
      <c r="Q2178" s="50"/>
      <c r="R2178" s="50"/>
    </row>
    <row r="2179" spans="1:18" x14ac:dyDescent="0.25">
      <c r="A2179" s="41" t="s">
        <v>165</v>
      </c>
      <c r="B2179" s="44"/>
      <c r="C2179" s="50"/>
      <c r="D2179" s="50"/>
      <c r="E2179" s="50"/>
      <c r="F2179" s="50"/>
      <c r="G2179" s="50"/>
      <c r="H2179" s="50"/>
      <c r="I2179" s="50"/>
      <c r="J2179" s="50"/>
      <c r="K2179" s="50"/>
      <c r="L2179" s="50"/>
      <c r="M2179" s="50"/>
      <c r="N2179" s="50"/>
      <c r="O2179" s="50"/>
      <c r="P2179" s="50"/>
      <c r="Q2179" s="50"/>
      <c r="R2179" s="50"/>
    </row>
    <row r="2180" spans="1:18" x14ac:dyDescent="0.25">
      <c r="C2180" s="50"/>
      <c r="D2180" s="50"/>
      <c r="E2180" s="50"/>
      <c r="F2180" s="50"/>
      <c r="G2180" s="50"/>
      <c r="H2180" s="50"/>
      <c r="I2180" s="50"/>
      <c r="J2180" s="50"/>
      <c r="K2180" s="50"/>
      <c r="L2180" s="50"/>
      <c r="M2180" s="50"/>
      <c r="N2180" s="50"/>
      <c r="O2180" s="50"/>
      <c r="P2180" s="50"/>
      <c r="Q2180" s="50"/>
      <c r="R2180" s="50"/>
    </row>
    <row r="2181" spans="1:18" x14ac:dyDescent="0.25">
      <c r="A2181" s="52" t="s">
        <v>1299</v>
      </c>
      <c r="B2181" s="53"/>
      <c r="C2181" s="50">
        <v>11711</v>
      </c>
      <c r="D2181" s="54">
        <v>9611</v>
      </c>
      <c r="E2181" s="50">
        <v>3369</v>
      </c>
      <c r="F2181" s="54">
        <v>4222</v>
      </c>
      <c r="G2181" s="54">
        <v>1959</v>
      </c>
      <c r="H2181" s="54">
        <v>6000</v>
      </c>
      <c r="I2181" s="54">
        <f>H2181*1.023</f>
        <v>6137.9999999999991</v>
      </c>
      <c r="J2181" s="54">
        <f t="shared" ref="J2181:K2181" si="1145">I2181*1.024</f>
        <v>6285.311999999999</v>
      </c>
      <c r="K2181" s="54">
        <f t="shared" si="1145"/>
        <v>6436.1594879999993</v>
      </c>
      <c r="L2181" s="54">
        <f t="shared" ref="L2181" si="1146">K2181*1.023</f>
        <v>6584.1911562239984</v>
      </c>
      <c r="M2181" s="54">
        <f t="shared" ref="M2181" si="1147">L2181*1.022</f>
        <v>6729.0433616609262</v>
      </c>
      <c r="N2181" s="54">
        <f t="shared" ref="N2181" si="1148">M2181*1.023</f>
        <v>6883.8113589791265</v>
      </c>
      <c r="O2181" s="54">
        <f t="shared" ref="O2181:P2181" si="1149">N2181*1.025</f>
        <v>7055.9066429536042</v>
      </c>
      <c r="P2181" s="54">
        <f t="shared" si="1149"/>
        <v>7232.3043090274441</v>
      </c>
      <c r="Q2181" s="54">
        <f t="shared" ref="Q2181:R2181" si="1150">P2181*1.024</f>
        <v>7405.8796124441033</v>
      </c>
      <c r="R2181" s="54">
        <f t="shared" si="1150"/>
        <v>7583.6207231427616</v>
      </c>
    </row>
    <row r="2182" spans="1:18" x14ac:dyDescent="0.25">
      <c r="A2182" s="52" t="s">
        <v>1128</v>
      </c>
      <c r="B2182" s="53"/>
      <c r="C2182" s="50"/>
      <c r="D2182" s="50"/>
      <c r="E2182" s="50"/>
      <c r="F2182" s="50"/>
      <c r="G2182" s="50">
        <v>0</v>
      </c>
      <c r="H2182" s="50"/>
      <c r="I2182" s="50"/>
      <c r="J2182" s="50"/>
      <c r="K2182" s="50"/>
      <c r="L2182" s="50"/>
      <c r="M2182" s="50"/>
      <c r="N2182" s="50"/>
      <c r="O2182" s="50"/>
      <c r="P2182" s="50"/>
      <c r="Q2182" s="50"/>
      <c r="R2182" s="50"/>
    </row>
    <row r="2183" spans="1:18" x14ac:dyDescent="0.25">
      <c r="A2183" s="43" t="s">
        <v>1300</v>
      </c>
      <c r="C2183" s="221">
        <v>118961</v>
      </c>
      <c r="D2183" s="221">
        <v>107353</v>
      </c>
      <c r="E2183" s="221">
        <v>87976</v>
      </c>
      <c r="F2183" s="268">
        <v>56695</v>
      </c>
      <c r="G2183" s="221">
        <v>53177</v>
      </c>
      <c r="H2183" s="221">
        <v>54040</v>
      </c>
      <c r="I2183" s="221">
        <v>55280</v>
      </c>
      <c r="J2183" s="221">
        <v>54225</v>
      </c>
      <c r="K2183" s="221">
        <v>55365</v>
      </c>
      <c r="L2183" s="221">
        <v>59300</v>
      </c>
      <c r="M2183" s="221">
        <v>60610</v>
      </c>
      <c r="N2183" s="221">
        <v>62000</v>
      </c>
      <c r="O2183" s="221">
        <v>63550</v>
      </c>
      <c r="P2183" s="221">
        <v>65140</v>
      </c>
      <c r="Q2183" s="221">
        <v>66700</v>
      </c>
      <c r="R2183" s="221">
        <v>66700</v>
      </c>
    </row>
    <row r="2184" spans="1:18" x14ac:dyDescent="0.25">
      <c r="A2184" s="43" t="s">
        <v>304</v>
      </c>
      <c r="C2184" s="71">
        <v>69100</v>
      </c>
      <c r="D2184" s="71">
        <v>69315</v>
      </c>
      <c r="E2184" s="71">
        <v>71203</v>
      </c>
      <c r="F2184" s="74">
        <v>71203</v>
      </c>
      <c r="G2184" s="71">
        <v>76069</v>
      </c>
      <c r="H2184" s="77">
        <v>75750</v>
      </c>
      <c r="I2184" s="77">
        <v>77490</v>
      </c>
      <c r="J2184" s="77">
        <v>79350</v>
      </c>
      <c r="K2184" s="77">
        <v>81250</v>
      </c>
      <c r="L2184" s="77">
        <v>83120</v>
      </c>
      <c r="M2184" s="77">
        <v>84950</v>
      </c>
      <c r="N2184" s="77">
        <v>86900</v>
      </c>
      <c r="O2184" s="77">
        <v>89080</v>
      </c>
      <c r="P2184" s="77">
        <v>91300</v>
      </c>
      <c r="Q2184" s="77">
        <v>93490</v>
      </c>
      <c r="R2184" s="77">
        <v>93490</v>
      </c>
    </row>
    <row r="2185" spans="1:18" x14ac:dyDescent="0.25">
      <c r="A2185" s="52" t="s">
        <v>1301</v>
      </c>
      <c r="B2185" s="53"/>
      <c r="C2185" s="50"/>
      <c r="D2185" s="50"/>
      <c r="E2185" s="50"/>
      <c r="F2185" s="50"/>
      <c r="G2185" s="50">
        <v>0</v>
      </c>
      <c r="H2185" s="50"/>
      <c r="I2185" s="50"/>
      <c r="J2185" s="50"/>
      <c r="K2185" s="50"/>
      <c r="L2185" s="50"/>
      <c r="M2185" s="50"/>
      <c r="N2185" s="50"/>
      <c r="O2185" s="50"/>
      <c r="P2185" s="50"/>
      <c r="Q2185" s="50"/>
      <c r="R2185" s="50"/>
    </row>
    <row r="2186" spans="1:18" x14ac:dyDescent="0.25">
      <c r="A2186" s="43" t="s">
        <v>1302</v>
      </c>
      <c r="C2186" s="50">
        <v>17750</v>
      </c>
      <c r="D2186" s="54">
        <v>18228</v>
      </c>
      <c r="E2186" s="54">
        <v>16759</v>
      </c>
      <c r="F2186" s="54">
        <v>15550</v>
      </c>
      <c r="G2186" s="54">
        <v>15550</v>
      </c>
      <c r="H2186" s="54">
        <v>16000</v>
      </c>
      <c r="I2186" s="54">
        <f>H2186*1.023</f>
        <v>16367.999999999998</v>
      </c>
      <c r="J2186" s="54">
        <f t="shared" ref="J2186:K2186" si="1151">I2186*1.024</f>
        <v>16760.831999999999</v>
      </c>
      <c r="K2186" s="54">
        <f t="shared" si="1151"/>
        <v>17163.091968000001</v>
      </c>
      <c r="L2186" s="54">
        <f t="shared" ref="L2186" si="1152">K2186*1.023</f>
        <v>17557.843083264001</v>
      </c>
      <c r="M2186" s="54">
        <f t="shared" ref="M2186" si="1153">L2186*1.022</f>
        <v>17944.11563109581</v>
      </c>
      <c r="N2186" s="54">
        <f t="shared" ref="N2186" si="1154">M2186*1.023</f>
        <v>18356.830290611011</v>
      </c>
      <c r="O2186" s="54">
        <f t="shared" ref="O2186:P2186" si="1155">N2186*1.025</f>
        <v>18815.751047876285</v>
      </c>
      <c r="P2186" s="54">
        <f t="shared" si="1155"/>
        <v>19286.144824073192</v>
      </c>
      <c r="Q2186" s="54">
        <f t="shared" ref="Q2186:R2186" si="1156">P2186*1.024</f>
        <v>19749.012299850947</v>
      </c>
      <c r="R2186" s="54">
        <f t="shared" si="1156"/>
        <v>20222.988595047369</v>
      </c>
    </row>
    <row r="2187" spans="1:18" x14ac:dyDescent="0.25">
      <c r="C2187" s="50"/>
      <c r="D2187" s="50"/>
      <c r="E2187" s="50"/>
      <c r="F2187" s="50"/>
      <c r="G2187" s="50"/>
      <c r="H2187" s="50"/>
      <c r="I2187" s="50"/>
      <c r="J2187" s="50"/>
      <c r="K2187" s="50"/>
      <c r="L2187" s="50"/>
      <c r="M2187" s="50"/>
      <c r="N2187" s="50"/>
      <c r="O2187" s="50"/>
      <c r="P2187" s="50"/>
      <c r="Q2187" s="50"/>
      <c r="R2187" s="50"/>
    </row>
    <row r="2188" spans="1:18" x14ac:dyDescent="0.25">
      <c r="A2188" s="41" t="s">
        <v>230</v>
      </c>
      <c r="B2188" s="44"/>
      <c r="C2188" s="51">
        <f t="shared" ref="C2188" si="1157">SUM(C2181:C2187)</f>
        <v>217522</v>
      </c>
      <c r="D2188" s="51">
        <f t="shared" ref="D2188:F2188" si="1158">SUM(D2181:D2187)</f>
        <v>204507</v>
      </c>
      <c r="E2188" s="51">
        <f t="shared" si="1158"/>
        <v>179307</v>
      </c>
      <c r="F2188" s="51">
        <f t="shared" si="1158"/>
        <v>147670</v>
      </c>
      <c r="G2188" s="51">
        <f>SUM(G2181:G2187)</f>
        <v>146755</v>
      </c>
      <c r="H2188" s="51">
        <f>SUM(H2181:H2187)</f>
        <v>151790</v>
      </c>
      <c r="I2188" s="51">
        <f t="shared" ref="I2188:R2188" si="1159">SUM(I2181:I2187)</f>
        <v>155276</v>
      </c>
      <c r="J2188" s="51">
        <f t="shared" si="1159"/>
        <v>156621.144</v>
      </c>
      <c r="K2188" s="51">
        <f t="shared" si="1159"/>
        <v>160214.251456</v>
      </c>
      <c r="L2188" s="51">
        <f t="shared" si="1159"/>
        <v>166562.03423948801</v>
      </c>
      <c r="M2188" s="51">
        <f t="shared" si="1159"/>
        <v>170233.15899275671</v>
      </c>
      <c r="N2188" s="51">
        <f t="shared" si="1159"/>
        <v>174140.64164959016</v>
      </c>
      <c r="O2188" s="51">
        <f t="shared" si="1159"/>
        <v>178501.65769082989</v>
      </c>
      <c r="P2188" s="51">
        <f t="shared" si="1159"/>
        <v>182958.44913310063</v>
      </c>
      <c r="Q2188" s="51">
        <f t="shared" si="1159"/>
        <v>187344.89191229502</v>
      </c>
      <c r="R2188" s="51">
        <f t="shared" si="1159"/>
        <v>187996.60931819014</v>
      </c>
    </row>
    <row r="2189" spans="1:18" x14ac:dyDescent="0.25">
      <c r="C2189" s="50"/>
      <c r="D2189" s="50"/>
      <c r="E2189" s="50"/>
      <c r="F2189" s="50"/>
      <c r="G2189" s="50"/>
      <c r="H2189" s="50"/>
      <c r="I2189" s="50"/>
      <c r="J2189" s="50"/>
      <c r="K2189" s="50"/>
      <c r="L2189" s="50"/>
      <c r="M2189" s="50"/>
      <c r="N2189" s="50"/>
      <c r="O2189" s="50"/>
      <c r="P2189" s="50"/>
      <c r="Q2189" s="50"/>
      <c r="R2189" s="50"/>
    </row>
    <row r="2190" spans="1:18" x14ac:dyDescent="0.25">
      <c r="A2190" s="41"/>
      <c r="B2190" s="44"/>
      <c r="C2190" s="50"/>
      <c r="D2190" s="50"/>
      <c r="E2190" s="50"/>
      <c r="F2190" s="50"/>
      <c r="G2190" s="50"/>
      <c r="H2190" s="50"/>
      <c r="I2190" s="50"/>
      <c r="J2190" s="50"/>
      <c r="K2190" s="50"/>
      <c r="L2190" s="50"/>
      <c r="M2190" s="50"/>
      <c r="N2190" s="50"/>
      <c r="O2190" s="50"/>
      <c r="P2190" s="50"/>
      <c r="Q2190" s="50"/>
      <c r="R2190" s="50"/>
    </row>
    <row r="2191" spans="1:18" x14ac:dyDescent="0.25">
      <c r="A2191" s="41" t="s">
        <v>694</v>
      </c>
      <c r="B2191" s="44"/>
      <c r="C2191" s="51">
        <f t="shared" ref="C2191:R2191" si="1160">+C2188</f>
        <v>217522</v>
      </c>
      <c r="D2191" s="51">
        <f t="shared" si="1160"/>
        <v>204507</v>
      </c>
      <c r="E2191" s="51">
        <f t="shared" si="1160"/>
        <v>179307</v>
      </c>
      <c r="F2191" s="51">
        <f t="shared" si="1160"/>
        <v>147670</v>
      </c>
      <c r="G2191" s="51">
        <f t="shared" si="1160"/>
        <v>146755</v>
      </c>
      <c r="H2191" s="51">
        <f t="shared" si="1160"/>
        <v>151790</v>
      </c>
      <c r="I2191" s="51">
        <f t="shared" si="1160"/>
        <v>155276</v>
      </c>
      <c r="J2191" s="51">
        <f t="shared" si="1160"/>
        <v>156621.144</v>
      </c>
      <c r="K2191" s="51">
        <f t="shared" si="1160"/>
        <v>160214.251456</v>
      </c>
      <c r="L2191" s="51">
        <f t="shared" si="1160"/>
        <v>166562.03423948801</v>
      </c>
      <c r="M2191" s="51">
        <f t="shared" si="1160"/>
        <v>170233.15899275671</v>
      </c>
      <c r="N2191" s="51">
        <f t="shared" si="1160"/>
        <v>174140.64164959016</v>
      </c>
      <c r="O2191" s="51">
        <f t="shared" si="1160"/>
        <v>178501.65769082989</v>
      </c>
      <c r="P2191" s="51">
        <f t="shared" si="1160"/>
        <v>182958.44913310063</v>
      </c>
      <c r="Q2191" s="51">
        <f t="shared" si="1160"/>
        <v>187344.89191229502</v>
      </c>
      <c r="R2191" s="51">
        <f t="shared" si="1160"/>
        <v>187996.60931819014</v>
      </c>
    </row>
    <row r="2192" spans="1:18" x14ac:dyDescent="0.25">
      <c r="A2192" s="41"/>
      <c r="B2192" s="44"/>
    </row>
    <row r="2193" spans="1:18" x14ac:dyDescent="0.25">
      <c r="A2193" s="41"/>
      <c r="B2193" s="44"/>
    </row>
    <row r="2195" spans="1:18" x14ac:dyDescent="0.25">
      <c r="A2195" s="41" t="s">
        <v>1303</v>
      </c>
      <c r="B2195" s="44"/>
      <c r="C2195" s="51">
        <f>C1695+C1740+C1776+C2108+C2162+C2175+C2191</f>
        <v>-7117222.4199999999</v>
      </c>
      <c r="D2195" s="51">
        <f>D1695+D1740+D1776+D2108+D2162+D2175+D2191</f>
        <v>-8229182</v>
      </c>
      <c r="E2195" s="51">
        <f>E1695+E1740+E1776+E2108+E2162+E2175+E2191</f>
        <v>-12040606.469999999</v>
      </c>
      <c r="F2195" s="51">
        <f>F1695+F1740+F1776+F2108+F2162+F2175+F2191</f>
        <v>-8537710</v>
      </c>
      <c r="G2195" s="51">
        <f t="shared" ref="G2195:R2195" si="1161">G1695+G1740+G1776+G2108+G2162+G2175+G2191</f>
        <v>-5282403.09</v>
      </c>
      <c r="H2195" s="51">
        <f t="shared" si="1161"/>
        <v>-6825787</v>
      </c>
      <c r="I2195" s="51">
        <f t="shared" si="1161"/>
        <v>-7343271.3599999994</v>
      </c>
      <c r="J2195" s="51">
        <f t="shared" si="1161"/>
        <v>-7696067.38124</v>
      </c>
      <c r="K2195" s="51">
        <f t="shared" si="1161"/>
        <v>-7718220.8866822589</v>
      </c>
      <c r="L2195" s="51">
        <f t="shared" si="1161"/>
        <v>-7735667.9229038963</v>
      </c>
      <c r="M2195" s="51">
        <f t="shared" si="1161"/>
        <v>-8015156.0983785363</v>
      </c>
      <c r="N2195" s="51">
        <f t="shared" si="1161"/>
        <v>-8195700.979016169</v>
      </c>
      <c r="O2195" s="51">
        <f t="shared" si="1161"/>
        <v>-8288466.5458455523</v>
      </c>
      <c r="P2195" s="51">
        <f t="shared" si="1161"/>
        <v>-8661138.6378190815</v>
      </c>
      <c r="Q2195" s="51">
        <f t="shared" si="1161"/>
        <v>-8647987.1172667574</v>
      </c>
      <c r="R2195" s="51">
        <f t="shared" si="1161"/>
        <v>-8773907.5892600063</v>
      </c>
    </row>
    <row r="2200" spans="1:18" x14ac:dyDescent="0.25">
      <c r="A2200" s="50" t="s">
        <v>1304</v>
      </c>
      <c r="B2200" s="269" t="s">
        <v>1305</v>
      </c>
    </row>
    <row r="2201" spans="1:18" x14ac:dyDescent="0.25">
      <c r="A2201" s="50" t="s">
        <v>1306</v>
      </c>
      <c r="B2201" s="258" t="s">
        <v>832</v>
      </c>
      <c r="C2201" s="50"/>
      <c r="D2201" s="50"/>
      <c r="E2201" s="50"/>
      <c r="F2201" s="50"/>
      <c r="G2201" s="50"/>
      <c r="H2201" s="50"/>
      <c r="I2201" s="50"/>
      <c r="J2201" s="50"/>
      <c r="N2201" s="50"/>
      <c r="O2201" s="50"/>
    </row>
    <row r="2202" spans="1:18" x14ac:dyDescent="0.25">
      <c r="A2202" s="50" t="s">
        <v>1307</v>
      </c>
      <c r="B2202" s="127" t="s">
        <v>468</v>
      </c>
      <c r="C2202" s="50"/>
      <c r="D2202" s="50"/>
      <c r="E2202" s="50"/>
      <c r="F2202" s="50"/>
      <c r="G2202" s="50"/>
      <c r="H2202" s="50"/>
      <c r="I2202" s="50"/>
      <c r="J2202" s="50"/>
      <c r="N2202" s="50"/>
      <c r="O2202" s="50"/>
      <c r="P2202" s="50"/>
      <c r="Q2202" s="50"/>
      <c r="R2202" s="50"/>
    </row>
    <row r="2203" spans="1:18" x14ac:dyDescent="0.25">
      <c r="A2203" s="50" t="s">
        <v>1308</v>
      </c>
      <c r="B2203" s="84" t="s">
        <v>317</v>
      </c>
      <c r="C2203" s="50"/>
      <c r="D2203" s="50"/>
      <c r="E2203" s="50"/>
      <c r="F2203" s="50"/>
      <c r="G2203" s="50"/>
      <c r="H2203" s="50"/>
      <c r="I2203" s="50"/>
      <c r="J2203" s="50"/>
      <c r="N2203" s="50"/>
      <c r="O2203" s="50"/>
      <c r="P2203" s="50"/>
      <c r="Q2203" s="50"/>
      <c r="R2203" s="50"/>
    </row>
    <row r="2204" spans="1:18" x14ac:dyDescent="0.25">
      <c r="A2204" s="50" t="s">
        <v>1309</v>
      </c>
      <c r="B2204" s="270" t="s">
        <v>314</v>
      </c>
      <c r="C2204" s="50"/>
      <c r="D2204" s="50"/>
      <c r="E2204" s="50"/>
      <c r="F2204" s="50"/>
      <c r="G2204" s="50"/>
      <c r="H2204" s="50"/>
    </row>
    <row r="2205" spans="1:18" x14ac:dyDescent="0.25">
      <c r="A2205" s="50" t="s">
        <v>1310</v>
      </c>
      <c r="B2205" s="42" t="s">
        <v>626</v>
      </c>
    </row>
    <row r="2206" spans="1:18" x14ac:dyDescent="0.25">
      <c r="A2206" s="50" t="s">
        <v>1311</v>
      </c>
      <c r="B2206" s="164" t="s">
        <v>245</v>
      </c>
    </row>
    <row r="2207" spans="1:18" x14ac:dyDescent="0.25">
      <c r="A2207" s="50" t="s">
        <v>1312</v>
      </c>
      <c r="B2207" s="204" t="s">
        <v>950</v>
      </c>
      <c r="D2207" s="50"/>
      <c r="E2207" s="50"/>
      <c r="F2207" s="50"/>
      <c r="G2207" s="50"/>
      <c r="H2207" s="50"/>
    </row>
    <row r="2208" spans="1:18" x14ac:dyDescent="0.25">
      <c r="A2208" s="50" t="s">
        <v>1313</v>
      </c>
      <c r="B2208" s="271" t="s">
        <v>487</v>
      </c>
    </row>
    <row r="2209" spans="1:18" x14ac:dyDescent="0.25">
      <c r="A2209" s="50" t="s">
        <v>1314</v>
      </c>
      <c r="B2209" s="272" t="s">
        <v>839</v>
      </c>
    </row>
    <row r="2210" spans="1:18" x14ac:dyDescent="0.25">
      <c r="A2210" s="50" t="s">
        <v>1315</v>
      </c>
      <c r="B2210" s="254" t="s">
        <v>590</v>
      </c>
      <c r="N2210" s="50"/>
      <c r="O2210" s="50"/>
      <c r="P2210" s="50"/>
      <c r="Q2210" s="50"/>
      <c r="R2210" s="50"/>
    </row>
    <row r="2211" spans="1:18" x14ac:dyDescent="0.25">
      <c r="A2211" s="50" t="s">
        <v>1316</v>
      </c>
      <c r="B2211" s="88" t="s">
        <v>330</v>
      </c>
    </row>
    <row r="2212" spans="1:18" x14ac:dyDescent="0.25">
      <c r="A2212" s="122" t="s">
        <v>1317</v>
      </c>
      <c r="B2212" s="175" t="s">
        <v>691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12"/>
  <sheetViews>
    <sheetView workbookViewId="0">
      <selection activeCell="F29" sqref="F29"/>
    </sheetView>
  </sheetViews>
  <sheetFormatPr defaultRowHeight="15" x14ac:dyDescent="0.25"/>
  <cols>
    <col min="1" max="1" width="33.85546875" style="43" customWidth="1"/>
    <col min="2" max="2" width="8" style="42" customWidth="1"/>
    <col min="3" max="8" width="11.7109375" style="43" customWidth="1"/>
    <col min="9" max="9" width="10.28515625" style="43" customWidth="1"/>
    <col min="10" max="11" width="10.42578125" style="43" customWidth="1"/>
    <col min="12" max="12" width="11.42578125" style="43" customWidth="1"/>
    <col min="13" max="13" width="12" style="43" customWidth="1"/>
    <col min="14" max="14" width="11.5703125" style="43" customWidth="1"/>
    <col min="15" max="18" width="11.42578125" style="43" customWidth="1"/>
  </cols>
  <sheetData>
    <row r="1" spans="1:18" x14ac:dyDescent="0.25">
      <c r="A1" s="41" t="s">
        <v>1318</v>
      </c>
    </row>
    <row r="2" spans="1:18" x14ac:dyDescent="0.25">
      <c r="A2" s="41" t="s">
        <v>133</v>
      </c>
      <c r="B2" s="44"/>
      <c r="I2" s="45">
        <v>1</v>
      </c>
      <c r="J2" s="43">
        <v>2</v>
      </c>
      <c r="K2" s="43">
        <v>3</v>
      </c>
      <c r="L2" s="43">
        <v>4</v>
      </c>
      <c r="M2" s="43">
        <v>5</v>
      </c>
      <c r="N2" s="43">
        <v>6</v>
      </c>
      <c r="O2" s="43">
        <v>7</v>
      </c>
      <c r="P2" s="43">
        <v>8</v>
      </c>
      <c r="Q2" s="43">
        <v>9</v>
      </c>
      <c r="R2" s="43">
        <v>10</v>
      </c>
    </row>
    <row r="3" spans="1:18" x14ac:dyDescent="0.25">
      <c r="C3" s="46" t="s">
        <v>134</v>
      </c>
      <c r="D3" s="46" t="s">
        <v>135</v>
      </c>
      <c r="E3" s="46" t="s">
        <v>136</v>
      </c>
      <c r="F3" s="46" t="s">
        <v>137</v>
      </c>
      <c r="G3" s="46" t="s">
        <v>138</v>
      </c>
      <c r="H3" s="46" t="s">
        <v>139</v>
      </c>
      <c r="I3" s="46" t="s">
        <v>140</v>
      </c>
      <c r="J3" s="46" t="s">
        <v>141</v>
      </c>
      <c r="K3" s="46" t="s">
        <v>142</v>
      </c>
      <c r="L3" s="46" t="s">
        <v>143</v>
      </c>
      <c r="M3" s="46" t="s">
        <v>144</v>
      </c>
      <c r="N3" s="46" t="s">
        <v>145</v>
      </c>
      <c r="O3" s="46" t="s">
        <v>146</v>
      </c>
      <c r="P3" s="46" t="s">
        <v>147</v>
      </c>
      <c r="Q3" s="46" t="s">
        <v>148</v>
      </c>
      <c r="R3" s="46" t="s">
        <v>149</v>
      </c>
    </row>
    <row r="4" spans="1:18" x14ac:dyDescent="0.25">
      <c r="A4" s="43" t="s">
        <v>150</v>
      </c>
      <c r="B4" s="42" t="s">
        <v>151</v>
      </c>
      <c r="C4" s="47" t="s">
        <v>152</v>
      </c>
      <c r="D4" s="47" t="s">
        <v>152</v>
      </c>
      <c r="E4" s="47" t="s">
        <v>152</v>
      </c>
      <c r="F4" s="47" t="s">
        <v>152</v>
      </c>
      <c r="G4" s="47" t="s">
        <v>152</v>
      </c>
      <c r="H4" s="47" t="s">
        <v>153</v>
      </c>
      <c r="I4" s="47" t="s">
        <v>153</v>
      </c>
      <c r="J4" s="47" t="s">
        <v>153</v>
      </c>
      <c r="K4" s="47" t="s">
        <v>153</v>
      </c>
      <c r="L4" s="47" t="s">
        <v>153</v>
      </c>
      <c r="M4" s="47" t="s">
        <v>153</v>
      </c>
      <c r="N4" s="47" t="s">
        <v>153</v>
      </c>
      <c r="O4" s="47" t="s">
        <v>153</v>
      </c>
      <c r="P4" s="47" t="s">
        <v>153</v>
      </c>
      <c r="Q4" s="47" t="s">
        <v>153</v>
      </c>
      <c r="R4" s="47" t="s">
        <v>153</v>
      </c>
    </row>
    <row r="5" spans="1:18" x14ac:dyDescent="0.25">
      <c r="C5" s="47"/>
      <c r="D5" s="47"/>
      <c r="E5" s="47"/>
      <c r="F5" s="47"/>
      <c r="G5" s="47"/>
      <c r="H5" s="47" t="s">
        <v>154</v>
      </c>
      <c r="I5" s="47" t="s">
        <v>155</v>
      </c>
      <c r="J5" s="47" t="s">
        <v>155</v>
      </c>
      <c r="K5" s="47" t="s">
        <v>155</v>
      </c>
      <c r="L5" s="47" t="s">
        <v>155</v>
      </c>
      <c r="M5" s="47" t="s">
        <v>155</v>
      </c>
      <c r="N5" s="47" t="s">
        <v>155</v>
      </c>
      <c r="O5" s="47" t="s">
        <v>155</v>
      </c>
      <c r="P5" s="47" t="s">
        <v>155</v>
      </c>
      <c r="Q5" s="47" t="s">
        <v>155</v>
      </c>
      <c r="R5" s="47" t="s">
        <v>155</v>
      </c>
    </row>
    <row r="7" spans="1:18" x14ac:dyDescent="0.25">
      <c r="A7" s="48" t="s">
        <v>156</v>
      </c>
      <c r="B7" s="49"/>
    </row>
    <row r="8" spans="1:18" x14ac:dyDescent="0.25">
      <c r="A8" s="48"/>
      <c r="B8" s="49"/>
      <c r="C8" s="46"/>
    </row>
    <row r="9" spans="1:18" x14ac:dyDescent="0.25">
      <c r="A9" s="48" t="s">
        <v>157</v>
      </c>
      <c r="B9" s="49"/>
      <c r="C9" s="47"/>
    </row>
    <row r="10" spans="1:18" x14ac:dyDescent="0.25">
      <c r="A10" s="48"/>
      <c r="B10" s="49"/>
      <c r="C10" s="42"/>
    </row>
    <row r="11" spans="1:18" x14ac:dyDescent="0.25">
      <c r="A11" s="48" t="s">
        <v>158</v>
      </c>
      <c r="B11" s="49"/>
    </row>
    <row r="12" spans="1:18" x14ac:dyDescent="0.25">
      <c r="A12" s="48" t="s">
        <v>159</v>
      </c>
      <c r="B12" s="49"/>
      <c r="C12" s="50">
        <f t="shared" ref="C12:F12" si="0">C59</f>
        <v>311626</v>
      </c>
      <c r="D12" s="50">
        <f t="shared" si="0"/>
        <v>286624</v>
      </c>
      <c r="E12" s="50">
        <f t="shared" si="0"/>
        <v>371098.75</v>
      </c>
      <c r="F12" s="50">
        <f t="shared" si="0"/>
        <v>359385</v>
      </c>
      <c r="G12" s="50">
        <f>G59</f>
        <v>372236</v>
      </c>
      <c r="H12" s="50">
        <f>H59</f>
        <v>382200</v>
      </c>
      <c r="I12" s="50">
        <f t="shared" ref="I12:R12" si="1">I59</f>
        <v>390990.59999999992</v>
      </c>
      <c r="J12" s="50">
        <f t="shared" si="1"/>
        <v>400374.37440000015</v>
      </c>
      <c r="K12" s="50">
        <f t="shared" si="1"/>
        <v>409983.35938559991</v>
      </c>
      <c r="L12" s="50">
        <f t="shared" si="1"/>
        <v>419412.97665146872</v>
      </c>
      <c r="M12" s="50">
        <f t="shared" si="1"/>
        <v>428640.06213780103</v>
      </c>
      <c r="N12" s="50">
        <f t="shared" si="1"/>
        <v>438498.78356697049</v>
      </c>
      <c r="O12" s="50">
        <f t="shared" si="1"/>
        <v>449461.25315614464</v>
      </c>
      <c r="P12" s="50">
        <f t="shared" si="1"/>
        <v>460697.78448504838</v>
      </c>
      <c r="Q12" s="50">
        <f t="shared" si="1"/>
        <v>471754.53131268942</v>
      </c>
      <c r="R12" s="50">
        <f t="shared" si="1"/>
        <v>483076.64006419404</v>
      </c>
    </row>
    <row r="13" spans="1:18" x14ac:dyDescent="0.25">
      <c r="A13" s="48" t="s">
        <v>160</v>
      </c>
      <c r="B13" s="49"/>
      <c r="C13" s="50">
        <f t="shared" ref="C13:R13" si="2">C101</f>
        <v>1096632</v>
      </c>
      <c r="D13" s="50">
        <f t="shared" si="2"/>
        <v>1095036</v>
      </c>
      <c r="E13" s="50">
        <f t="shared" si="2"/>
        <v>1097611.07</v>
      </c>
      <c r="F13" s="50">
        <f t="shared" si="2"/>
        <v>1147527</v>
      </c>
      <c r="G13" s="50">
        <f t="shared" si="2"/>
        <v>1334839</v>
      </c>
      <c r="H13" s="50">
        <f t="shared" si="2"/>
        <v>1312953</v>
      </c>
      <c r="I13" s="50">
        <f t="shared" si="2"/>
        <v>1335769.6000000001</v>
      </c>
      <c r="J13" s="50">
        <f t="shared" si="2"/>
        <v>1388224.0703999999</v>
      </c>
      <c r="K13" s="50">
        <f t="shared" si="2"/>
        <v>1400819.4480895998</v>
      </c>
      <c r="L13" s="50">
        <f t="shared" si="2"/>
        <v>1454118.8053956609</v>
      </c>
      <c r="M13" s="50">
        <f t="shared" si="2"/>
        <v>1464433.8791143654</v>
      </c>
      <c r="N13" s="50">
        <f t="shared" si="2"/>
        <v>1520263.0283339955</v>
      </c>
      <c r="O13" s="50">
        <f t="shared" si="2"/>
        <v>1535821.3540423454</v>
      </c>
      <c r="P13" s="50">
        <f t="shared" si="2"/>
        <v>1596415.6378934041</v>
      </c>
      <c r="Q13" s="50">
        <f t="shared" si="2"/>
        <v>1611912.4932028456</v>
      </c>
      <c r="R13" s="50">
        <f t="shared" si="2"/>
        <v>1673965.9130397136</v>
      </c>
    </row>
    <row r="14" spans="1:18" x14ac:dyDescent="0.25">
      <c r="A14" s="41" t="s">
        <v>161</v>
      </c>
      <c r="B14" s="44"/>
      <c r="C14" s="50">
        <f t="shared" ref="C14:R14" si="3">C154</f>
        <v>2547520</v>
      </c>
      <c r="D14" s="50">
        <f t="shared" si="3"/>
        <v>2756842</v>
      </c>
      <c r="E14" s="50">
        <f t="shared" si="3"/>
        <v>2799931</v>
      </c>
      <c r="F14" s="50">
        <f t="shared" si="3"/>
        <v>2812851</v>
      </c>
      <c r="G14" s="50">
        <f t="shared" si="3"/>
        <v>2965970</v>
      </c>
      <c r="H14" s="50">
        <f t="shared" si="3"/>
        <v>3078100</v>
      </c>
      <c r="I14" s="50">
        <f t="shared" si="3"/>
        <v>3147520.8999999994</v>
      </c>
      <c r="J14" s="50">
        <f t="shared" si="3"/>
        <v>3221626.2016000007</v>
      </c>
      <c r="K14" s="50">
        <f t="shared" si="3"/>
        <v>3237710.0304384003</v>
      </c>
      <c r="L14" s="50">
        <f t="shared" si="3"/>
        <v>3312177.361138483</v>
      </c>
      <c r="M14" s="50">
        <f t="shared" si="3"/>
        <v>3385045.2630835297</v>
      </c>
      <c r="N14" s="50">
        <f t="shared" si="3"/>
        <v>3462901.3041344504</v>
      </c>
      <c r="O14" s="50">
        <f t="shared" si="3"/>
        <v>3549473.8367378111</v>
      </c>
      <c r="P14" s="50">
        <f t="shared" si="3"/>
        <v>3638210.682656256</v>
      </c>
      <c r="Q14" s="50">
        <f t="shared" si="3"/>
        <v>3725527.7390400064</v>
      </c>
      <c r="R14" s="50">
        <f t="shared" si="3"/>
        <v>3814940.4047769662</v>
      </c>
    </row>
    <row r="15" spans="1:18" x14ac:dyDescent="0.25">
      <c r="A15" s="41" t="s">
        <v>162</v>
      </c>
      <c r="B15" s="44"/>
      <c r="C15" s="50">
        <f t="shared" ref="C15:R15" si="4">C192</f>
        <v>1611604</v>
      </c>
      <c r="D15" s="50">
        <f t="shared" si="4"/>
        <v>1869914</v>
      </c>
      <c r="E15" s="50">
        <f t="shared" si="4"/>
        <v>1272420</v>
      </c>
      <c r="F15" s="50">
        <f t="shared" si="4"/>
        <v>1149141</v>
      </c>
      <c r="G15" s="50">
        <f t="shared" si="4"/>
        <v>1232439</v>
      </c>
      <c r="H15" s="50">
        <f t="shared" si="4"/>
        <v>2342900</v>
      </c>
      <c r="I15" s="50">
        <f t="shared" si="4"/>
        <v>1484313.7</v>
      </c>
      <c r="J15" s="50">
        <f t="shared" si="4"/>
        <v>1519577.2288000002</v>
      </c>
      <c r="K15" s="50">
        <f t="shared" si="4"/>
        <v>1555687.0822911998</v>
      </c>
      <c r="L15" s="50">
        <f t="shared" si="4"/>
        <v>1591122.8851838973</v>
      </c>
      <c r="M15" s="50">
        <f t="shared" si="4"/>
        <v>1625797.5886579431</v>
      </c>
      <c r="N15" s="50">
        <f t="shared" si="4"/>
        <v>1662845.9331970757</v>
      </c>
      <c r="O15" s="50">
        <f t="shared" si="4"/>
        <v>1704042.0815270026</v>
      </c>
      <c r="P15" s="50">
        <f t="shared" si="4"/>
        <v>1746268.1335651777</v>
      </c>
      <c r="Q15" s="50">
        <f t="shared" si="4"/>
        <v>1787818.568770742</v>
      </c>
      <c r="R15" s="50">
        <f t="shared" si="4"/>
        <v>1830366.2144212397</v>
      </c>
    </row>
    <row r="16" spans="1:18" x14ac:dyDescent="0.25">
      <c r="A16" s="41" t="s">
        <v>163</v>
      </c>
      <c r="B16" s="44"/>
      <c r="C16" s="50">
        <f t="shared" ref="C16:F16" si="5">C229</f>
        <v>8686373</v>
      </c>
      <c r="D16" s="50">
        <f t="shared" si="5"/>
        <v>8994196</v>
      </c>
      <c r="E16" s="50">
        <f t="shared" si="5"/>
        <v>13257679</v>
      </c>
      <c r="F16" s="50">
        <f t="shared" si="5"/>
        <v>10170198</v>
      </c>
      <c r="G16" s="50">
        <f>G229</f>
        <v>9406248</v>
      </c>
      <c r="H16" s="50">
        <f t="shared" ref="H16:R16" si="6">H229</f>
        <v>9853100</v>
      </c>
      <c r="I16" s="50">
        <f t="shared" si="6"/>
        <v>10261727.699999999</v>
      </c>
      <c r="J16" s="50">
        <f t="shared" si="6"/>
        <v>10546878.9498</v>
      </c>
      <c r="K16" s="50">
        <f t="shared" si="6"/>
        <v>10787456.294220198</v>
      </c>
      <c r="L16" s="50">
        <f t="shared" si="6"/>
        <v>11001213.467815284</v>
      </c>
      <c r="M16" s="50">
        <f t="shared" si="6"/>
        <v>11258925.091474662</v>
      </c>
      <c r="N16" s="50">
        <f t="shared" si="6"/>
        <v>11605403.398516225</v>
      </c>
      <c r="O16" s="50">
        <f t="shared" si="6"/>
        <v>11937961.709285583</v>
      </c>
      <c r="P16" s="50">
        <f t="shared" si="6"/>
        <v>12283181.477824174</v>
      </c>
      <c r="Q16" s="50">
        <f t="shared" si="6"/>
        <v>12485133.562217129</v>
      </c>
      <c r="R16" s="50">
        <f t="shared" si="6"/>
        <v>12779197.849213485</v>
      </c>
    </row>
    <row r="17" spans="1:18" x14ac:dyDescent="0.25">
      <c r="A17" s="41" t="s">
        <v>164</v>
      </c>
      <c r="B17" s="44"/>
      <c r="C17" s="51">
        <f t="shared" ref="C17:D17" si="7">SUM(C12:C16)</f>
        <v>14253755</v>
      </c>
      <c r="D17" s="51">
        <f t="shared" si="7"/>
        <v>15002612</v>
      </c>
      <c r="E17" s="51">
        <f>SUM(E12:E16)</f>
        <v>18798739.82</v>
      </c>
      <c r="F17" s="51">
        <f t="shared" ref="F17:R17" si="8">SUM(F12:F16)</f>
        <v>15639102</v>
      </c>
      <c r="G17" s="51">
        <f t="shared" si="8"/>
        <v>15311732</v>
      </c>
      <c r="H17" s="51">
        <f t="shared" si="8"/>
        <v>16969253</v>
      </c>
      <c r="I17" s="51">
        <f t="shared" si="8"/>
        <v>16620322.5</v>
      </c>
      <c r="J17" s="51">
        <f t="shared" si="8"/>
        <v>17076680.825000003</v>
      </c>
      <c r="K17" s="51">
        <f t="shared" si="8"/>
        <v>17391656.214424998</v>
      </c>
      <c r="L17" s="51">
        <f t="shared" si="8"/>
        <v>17778045.496184796</v>
      </c>
      <c r="M17" s="51">
        <f t="shared" si="8"/>
        <v>18162841.884468302</v>
      </c>
      <c r="N17" s="51">
        <f t="shared" si="8"/>
        <v>18689912.447748717</v>
      </c>
      <c r="O17" s="51">
        <f t="shared" si="8"/>
        <v>19176760.234748885</v>
      </c>
      <c r="P17" s="51">
        <f t="shared" si="8"/>
        <v>19724773.716424063</v>
      </c>
      <c r="Q17" s="51">
        <f t="shared" si="8"/>
        <v>20082146.894543413</v>
      </c>
      <c r="R17" s="51">
        <f t="shared" si="8"/>
        <v>20581547.021515597</v>
      </c>
    </row>
    <row r="18" spans="1:18" x14ac:dyDescent="0.25">
      <c r="A18" s="48"/>
      <c r="B18" s="49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</row>
    <row r="19" spans="1:18" x14ac:dyDescent="0.25">
      <c r="A19" s="41" t="s">
        <v>165</v>
      </c>
      <c r="B19" s="44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</row>
    <row r="20" spans="1:18" x14ac:dyDescent="0.25">
      <c r="A20" s="48" t="s">
        <v>159</v>
      </c>
      <c r="B20" s="49"/>
      <c r="C20" s="50">
        <f t="shared" ref="C20:R20" si="9">C65</f>
        <v>980320</v>
      </c>
      <c r="D20" s="50">
        <f t="shared" si="9"/>
        <v>1110667</v>
      </c>
      <c r="E20" s="50">
        <f t="shared" si="9"/>
        <v>1274291.9000000001</v>
      </c>
      <c r="F20" s="50">
        <f t="shared" si="9"/>
        <v>1605076</v>
      </c>
      <c r="G20" s="50">
        <f t="shared" si="9"/>
        <v>1266682</v>
      </c>
      <c r="H20" s="50">
        <f t="shared" si="9"/>
        <v>1310740</v>
      </c>
      <c r="I20" s="50">
        <f t="shared" si="9"/>
        <v>1188561.7999999998</v>
      </c>
      <c r="J20" s="50">
        <f t="shared" si="9"/>
        <v>1220939.1706999997</v>
      </c>
      <c r="K20" s="50">
        <f t="shared" si="9"/>
        <v>1255400.2955292999</v>
      </c>
      <c r="L20" s="50">
        <f t="shared" si="9"/>
        <v>1291205.7272681985</v>
      </c>
      <c r="M20" s="50">
        <f t="shared" si="9"/>
        <v>1374214.765642901</v>
      </c>
      <c r="N20" s="50">
        <f t="shared" si="9"/>
        <v>1363143.8570722444</v>
      </c>
      <c r="O20" s="50">
        <f t="shared" si="9"/>
        <v>1402422.5985731944</v>
      </c>
      <c r="P20" s="50">
        <f t="shared" si="9"/>
        <v>1446078.680315902</v>
      </c>
      <c r="Q20" s="50">
        <f t="shared" si="9"/>
        <v>1488435.9112533091</v>
      </c>
      <c r="R20" s="50">
        <f t="shared" si="9"/>
        <v>1584300.041701948</v>
      </c>
    </row>
    <row r="21" spans="1:18" x14ac:dyDescent="0.25">
      <c r="A21" s="48" t="s">
        <v>160</v>
      </c>
      <c r="B21" s="49"/>
      <c r="C21" s="50">
        <f t="shared" ref="C21:R21" si="10">C112</f>
        <v>3248112</v>
      </c>
      <c r="D21" s="50">
        <f t="shared" si="10"/>
        <v>3146828</v>
      </c>
      <c r="E21" s="50">
        <f t="shared" si="10"/>
        <v>3313034.15</v>
      </c>
      <c r="F21" s="50">
        <f t="shared" si="10"/>
        <v>3470429.8200000003</v>
      </c>
      <c r="G21" s="50">
        <f t="shared" si="10"/>
        <v>3344249</v>
      </c>
      <c r="H21" s="50">
        <f t="shared" si="10"/>
        <v>3752778.6957668001</v>
      </c>
      <c r="I21" s="50">
        <f t="shared" si="10"/>
        <v>3810968.6660784162</v>
      </c>
      <c r="J21" s="50">
        <f t="shared" si="10"/>
        <v>3878448.451827419</v>
      </c>
      <c r="K21" s="50">
        <f t="shared" si="10"/>
        <v>3959057.0121913073</v>
      </c>
      <c r="L21" s="50">
        <f t="shared" si="10"/>
        <v>4084649.3268051594</v>
      </c>
      <c r="M21" s="50">
        <f t="shared" si="10"/>
        <v>4166984.1136062532</v>
      </c>
      <c r="N21" s="50">
        <f t="shared" si="10"/>
        <v>4294911.8759581801</v>
      </c>
      <c r="O21" s="50">
        <f t="shared" si="10"/>
        <v>4388465.7019315446</v>
      </c>
      <c r="P21" s="50">
        <f t="shared" si="10"/>
        <v>4531820.7711928478</v>
      </c>
      <c r="Q21" s="50">
        <f t="shared" si="10"/>
        <v>4629951.7928737532</v>
      </c>
      <c r="R21" s="50">
        <f t="shared" si="10"/>
        <v>4765297.7756254654</v>
      </c>
    </row>
    <row r="22" spans="1:18" x14ac:dyDescent="0.25">
      <c r="A22" s="41" t="s">
        <v>161</v>
      </c>
      <c r="B22" s="44"/>
      <c r="C22" s="50">
        <f t="shared" ref="C22:R22" si="11">C161</f>
        <v>3029056.43</v>
      </c>
      <c r="D22" s="50">
        <f t="shared" si="11"/>
        <v>3378724</v>
      </c>
      <c r="E22" s="50">
        <f t="shared" si="11"/>
        <v>3451439</v>
      </c>
      <c r="F22" s="50">
        <f t="shared" si="11"/>
        <v>3362111</v>
      </c>
      <c r="G22" s="50">
        <f t="shared" si="11"/>
        <v>3374617</v>
      </c>
      <c r="H22" s="50">
        <f t="shared" si="11"/>
        <v>3752465</v>
      </c>
      <c r="I22" s="50">
        <f t="shared" si="11"/>
        <v>3830625.7</v>
      </c>
      <c r="J22" s="50">
        <f t="shared" si="11"/>
        <v>3930017.0107999998</v>
      </c>
      <c r="K22" s="50">
        <f t="shared" si="11"/>
        <v>3979847.9003091995</v>
      </c>
      <c r="L22" s="50">
        <f t="shared" si="11"/>
        <v>4059171.746308811</v>
      </c>
      <c r="M22" s="50">
        <f t="shared" si="11"/>
        <v>4162563.0209447583</v>
      </c>
      <c r="N22" s="50">
        <f t="shared" si="11"/>
        <v>4269948.7305753585</v>
      </c>
      <c r="O22" s="50">
        <f t="shared" si="11"/>
        <v>4367848.620053078</v>
      </c>
      <c r="P22" s="50">
        <f t="shared" si="11"/>
        <v>4496892.404015759</v>
      </c>
      <c r="Q22" s="50">
        <f t="shared" si="11"/>
        <v>4609359.7209738465</v>
      </c>
      <c r="R22" s="50">
        <f t="shared" si="11"/>
        <v>4720759.4932177402</v>
      </c>
    </row>
    <row r="23" spans="1:18" x14ac:dyDescent="0.25">
      <c r="A23" s="41" t="s">
        <v>162</v>
      </c>
      <c r="B23" s="44"/>
      <c r="C23" s="50">
        <f t="shared" ref="C23:R23" si="12">C197</f>
        <v>3229040</v>
      </c>
      <c r="D23" s="50">
        <f t="shared" si="12"/>
        <v>3327700</v>
      </c>
      <c r="E23" s="50">
        <f t="shared" si="12"/>
        <v>3208277</v>
      </c>
      <c r="F23" s="50">
        <f t="shared" si="12"/>
        <v>3556862</v>
      </c>
      <c r="G23" s="50">
        <f t="shared" si="12"/>
        <v>3281876</v>
      </c>
      <c r="H23" s="50">
        <f t="shared" si="12"/>
        <v>3456763</v>
      </c>
      <c r="I23" s="50">
        <f t="shared" si="12"/>
        <v>3537800.9350000001</v>
      </c>
      <c r="J23" s="50">
        <f t="shared" si="12"/>
        <v>3634745.7848899998</v>
      </c>
      <c r="K23" s="50">
        <f t="shared" si="12"/>
        <v>3679897.40756361</v>
      </c>
      <c r="L23" s="50">
        <f t="shared" si="12"/>
        <v>3769709.5572294858</v>
      </c>
      <c r="M23" s="50">
        <f t="shared" si="12"/>
        <v>3864181.4415493477</v>
      </c>
      <c r="N23" s="50">
        <f t="shared" si="12"/>
        <v>3962916.8283502567</v>
      </c>
      <c r="O23" s="50">
        <f t="shared" si="12"/>
        <v>4071145.7214790615</v>
      </c>
      <c r="P23" s="50">
        <f t="shared" si="12"/>
        <v>4184901.6217005923</v>
      </c>
      <c r="Q23" s="50">
        <f t="shared" si="12"/>
        <v>4299081.0195407169</v>
      </c>
      <c r="R23" s="50">
        <f t="shared" si="12"/>
        <v>4400818.0411485173</v>
      </c>
    </row>
    <row r="24" spans="1:18" x14ac:dyDescent="0.25">
      <c r="A24" s="41" t="s">
        <v>163</v>
      </c>
      <c r="B24" s="44"/>
      <c r="C24" s="50">
        <f t="shared" ref="C24:R24" si="13">C239</f>
        <v>3386539</v>
      </c>
      <c r="D24" s="50">
        <f t="shared" si="13"/>
        <v>3703059</v>
      </c>
      <c r="E24" s="50">
        <f t="shared" si="13"/>
        <v>3886648.5300000003</v>
      </c>
      <c r="F24" s="50">
        <f t="shared" si="13"/>
        <v>4131141</v>
      </c>
      <c r="G24" s="50">
        <f t="shared" si="13"/>
        <v>4054187</v>
      </c>
      <c r="H24" s="50">
        <f t="shared" si="13"/>
        <v>4341470</v>
      </c>
      <c r="I24" s="50">
        <f t="shared" si="13"/>
        <v>4489267.34</v>
      </c>
      <c r="J24" s="50">
        <f t="shared" si="13"/>
        <v>4669304.3685599994</v>
      </c>
      <c r="K24" s="50">
        <f t="shared" si="13"/>
        <v>4745954.7604579404</v>
      </c>
      <c r="L24" s="50">
        <f t="shared" si="13"/>
        <v>4981338.1981961466</v>
      </c>
      <c r="M24" s="50">
        <f t="shared" si="13"/>
        <v>5096925.2564531714</v>
      </c>
      <c r="N24" s="50">
        <f t="shared" si="13"/>
        <v>5415367.820648646</v>
      </c>
      <c r="O24" s="50">
        <f t="shared" si="13"/>
        <v>5468704.844257839</v>
      </c>
      <c r="P24" s="50">
        <f t="shared" si="13"/>
        <v>5640362.26350349</v>
      </c>
      <c r="Q24" s="50">
        <f t="shared" si="13"/>
        <v>5815440.8081351519</v>
      </c>
      <c r="R24" s="50">
        <f t="shared" si="13"/>
        <v>5991739.8410850046</v>
      </c>
    </row>
    <row r="25" spans="1:18" x14ac:dyDescent="0.25">
      <c r="A25" s="41" t="s">
        <v>166</v>
      </c>
      <c r="B25" s="44"/>
      <c r="C25" s="51">
        <f t="shared" ref="C25:D25" si="14">SUM(C20:C24)</f>
        <v>13873067.43</v>
      </c>
      <c r="D25" s="51">
        <f t="shared" si="14"/>
        <v>14666978</v>
      </c>
      <c r="E25" s="51">
        <f>SUM(E20:E24)</f>
        <v>15133690.580000002</v>
      </c>
      <c r="F25" s="51">
        <f t="shared" ref="F25:R25" si="15">SUM(F20:F24)</f>
        <v>16125619.82</v>
      </c>
      <c r="G25" s="51">
        <f t="shared" si="15"/>
        <v>15321611</v>
      </c>
      <c r="H25" s="51">
        <f t="shared" si="15"/>
        <v>16614216.695766799</v>
      </c>
      <c r="I25" s="51">
        <f t="shared" si="15"/>
        <v>16857224.441078417</v>
      </c>
      <c r="J25" s="51">
        <f t="shared" si="15"/>
        <v>17333454.786777418</v>
      </c>
      <c r="K25" s="51">
        <f t="shared" si="15"/>
        <v>17620157.376051359</v>
      </c>
      <c r="L25" s="51">
        <f t="shared" si="15"/>
        <v>18186074.555807799</v>
      </c>
      <c r="M25" s="51">
        <f t="shared" si="15"/>
        <v>18664868.598196432</v>
      </c>
      <c r="N25" s="51">
        <f t="shared" si="15"/>
        <v>19306289.112604685</v>
      </c>
      <c r="O25" s="51">
        <f t="shared" si="15"/>
        <v>19698587.486294717</v>
      </c>
      <c r="P25" s="51">
        <f t="shared" si="15"/>
        <v>20300055.740728591</v>
      </c>
      <c r="Q25" s="51">
        <f t="shared" si="15"/>
        <v>20842269.252776776</v>
      </c>
      <c r="R25" s="51">
        <f t="shared" si="15"/>
        <v>21462915.192778677</v>
      </c>
    </row>
    <row r="26" spans="1:18" x14ac:dyDescent="0.25">
      <c r="A26" s="48"/>
      <c r="B26" s="49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</row>
    <row r="27" spans="1:18" x14ac:dyDescent="0.25">
      <c r="A27" s="48" t="s">
        <v>167</v>
      </c>
      <c r="B27" s="49"/>
      <c r="C27" s="51">
        <f t="shared" ref="C27:R27" si="16">C17-C25</f>
        <v>380687.5700000003</v>
      </c>
      <c r="D27" s="51">
        <f t="shared" si="16"/>
        <v>335634</v>
      </c>
      <c r="E27" s="51">
        <f t="shared" si="16"/>
        <v>3665049.2399999984</v>
      </c>
      <c r="F27" s="51">
        <f t="shared" si="16"/>
        <v>-486517.8200000003</v>
      </c>
      <c r="G27" s="51">
        <f t="shared" si="16"/>
        <v>-9879</v>
      </c>
      <c r="H27" s="51">
        <f t="shared" si="16"/>
        <v>355036.30423320085</v>
      </c>
      <c r="I27" s="51">
        <f t="shared" si="16"/>
        <v>-236901.941078417</v>
      </c>
      <c r="J27" s="51">
        <f t="shared" si="16"/>
        <v>-256773.96177741513</v>
      </c>
      <c r="K27" s="51">
        <f t="shared" si="16"/>
        <v>-228501.16162636131</v>
      </c>
      <c r="L27" s="51">
        <f t="shared" si="16"/>
        <v>-408029.05962300301</v>
      </c>
      <c r="M27" s="51">
        <f t="shared" si="16"/>
        <v>-502026.71372812986</v>
      </c>
      <c r="N27" s="51">
        <f t="shared" si="16"/>
        <v>-616376.66485596821</v>
      </c>
      <c r="O27" s="51">
        <f t="shared" si="16"/>
        <v>-521827.25154583156</v>
      </c>
      <c r="P27" s="51">
        <f t="shared" si="16"/>
        <v>-575282.02430452779</v>
      </c>
      <c r="Q27" s="51">
        <f t="shared" si="16"/>
        <v>-760122.35823336244</v>
      </c>
      <c r="R27" s="51">
        <f t="shared" si="16"/>
        <v>-881368.17126308009</v>
      </c>
    </row>
    <row r="28" spans="1:18" x14ac:dyDescent="0.25">
      <c r="A28" s="48"/>
      <c r="B28" s="49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</row>
    <row r="29" spans="1:18" x14ac:dyDescent="0.25">
      <c r="A29" s="48" t="s">
        <v>168</v>
      </c>
      <c r="B29" s="49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</row>
    <row r="30" spans="1:18" x14ac:dyDescent="0.25">
      <c r="A30" s="48"/>
      <c r="B30" s="49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</row>
    <row r="31" spans="1:18" x14ac:dyDescent="0.25">
      <c r="A31" s="48" t="s">
        <v>169</v>
      </c>
      <c r="B31" s="49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</row>
    <row r="32" spans="1:18" x14ac:dyDescent="0.25">
      <c r="A32" s="48" t="s">
        <v>159</v>
      </c>
      <c r="B32" s="49"/>
      <c r="C32" s="50">
        <f t="shared" ref="C32:R32" si="17">C75</f>
        <v>10735</v>
      </c>
      <c r="D32" s="50">
        <f t="shared" si="17"/>
        <v>148804</v>
      </c>
      <c r="E32" s="50">
        <f t="shared" si="17"/>
        <v>12176</v>
      </c>
      <c r="F32" s="50">
        <f t="shared" si="17"/>
        <v>0</v>
      </c>
      <c r="G32" s="50">
        <f t="shared" si="17"/>
        <v>0</v>
      </c>
      <c r="H32" s="50">
        <f t="shared" si="17"/>
        <v>0</v>
      </c>
      <c r="I32" s="50">
        <f t="shared" si="17"/>
        <v>0</v>
      </c>
      <c r="J32" s="50">
        <f t="shared" si="17"/>
        <v>0</v>
      </c>
      <c r="K32" s="50">
        <f t="shared" si="17"/>
        <v>0</v>
      </c>
      <c r="L32" s="50">
        <f t="shared" si="17"/>
        <v>0</v>
      </c>
      <c r="M32" s="50">
        <f t="shared" si="17"/>
        <v>0</v>
      </c>
      <c r="N32" s="50">
        <f t="shared" si="17"/>
        <v>0</v>
      </c>
      <c r="O32" s="50">
        <f t="shared" si="17"/>
        <v>0</v>
      </c>
      <c r="P32" s="50">
        <f t="shared" si="17"/>
        <v>0</v>
      </c>
      <c r="Q32" s="50">
        <f t="shared" si="17"/>
        <v>0</v>
      </c>
      <c r="R32" s="50">
        <f t="shared" si="17"/>
        <v>0</v>
      </c>
    </row>
    <row r="33" spans="1:18" x14ac:dyDescent="0.25">
      <c r="A33" s="48" t="s">
        <v>160</v>
      </c>
      <c r="B33" s="49"/>
      <c r="C33" s="50">
        <f t="shared" ref="C33:R33" si="18">C127</f>
        <v>197108</v>
      </c>
      <c r="D33" s="50">
        <f t="shared" si="18"/>
        <v>506017</v>
      </c>
      <c r="E33" s="50">
        <f t="shared" si="18"/>
        <v>237757</v>
      </c>
      <c r="F33" s="50">
        <f t="shared" si="18"/>
        <v>331876</v>
      </c>
      <c r="G33" s="50">
        <f t="shared" si="18"/>
        <v>20543</v>
      </c>
      <c r="H33" s="50">
        <f t="shared" si="18"/>
        <v>180000</v>
      </c>
      <c r="I33" s="50">
        <f t="shared" si="18"/>
        <v>0</v>
      </c>
      <c r="J33" s="50">
        <f t="shared" si="18"/>
        <v>0</v>
      </c>
      <c r="K33" s="50">
        <f t="shared" si="18"/>
        <v>0</v>
      </c>
      <c r="L33" s="50">
        <f t="shared" si="18"/>
        <v>0</v>
      </c>
      <c r="M33" s="50">
        <f t="shared" si="18"/>
        <v>0</v>
      </c>
      <c r="N33" s="50">
        <f t="shared" si="18"/>
        <v>0</v>
      </c>
      <c r="O33" s="50">
        <f t="shared" si="18"/>
        <v>0</v>
      </c>
      <c r="P33" s="50">
        <f t="shared" si="18"/>
        <v>0</v>
      </c>
      <c r="Q33" s="50">
        <f t="shared" si="18"/>
        <v>0</v>
      </c>
      <c r="R33" s="50">
        <f t="shared" si="18"/>
        <v>0</v>
      </c>
    </row>
    <row r="34" spans="1:18" x14ac:dyDescent="0.25">
      <c r="A34" s="41" t="s">
        <v>161</v>
      </c>
      <c r="B34" s="44"/>
      <c r="C34" s="50">
        <f t="shared" ref="C34:R34" si="19">C172</f>
        <v>0</v>
      </c>
      <c r="D34" s="50">
        <f t="shared" si="19"/>
        <v>34030</v>
      </c>
      <c r="E34" s="50">
        <f t="shared" si="19"/>
        <v>34802</v>
      </c>
      <c r="F34" s="50">
        <f t="shared" si="19"/>
        <v>0</v>
      </c>
      <c r="G34" s="50">
        <f t="shared" si="19"/>
        <v>0</v>
      </c>
      <c r="H34" s="50">
        <f t="shared" si="19"/>
        <v>0</v>
      </c>
      <c r="I34" s="50">
        <f t="shared" si="19"/>
        <v>0</v>
      </c>
      <c r="J34" s="50">
        <f t="shared" si="19"/>
        <v>0</v>
      </c>
      <c r="K34" s="50">
        <f t="shared" si="19"/>
        <v>0</v>
      </c>
      <c r="L34" s="50">
        <f t="shared" si="19"/>
        <v>0</v>
      </c>
      <c r="M34" s="50">
        <f t="shared" si="19"/>
        <v>0</v>
      </c>
      <c r="N34" s="50">
        <f t="shared" si="19"/>
        <v>0</v>
      </c>
      <c r="O34" s="50">
        <f t="shared" si="19"/>
        <v>0</v>
      </c>
      <c r="P34" s="50">
        <f t="shared" si="19"/>
        <v>0</v>
      </c>
      <c r="Q34" s="50">
        <f t="shared" si="19"/>
        <v>0</v>
      </c>
      <c r="R34" s="50">
        <f t="shared" si="19"/>
        <v>0</v>
      </c>
    </row>
    <row r="35" spans="1:18" x14ac:dyDescent="0.25">
      <c r="A35" s="41" t="s">
        <v>162</v>
      </c>
      <c r="B35" s="44"/>
      <c r="C35" s="50">
        <f t="shared" ref="C35:R35" si="20">C206</f>
        <v>0</v>
      </c>
      <c r="D35" s="50">
        <f t="shared" si="20"/>
        <v>62487</v>
      </c>
      <c r="E35" s="50">
        <f t="shared" si="20"/>
        <v>119337</v>
      </c>
      <c r="F35" s="50">
        <f t="shared" si="20"/>
        <v>25497</v>
      </c>
      <c r="G35" s="50">
        <f t="shared" si="20"/>
        <v>15979</v>
      </c>
      <c r="H35" s="50">
        <f t="shared" si="20"/>
        <v>0</v>
      </c>
      <c r="I35" s="50">
        <f t="shared" si="20"/>
        <v>0</v>
      </c>
      <c r="J35" s="50">
        <f t="shared" si="20"/>
        <v>0</v>
      </c>
      <c r="K35" s="50">
        <f t="shared" si="20"/>
        <v>0</v>
      </c>
      <c r="L35" s="50">
        <f t="shared" si="20"/>
        <v>0</v>
      </c>
      <c r="M35" s="50">
        <f t="shared" si="20"/>
        <v>0</v>
      </c>
      <c r="N35" s="50">
        <f t="shared" si="20"/>
        <v>0</v>
      </c>
      <c r="O35" s="50">
        <f t="shared" si="20"/>
        <v>0</v>
      </c>
      <c r="P35" s="50">
        <f t="shared" si="20"/>
        <v>0</v>
      </c>
      <c r="Q35" s="50">
        <f t="shared" si="20"/>
        <v>0</v>
      </c>
      <c r="R35" s="50">
        <f t="shared" si="20"/>
        <v>0</v>
      </c>
    </row>
    <row r="36" spans="1:18" x14ac:dyDescent="0.25">
      <c r="A36" s="41" t="s">
        <v>163</v>
      </c>
      <c r="B36" s="44"/>
      <c r="C36" s="50">
        <f t="shared" ref="C36:D36" si="21">C253</f>
        <v>3125054.42</v>
      </c>
      <c r="D36" s="50">
        <f t="shared" si="21"/>
        <v>4018888</v>
      </c>
      <c r="E36" s="50">
        <f>E253</f>
        <v>3789725</v>
      </c>
      <c r="F36" s="50">
        <f t="shared" ref="F36:R36" si="22">F253</f>
        <v>3547253</v>
      </c>
      <c r="G36" s="50">
        <f t="shared" si="22"/>
        <v>2852540.36</v>
      </c>
      <c r="H36" s="50">
        <f t="shared" si="22"/>
        <v>3668076.9569942858</v>
      </c>
      <c r="I36" s="50">
        <f t="shared" si="22"/>
        <v>3178563.6236609523</v>
      </c>
      <c r="J36" s="50">
        <f t="shared" si="22"/>
        <v>3365144.2636609524</v>
      </c>
      <c r="K36" s="50">
        <f t="shared" si="22"/>
        <v>3293922.2184209526</v>
      </c>
      <c r="L36" s="50">
        <f t="shared" si="22"/>
        <v>3360720.6660080329</v>
      </c>
      <c r="M36" s="50">
        <f t="shared" si="22"/>
        <v>3456516.8871640987</v>
      </c>
      <c r="N36" s="50">
        <f t="shared" si="22"/>
        <v>3694756.0608455935</v>
      </c>
      <c r="O36" s="50">
        <f t="shared" si="22"/>
        <v>3490607.766987469</v>
      </c>
      <c r="P36" s="50">
        <f t="shared" si="22"/>
        <v>3766470.6508279061</v>
      </c>
      <c r="Q36" s="50">
        <f t="shared" si="22"/>
        <v>3765573.5190351889</v>
      </c>
      <c r="R36" s="50">
        <f t="shared" si="22"/>
        <v>3819615.6616525617</v>
      </c>
    </row>
    <row r="37" spans="1:18" x14ac:dyDescent="0.25">
      <c r="A37" s="41" t="s">
        <v>170</v>
      </c>
      <c r="B37" s="44"/>
      <c r="C37" s="51">
        <f t="shared" ref="C37:R37" si="23">SUM(C31:C36)</f>
        <v>3332897.42</v>
      </c>
      <c r="D37" s="51">
        <f t="shared" si="23"/>
        <v>4770226</v>
      </c>
      <c r="E37" s="51">
        <f t="shared" si="23"/>
        <v>4193797</v>
      </c>
      <c r="F37" s="51">
        <f t="shared" si="23"/>
        <v>3904626</v>
      </c>
      <c r="G37" s="51">
        <f t="shared" si="23"/>
        <v>2889062.36</v>
      </c>
      <c r="H37" s="51">
        <f t="shared" si="23"/>
        <v>3848076.9569942858</v>
      </c>
      <c r="I37" s="51">
        <f t="shared" si="23"/>
        <v>3178563.6236609523</v>
      </c>
      <c r="J37" s="51">
        <f t="shared" si="23"/>
        <v>3365144.2636609524</v>
      </c>
      <c r="K37" s="51">
        <f t="shared" si="23"/>
        <v>3293922.2184209526</v>
      </c>
      <c r="L37" s="51">
        <f t="shared" si="23"/>
        <v>3360720.6660080329</v>
      </c>
      <c r="M37" s="51">
        <f t="shared" si="23"/>
        <v>3456516.8871640987</v>
      </c>
      <c r="N37" s="51">
        <f t="shared" si="23"/>
        <v>3694756.0608455935</v>
      </c>
      <c r="O37" s="51">
        <f t="shared" si="23"/>
        <v>3490607.766987469</v>
      </c>
      <c r="P37" s="51">
        <f t="shared" si="23"/>
        <v>3766470.6508279061</v>
      </c>
      <c r="Q37" s="51">
        <f t="shared" si="23"/>
        <v>3765573.5190351889</v>
      </c>
      <c r="R37" s="51">
        <f t="shared" si="23"/>
        <v>3819615.6616525617</v>
      </c>
    </row>
    <row r="38" spans="1:18" x14ac:dyDescent="0.25">
      <c r="A38" s="48"/>
      <c r="B38" s="49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</row>
    <row r="39" spans="1:18" x14ac:dyDescent="0.25">
      <c r="A39" s="41" t="s">
        <v>171</v>
      </c>
      <c r="B39" s="44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</row>
    <row r="40" spans="1:18" x14ac:dyDescent="0.25">
      <c r="A40" s="48" t="s">
        <v>159</v>
      </c>
      <c r="B40" s="49"/>
      <c r="C40" s="50">
        <f t="shared" ref="C40:R40" si="24">C81</f>
        <v>0</v>
      </c>
      <c r="D40" s="50">
        <f t="shared" si="24"/>
        <v>0</v>
      </c>
      <c r="E40" s="50">
        <f t="shared" si="24"/>
        <v>0</v>
      </c>
      <c r="F40" s="50">
        <f t="shared" si="24"/>
        <v>0</v>
      </c>
      <c r="G40" s="50">
        <f t="shared" si="24"/>
        <v>0</v>
      </c>
      <c r="H40" s="50">
        <f t="shared" si="24"/>
        <v>0</v>
      </c>
      <c r="I40" s="50">
        <f t="shared" si="24"/>
        <v>0</v>
      </c>
      <c r="J40" s="50">
        <f t="shared" si="24"/>
        <v>0</v>
      </c>
      <c r="K40" s="50">
        <f t="shared" si="24"/>
        <v>0</v>
      </c>
      <c r="L40" s="50">
        <f t="shared" si="24"/>
        <v>0</v>
      </c>
      <c r="M40" s="50">
        <f t="shared" si="24"/>
        <v>0</v>
      </c>
      <c r="N40" s="50">
        <f t="shared" si="24"/>
        <v>0</v>
      </c>
      <c r="O40" s="50">
        <f t="shared" si="24"/>
        <v>0</v>
      </c>
      <c r="P40" s="50">
        <f t="shared" si="24"/>
        <v>0</v>
      </c>
      <c r="Q40" s="50">
        <f t="shared" si="24"/>
        <v>0</v>
      </c>
      <c r="R40" s="50">
        <f t="shared" si="24"/>
        <v>0</v>
      </c>
    </row>
    <row r="41" spans="1:18" x14ac:dyDescent="0.25">
      <c r="A41" s="48" t="s">
        <v>160</v>
      </c>
      <c r="B41" s="49"/>
      <c r="C41" s="50">
        <f t="shared" ref="C41:R41" si="25">C138</f>
        <v>747850</v>
      </c>
      <c r="D41" s="50">
        <f t="shared" si="25"/>
        <v>922605</v>
      </c>
      <c r="E41" s="50">
        <f t="shared" si="25"/>
        <v>449926</v>
      </c>
      <c r="F41" s="50">
        <f t="shared" si="25"/>
        <v>833238.5</v>
      </c>
      <c r="G41" s="50">
        <f t="shared" si="25"/>
        <v>198184</v>
      </c>
      <c r="H41" s="50">
        <f t="shared" si="25"/>
        <v>617908</v>
      </c>
      <c r="I41" s="50">
        <f t="shared" si="25"/>
        <v>797407</v>
      </c>
      <c r="J41" s="50">
        <f t="shared" si="25"/>
        <v>879411.15999999992</v>
      </c>
      <c r="K41" s="50">
        <f t="shared" si="25"/>
        <v>763371.77184000006</v>
      </c>
      <c r="L41" s="50">
        <f t="shared" si="25"/>
        <v>864674.51359232003</v>
      </c>
      <c r="M41" s="50">
        <f t="shared" si="25"/>
        <v>830941.38489135099</v>
      </c>
      <c r="N41" s="50">
        <f t="shared" si="25"/>
        <v>911167.62474385207</v>
      </c>
      <c r="O41" s="50">
        <f t="shared" si="25"/>
        <v>855632.86536244838</v>
      </c>
      <c r="P41" s="50">
        <f t="shared" si="25"/>
        <v>885334.73699650948</v>
      </c>
      <c r="Q41" s="50">
        <f t="shared" si="25"/>
        <v>899881.37868442573</v>
      </c>
      <c r="R41" s="50">
        <f t="shared" si="25"/>
        <v>944657.13977285195</v>
      </c>
    </row>
    <row r="42" spans="1:18" x14ac:dyDescent="0.25">
      <c r="A42" s="41" t="s">
        <v>161</v>
      </c>
      <c r="B42" s="44"/>
      <c r="C42" s="50">
        <f t="shared" ref="C42:R42" si="26">C179</f>
        <v>48770</v>
      </c>
      <c r="D42" s="50">
        <f t="shared" si="26"/>
        <v>161687</v>
      </c>
      <c r="E42" s="50">
        <f t="shared" si="26"/>
        <v>112783</v>
      </c>
      <c r="F42" s="50">
        <f t="shared" si="26"/>
        <v>86525</v>
      </c>
      <c r="G42" s="50">
        <f t="shared" si="26"/>
        <v>41616</v>
      </c>
      <c r="H42" s="50">
        <f t="shared" si="26"/>
        <v>46387</v>
      </c>
      <c r="I42" s="50">
        <f t="shared" si="26"/>
        <v>103090</v>
      </c>
      <c r="J42" s="50">
        <f t="shared" si="26"/>
        <v>75504</v>
      </c>
      <c r="K42" s="50">
        <f t="shared" si="26"/>
        <v>112361</v>
      </c>
      <c r="L42" s="50">
        <f t="shared" si="26"/>
        <v>58925</v>
      </c>
      <c r="M42" s="50">
        <f t="shared" si="26"/>
        <v>121800</v>
      </c>
      <c r="N42" s="50">
        <f t="shared" si="26"/>
        <v>48628</v>
      </c>
      <c r="O42" s="50">
        <f t="shared" si="26"/>
        <v>48628</v>
      </c>
      <c r="P42" s="50">
        <f t="shared" si="26"/>
        <v>48628</v>
      </c>
      <c r="Q42" s="50">
        <f t="shared" si="26"/>
        <v>48628</v>
      </c>
      <c r="R42" s="50">
        <f t="shared" si="26"/>
        <v>48628</v>
      </c>
    </row>
    <row r="43" spans="1:18" x14ac:dyDescent="0.25">
      <c r="A43" s="41" t="s">
        <v>162</v>
      </c>
      <c r="B43" s="44"/>
      <c r="C43" s="50">
        <f t="shared" ref="C43:R43" si="27">C211</f>
        <v>1246779</v>
      </c>
      <c r="D43" s="50">
        <f t="shared" si="27"/>
        <v>1482366</v>
      </c>
      <c r="E43" s="50">
        <f t="shared" si="27"/>
        <v>1764701</v>
      </c>
      <c r="F43" s="50">
        <f t="shared" si="27"/>
        <v>897072</v>
      </c>
      <c r="G43" s="50">
        <f t="shared" si="27"/>
        <v>791792</v>
      </c>
      <c r="H43" s="50">
        <f t="shared" si="27"/>
        <v>1293256</v>
      </c>
      <c r="I43" s="50">
        <f t="shared" si="27"/>
        <v>1214155</v>
      </c>
      <c r="J43" s="50">
        <f t="shared" si="27"/>
        <v>1335132.76</v>
      </c>
      <c r="K43" s="50">
        <f t="shared" si="27"/>
        <v>1222837.46624</v>
      </c>
      <c r="L43" s="50">
        <f t="shared" si="27"/>
        <v>1195389.82596352</v>
      </c>
      <c r="M43" s="50">
        <f t="shared" si="27"/>
        <v>1273785.5361347175</v>
      </c>
      <c r="N43" s="50">
        <f t="shared" si="27"/>
        <v>1516459.509465816</v>
      </c>
      <c r="O43" s="50">
        <f t="shared" si="27"/>
        <v>1225152.9222024614</v>
      </c>
      <c r="P43" s="50">
        <f t="shared" si="27"/>
        <v>1495849.9202575227</v>
      </c>
      <c r="Q43" s="50">
        <f t="shared" si="27"/>
        <v>1445519.5663437033</v>
      </c>
      <c r="R43" s="50">
        <f t="shared" si="27"/>
        <v>1445667.6839359524</v>
      </c>
    </row>
    <row r="44" spans="1:18" x14ac:dyDescent="0.25">
      <c r="A44" s="41" t="s">
        <v>163</v>
      </c>
      <c r="B44" s="44"/>
      <c r="C44" s="50">
        <f t="shared" ref="C44:D44" si="28">C263</f>
        <v>1307666</v>
      </c>
      <c r="D44" s="50">
        <f t="shared" si="28"/>
        <v>1080843</v>
      </c>
      <c r="E44" s="50">
        <f>E263</f>
        <v>1120149</v>
      </c>
      <c r="F44" s="50">
        <f t="shared" ref="F44:R44" si="29">F263</f>
        <v>1048600</v>
      </c>
      <c r="G44" s="50">
        <f t="shared" si="29"/>
        <v>2922198.27</v>
      </c>
      <c r="H44" s="50">
        <f t="shared" si="29"/>
        <v>2353919.9569942858</v>
      </c>
      <c r="I44" s="50">
        <f t="shared" si="29"/>
        <v>1257752.6236609523</v>
      </c>
      <c r="J44" s="50">
        <f t="shared" si="29"/>
        <v>1187901.4636609524</v>
      </c>
      <c r="K44" s="50">
        <f t="shared" si="29"/>
        <v>1249484.1155009523</v>
      </c>
      <c r="L44" s="50">
        <f t="shared" si="29"/>
        <v>1268016.2939732724</v>
      </c>
      <c r="M44" s="50">
        <f t="shared" si="29"/>
        <v>1217026.1120883033</v>
      </c>
      <c r="N44" s="50">
        <f t="shared" si="29"/>
        <v>1293097.7851852844</v>
      </c>
      <c r="O44" s="50">
        <f t="shared" si="29"/>
        <v>1265505.3897951494</v>
      </c>
      <c r="P44" s="50">
        <f t="shared" si="29"/>
        <v>1332111.2135456367</v>
      </c>
      <c r="Q44" s="50">
        <f t="shared" si="29"/>
        <v>1360838.1417219378</v>
      </c>
      <c r="R44" s="50">
        <f t="shared" si="29"/>
        <v>1396064.0410393537</v>
      </c>
    </row>
    <row r="45" spans="1:18" x14ac:dyDescent="0.25">
      <c r="A45" s="41" t="s">
        <v>172</v>
      </c>
      <c r="B45" s="44"/>
      <c r="C45" s="51">
        <f t="shared" ref="C45:R45" si="30">SUM(C40:C44)</f>
        <v>3351065</v>
      </c>
      <c r="D45" s="51">
        <f t="shared" si="30"/>
        <v>3647501</v>
      </c>
      <c r="E45" s="51">
        <f t="shared" si="30"/>
        <v>3447559</v>
      </c>
      <c r="F45" s="51">
        <f t="shared" si="30"/>
        <v>2865435.5</v>
      </c>
      <c r="G45" s="51">
        <f t="shared" si="30"/>
        <v>3953790.27</v>
      </c>
      <c r="H45" s="51">
        <f t="shared" si="30"/>
        <v>4311470.9569942858</v>
      </c>
      <c r="I45" s="51">
        <f t="shared" si="30"/>
        <v>3372404.6236609523</v>
      </c>
      <c r="J45" s="51">
        <f t="shared" si="30"/>
        <v>3477949.3836609526</v>
      </c>
      <c r="K45" s="51">
        <f t="shared" si="30"/>
        <v>3348054.3535809526</v>
      </c>
      <c r="L45" s="51">
        <f t="shared" si="30"/>
        <v>3387005.6335291127</v>
      </c>
      <c r="M45" s="51">
        <f t="shared" si="30"/>
        <v>3443553.0331143718</v>
      </c>
      <c r="N45" s="51">
        <f t="shared" si="30"/>
        <v>3769352.9193949527</v>
      </c>
      <c r="O45" s="51">
        <f t="shared" si="30"/>
        <v>3394919.1773600597</v>
      </c>
      <c r="P45" s="51">
        <f t="shared" si="30"/>
        <v>3761923.8707996691</v>
      </c>
      <c r="Q45" s="51">
        <f t="shared" si="30"/>
        <v>3754867.0867500668</v>
      </c>
      <c r="R45" s="51">
        <f t="shared" si="30"/>
        <v>3835016.864748158</v>
      </c>
    </row>
    <row r="46" spans="1:18" x14ac:dyDescent="0.25">
      <c r="A46" s="48"/>
      <c r="B46" s="49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</row>
    <row r="47" spans="1:18" x14ac:dyDescent="0.25">
      <c r="A47" s="48" t="s">
        <v>173</v>
      </c>
      <c r="B47" s="49"/>
      <c r="C47" s="51">
        <f t="shared" ref="C47:R47" si="31">C37-C45</f>
        <v>-18167.580000000075</v>
      </c>
      <c r="D47" s="51">
        <f t="shared" si="31"/>
        <v>1122725</v>
      </c>
      <c r="E47" s="51">
        <f t="shared" si="31"/>
        <v>746238</v>
      </c>
      <c r="F47" s="51">
        <f t="shared" si="31"/>
        <v>1039190.5</v>
      </c>
      <c r="G47" s="51">
        <f t="shared" si="31"/>
        <v>-1064727.9100000001</v>
      </c>
      <c r="H47" s="51">
        <f t="shared" si="31"/>
        <v>-463394</v>
      </c>
      <c r="I47" s="51">
        <f t="shared" si="31"/>
        <v>-193841</v>
      </c>
      <c r="J47" s="51">
        <f t="shared" si="31"/>
        <v>-112805.12000000011</v>
      </c>
      <c r="K47" s="51">
        <f t="shared" si="31"/>
        <v>-54132.135160000063</v>
      </c>
      <c r="L47" s="51">
        <f t="shared" si="31"/>
        <v>-26284.967521079816</v>
      </c>
      <c r="M47" s="51">
        <f t="shared" si="31"/>
        <v>12963.854049726855</v>
      </c>
      <c r="N47" s="51">
        <f t="shared" si="31"/>
        <v>-74596.858549359255</v>
      </c>
      <c r="O47" s="51">
        <f t="shared" si="31"/>
        <v>95688.589627409354</v>
      </c>
      <c r="P47" s="51">
        <f t="shared" si="31"/>
        <v>4546.7800282370299</v>
      </c>
      <c r="Q47" s="51">
        <f t="shared" si="31"/>
        <v>10706.432285122108</v>
      </c>
      <c r="R47" s="51">
        <f t="shared" si="31"/>
        <v>-15401.203095596284</v>
      </c>
    </row>
    <row r="48" spans="1:18" x14ac:dyDescent="0.25">
      <c r="A48" s="48"/>
      <c r="B48" s="49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</row>
    <row r="49" spans="1:18" x14ac:dyDescent="0.25">
      <c r="A49" s="48" t="s">
        <v>174</v>
      </c>
      <c r="B49" s="49"/>
      <c r="C49" s="51">
        <f t="shared" ref="C49:G49" si="32">C47+C27</f>
        <v>362519.99000000022</v>
      </c>
      <c r="D49" s="51">
        <f t="shared" si="32"/>
        <v>1458359</v>
      </c>
      <c r="E49" s="51">
        <f t="shared" si="32"/>
        <v>4411287.2399999984</v>
      </c>
      <c r="F49" s="51">
        <f t="shared" si="32"/>
        <v>552672.6799999997</v>
      </c>
      <c r="G49" s="51">
        <f t="shared" si="32"/>
        <v>-1074606.9100000001</v>
      </c>
      <c r="H49" s="51">
        <f>H47+H27</f>
        <v>-108357.69576679915</v>
      </c>
      <c r="I49" s="51">
        <f t="shared" ref="I49:R49" si="33">I47+I27</f>
        <v>-430742.941078417</v>
      </c>
      <c r="J49" s="51">
        <f t="shared" si="33"/>
        <v>-369579.08177741524</v>
      </c>
      <c r="K49" s="51">
        <f t="shared" si="33"/>
        <v>-282633.29678636137</v>
      </c>
      <c r="L49" s="51">
        <f t="shared" si="33"/>
        <v>-434314.02714408282</v>
      </c>
      <c r="M49" s="51">
        <f t="shared" si="33"/>
        <v>-489062.85967840301</v>
      </c>
      <c r="N49" s="51">
        <f t="shared" si="33"/>
        <v>-690973.52340532746</v>
      </c>
      <c r="O49" s="51">
        <f t="shared" si="33"/>
        <v>-426138.66191842221</v>
      </c>
      <c r="P49" s="51">
        <f t="shared" si="33"/>
        <v>-570735.24427629076</v>
      </c>
      <c r="Q49" s="51">
        <f t="shared" si="33"/>
        <v>-749415.92594824033</v>
      </c>
      <c r="R49" s="51">
        <f t="shared" si="33"/>
        <v>-896769.37435867637</v>
      </c>
    </row>
    <row r="50" spans="1:18" x14ac:dyDescent="0.25">
      <c r="A50" s="48"/>
      <c r="B50" s="49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</row>
    <row r="51" spans="1:18" x14ac:dyDescent="0.25">
      <c r="A51" s="48" t="s">
        <v>159</v>
      </c>
      <c r="B51" s="49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</row>
    <row r="52" spans="1:18" x14ac:dyDescent="0.25">
      <c r="A52" s="48"/>
      <c r="B52" s="49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</row>
    <row r="53" spans="1:18" x14ac:dyDescent="0.25">
      <c r="A53" s="48" t="s">
        <v>157</v>
      </c>
      <c r="B53" s="49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</row>
    <row r="54" spans="1:18" x14ac:dyDescent="0.25">
      <c r="A54" s="48"/>
      <c r="B54" s="49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</row>
    <row r="55" spans="1:18" x14ac:dyDescent="0.25">
      <c r="A55" s="48" t="s">
        <v>158</v>
      </c>
      <c r="B55" s="49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</row>
    <row r="56" spans="1:18" x14ac:dyDescent="0.25">
      <c r="A56" s="41" t="s">
        <v>175</v>
      </c>
      <c r="B56" s="44"/>
      <c r="C56" s="50">
        <f t="shared" ref="C56:R56" si="34">C292</f>
        <v>311544</v>
      </c>
      <c r="D56" s="50">
        <f t="shared" si="34"/>
        <v>286624</v>
      </c>
      <c r="E56" s="50">
        <f t="shared" si="34"/>
        <v>321098.75</v>
      </c>
      <c r="F56" s="50">
        <f t="shared" si="34"/>
        <v>354885</v>
      </c>
      <c r="G56" s="50">
        <f t="shared" si="34"/>
        <v>352236</v>
      </c>
      <c r="H56" s="50">
        <f t="shared" si="34"/>
        <v>377000</v>
      </c>
      <c r="I56" s="50">
        <f t="shared" si="34"/>
        <v>385670.99999999994</v>
      </c>
      <c r="J56" s="50">
        <f t="shared" si="34"/>
        <v>394927.10400000011</v>
      </c>
      <c r="K56" s="50">
        <f t="shared" si="34"/>
        <v>404405.35449599993</v>
      </c>
      <c r="L56" s="50">
        <f t="shared" si="34"/>
        <v>413706.67764940794</v>
      </c>
      <c r="M56" s="50">
        <f t="shared" si="34"/>
        <v>422808.22455769486</v>
      </c>
      <c r="N56" s="50">
        <f t="shared" si="34"/>
        <v>432532.81372252188</v>
      </c>
      <c r="O56" s="50">
        <f t="shared" si="34"/>
        <v>443346.13406558486</v>
      </c>
      <c r="P56" s="50">
        <f t="shared" si="34"/>
        <v>454429.78741722455</v>
      </c>
      <c r="Q56" s="50">
        <f t="shared" si="34"/>
        <v>465336.10231523786</v>
      </c>
      <c r="R56" s="50">
        <f t="shared" si="34"/>
        <v>476504.16877080366</v>
      </c>
    </row>
    <row r="57" spans="1:18" x14ac:dyDescent="0.25">
      <c r="A57" s="41" t="s">
        <v>176</v>
      </c>
      <c r="B57" s="44"/>
      <c r="C57" s="50">
        <f t="shared" ref="C57:R57" si="35">C323</f>
        <v>82</v>
      </c>
      <c r="D57" s="50">
        <f t="shared" si="35"/>
        <v>0</v>
      </c>
      <c r="E57" s="50">
        <f t="shared" si="35"/>
        <v>0</v>
      </c>
      <c r="F57" s="50">
        <f t="shared" si="35"/>
        <v>0</v>
      </c>
      <c r="G57" s="50">
        <f t="shared" si="35"/>
        <v>0</v>
      </c>
      <c r="H57" s="50">
        <f t="shared" si="35"/>
        <v>200</v>
      </c>
      <c r="I57" s="50">
        <f t="shared" si="35"/>
        <v>204.6</v>
      </c>
      <c r="J57" s="50">
        <f t="shared" si="35"/>
        <v>209.5104</v>
      </c>
      <c r="K57" s="50">
        <f t="shared" si="35"/>
        <v>214.53864960000001</v>
      </c>
      <c r="L57" s="50">
        <f t="shared" si="35"/>
        <v>219.47303854079999</v>
      </c>
      <c r="M57" s="50">
        <f t="shared" si="35"/>
        <v>224.3014453886976</v>
      </c>
      <c r="N57" s="50">
        <f t="shared" si="35"/>
        <v>229.46037863263763</v>
      </c>
      <c r="O57" s="50">
        <f t="shared" si="35"/>
        <v>235.19688809845354</v>
      </c>
      <c r="P57" s="50">
        <f t="shared" si="35"/>
        <v>241.07681030091487</v>
      </c>
      <c r="Q57" s="50">
        <f t="shared" si="35"/>
        <v>246.86265374813684</v>
      </c>
      <c r="R57" s="50">
        <f t="shared" si="35"/>
        <v>252.78735743809213</v>
      </c>
    </row>
    <row r="58" spans="1:18" x14ac:dyDescent="0.25">
      <c r="A58" s="48" t="s">
        <v>177</v>
      </c>
      <c r="B58" s="49"/>
      <c r="C58" s="50">
        <f t="shared" ref="C58:F58" si="36">C345</f>
        <v>0</v>
      </c>
      <c r="D58" s="50">
        <f t="shared" si="36"/>
        <v>0</v>
      </c>
      <c r="E58" s="50">
        <f t="shared" si="36"/>
        <v>50000</v>
      </c>
      <c r="F58" s="50">
        <f t="shared" si="36"/>
        <v>4500</v>
      </c>
      <c r="G58" s="50">
        <f>G345</f>
        <v>20000</v>
      </c>
      <c r="H58" s="50">
        <f>H345</f>
        <v>5000</v>
      </c>
      <c r="I58" s="50">
        <f t="shared" ref="I58:R58" si="37">I345</f>
        <v>5115</v>
      </c>
      <c r="J58" s="50">
        <f t="shared" si="37"/>
        <v>5237.76</v>
      </c>
      <c r="K58" s="50">
        <f t="shared" si="37"/>
        <v>5363.4662400000007</v>
      </c>
      <c r="L58" s="50">
        <f t="shared" si="37"/>
        <v>5486.8259635200002</v>
      </c>
      <c r="M58" s="50">
        <f t="shared" si="37"/>
        <v>5607.5361347174403</v>
      </c>
      <c r="N58" s="50">
        <f t="shared" si="37"/>
        <v>5736.5094658159405</v>
      </c>
      <c r="O58" s="50">
        <f t="shared" si="37"/>
        <v>5879.9222024613382</v>
      </c>
      <c r="P58" s="50">
        <f t="shared" si="37"/>
        <v>6026.920257522871</v>
      </c>
      <c r="Q58" s="50">
        <f t="shared" si="37"/>
        <v>6171.56634370342</v>
      </c>
      <c r="R58" s="50">
        <f t="shared" si="37"/>
        <v>6319.6839359523019</v>
      </c>
    </row>
    <row r="59" spans="1:18" x14ac:dyDescent="0.25">
      <c r="A59" s="41" t="s">
        <v>164</v>
      </c>
      <c r="B59" s="44"/>
      <c r="C59" s="51">
        <f t="shared" ref="C59:R59" si="38">SUM(C56:C58)</f>
        <v>311626</v>
      </c>
      <c r="D59" s="51">
        <f t="shared" si="38"/>
        <v>286624</v>
      </c>
      <c r="E59" s="51">
        <f t="shared" si="38"/>
        <v>371098.75</v>
      </c>
      <c r="F59" s="51">
        <f t="shared" si="38"/>
        <v>359385</v>
      </c>
      <c r="G59" s="51">
        <f t="shared" si="38"/>
        <v>372236</v>
      </c>
      <c r="H59" s="51">
        <f t="shared" si="38"/>
        <v>382200</v>
      </c>
      <c r="I59" s="51">
        <f t="shared" si="38"/>
        <v>390990.59999999992</v>
      </c>
      <c r="J59" s="51">
        <f t="shared" si="38"/>
        <v>400374.37440000015</v>
      </c>
      <c r="K59" s="51">
        <f t="shared" si="38"/>
        <v>409983.35938559991</v>
      </c>
      <c r="L59" s="51">
        <f t="shared" si="38"/>
        <v>419412.97665146872</v>
      </c>
      <c r="M59" s="51">
        <f t="shared" si="38"/>
        <v>428640.06213780103</v>
      </c>
      <c r="N59" s="51">
        <f t="shared" si="38"/>
        <v>438498.78356697049</v>
      </c>
      <c r="O59" s="51">
        <f t="shared" si="38"/>
        <v>449461.25315614464</v>
      </c>
      <c r="P59" s="51">
        <f t="shared" si="38"/>
        <v>460697.78448504838</v>
      </c>
      <c r="Q59" s="51">
        <f t="shared" si="38"/>
        <v>471754.53131268942</v>
      </c>
      <c r="R59" s="51">
        <f t="shared" si="38"/>
        <v>483076.64006419404</v>
      </c>
    </row>
    <row r="60" spans="1:18" x14ac:dyDescent="0.25">
      <c r="A60" s="48"/>
      <c r="B60" s="49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</row>
    <row r="61" spans="1:18" x14ac:dyDescent="0.25">
      <c r="A61" s="41" t="s">
        <v>165</v>
      </c>
      <c r="B61" s="44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</row>
    <row r="62" spans="1:18" x14ac:dyDescent="0.25">
      <c r="A62" s="41" t="s">
        <v>175</v>
      </c>
      <c r="B62" s="44"/>
      <c r="C62" s="50">
        <f t="shared" ref="C62:R62" si="39">C312</f>
        <v>897212</v>
      </c>
      <c r="D62" s="50">
        <f t="shared" si="39"/>
        <v>913968</v>
      </c>
      <c r="E62" s="50">
        <f t="shared" si="39"/>
        <v>1185220.3900000001</v>
      </c>
      <c r="F62" s="50">
        <f t="shared" si="39"/>
        <v>1531112</v>
      </c>
      <c r="G62" s="50">
        <f t="shared" si="39"/>
        <v>1180280</v>
      </c>
      <c r="H62" s="50">
        <f t="shared" si="39"/>
        <v>1108070</v>
      </c>
      <c r="I62" s="50">
        <f t="shared" si="39"/>
        <v>1103941.7</v>
      </c>
      <c r="J62" s="50">
        <f t="shared" si="39"/>
        <v>1134122.5432999998</v>
      </c>
      <c r="K62" s="50">
        <f t="shared" si="39"/>
        <v>1166169.0688366999</v>
      </c>
      <c r="L62" s="50">
        <f t="shared" si="39"/>
        <v>1199539.8870441187</v>
      </c>
      <c r="M62" s="50">
        <f t="shared" si="39"/>
        <v>1234005.1671208623</v>
      </c>
      <c r="N62" s="50">
        <f t="shared" si="39"/>
        <v>1266542.4396552667</v>
      </c>
      <c r="O62" s="50">
        <f t="shared" si="39"/>
        <v>1303123.4554479918</v>
      </c>
      <c r="P62" s="50">
        <f t="shared" si="39"/>
        <v>1343761.1010048883</v>
      </c>
      <c r="Q62" s="50">
        <f t="shared" si="39"/>
        <v>1383266.6070762284</v>
      </c>
      <c r="R62" s="50">
        <f t="shared" si="39"/>
        <v>1424142.9960812861</v>
      </c>
    </row>
    <row r="63" spans="1:18" x14ac:dyDescent="0.25">
      <c r="A63" s="41" t="s">
        <v>176</v>
      </c>
      <c r="B63" s="44"/>
      <c r="C63" s="50">
        <f t="shared" ref="C63:R63" si="40">C332</f>
        <v>44671</v>
      </c>
      <c r="D63" s="50">
        <f t="shared" si="40"/>
        <v>44363</v>
      </c>
      <c r="E63" s="50">
        <f t="shared" si="40"/>
        <v>42627.7</v>
      </c>
      <c r="F63" s="50">
        <f t="shared" si="40"/>
        <v>45485</v>
      </c>
      <c r="G63" s="50">
        <f t="shared" si="40"/>
        <v>49386</v>
      </c>
      <c r="H63" s="50">
        <f t="shared" si="40"/>
        <v>48400</v>
      </c>
      <c r="I63" s="50">
        <f t="shared" si="40"/>
        <v>49535.4</v>
      </c>
      <c r="J63" s="50">
        <f t="shared" si="40"/>
        <v>50781.1371</v>
      </c>
      <c r="K63" s="50">
        <f t="shared" si="40"/>
        <v>52081.836522899997</v>
      </c>
      <c r="L63" s="50">
        <f t="shared" si="40"/>
        <v>53400.422546651695</v>
      </c>
      <c r="M63" s="50">
        <f t="shared" si="40"/>
        <v>54699.918851265968</v>
      </c>
      <c r="N63" s="50">
        <f t="shared" si="40"/>
        <v>56048.090879848998</v>
      </c>
      <c r="O63" s="50">
        <f t="shared" si="40"/>
        <v>57542.069263699246</v>
      </c>
      <c r="P63" s="50">
        <f t="shared" si="40"/>
        <v>59103.721641991768</v>
      </c>
      <c r="Q63" s="50">
        <f t="shared" si="40"/>
        <v>60663.639926608281</v>
      </c>
      <c r="R63" s="50">
        <f t="shared" si="40"/>
        <v>62265.804834872695</v>
      </c>
    </row>
    <row r="64" spans="1:18" x14ac:dyDescent="0.25">
      <c r="A64" s="48" t="s">
        <v>177</v>
      </c>
      <c r="B64" s="44"/>
      <c r="C64" s="50">
        <f t="shared" ref="C64:R64" si="41">C364</f>
        <v>38437</v>
      </c>
      <c r="D64" s="50">
        <f t="shared" si="41"/>
        <v>152336</v>
      </c>
      <c r="E64" s="50">
        <f t="shared" si="41"/>
        <v>46443.81</v>
      </c>
      <c r="F64" s="50">
        <f t="shared" si="41"/>
        <v>28479</v>
      </c>
      <c r="G64" s="50">
        <f t="shared" si="41"/>
        <v>37016</v>
      </c>
      <c r="H64" s="50">
        <f t="shared" si="41"/>
        <v>154270</v>
      </c>
      <c r="I64" s="50">
        <f t="shared" si="41"/>
        <v>35084.699999999997</v>
      </c>
      <c r="J64" s="50">
        <f t="shared" si="41"/>
        <v>36035.49029999999</v>
      </c>
      <c r="K64" s="50">
        <f t="shared" si="41"/>
        <v>37149.390169699989</v>
      </c>
      <c r="L64" s="50">
        <f t="shared" si="41"/>
        <v>38265.417677428086</v>
      </c>
      <c r="M64" s="50">
        <f t="shared" si="41"/>
        <v>85509.679670772719</v>
      </c>
      <c r="N64" s="50">
        <f t="shared" si="41"/>
        <v>40553.326537128851</v>
      </c>
      <c r="O64" s="50">
        <f t="shared" si="41"/>
        <v>41757.073861503261</v>
      </c>
      <c r="P64" s="50">
        <f t="shared" si="41"/>
        <v>43213.857669022007</v>
      </c>
      <c r="Q64" s="50">
        <f t="shared" si="41"/>
        <v>44505.664250472466</v>
      </c>
      <c r="R64" s="50">
        <f t="shared" si="41"/>
        <v>97891.240785789123</v>
      </c>
    </row>
    <row r="65" spans="1:18" x14ac:dyDescent="0.25">
      <c r="A65" s="41" t="s">
        <v>166</v>
      </c>
      <c r="B65" s="44"/>
      <c r="C65" s="51">
        <f t="shared" ref="C65:R65" si="42">SUM(C62:C64)</f>
        <v>980320</v>
      </c>
      <c r="D65" s="51">
        <f t="shared" si="42"/>
        <v>1110667</v>
      </c>
      <c r="E65" s="51">
        <f t="shared" si="42"/>
        <v>1274291.9000000001</v>
      </c>
      <c r="F65" s="51">
        <f t="shared" si="42"/>
        <v>1605076</v>
      </c>
      <c r="G65" s="51">
        <f t="shared" si="42"/>
        <v>1266682</v>
      </c>
      <c r="H65" s="51">
        <f t="shared" si="42"/>
        <v>1310740</v>
      </c>
      <c r="I65" s="51">
        <f t="shared" si="42"/>
        <v>1188561.7999999998</v>
      </c>
      <c r="J65" s="51">
        <f t="shared" si="42"/>
        <v>1220939.1706999997</v>
      </c>
      <c r="K65" s="51">
        <f t="shared" si="42"/>
        <v>1255400.2955292999</v>
      </c>
      <c r="L65" s="51">
        <f t="shared" si="42"/>
        <v>1291205.7272681985</v>
      </c>
      <c r="M65" s="51">
        <f t="shared" si="42"/>
        <v>1374214.765642901</v>
      </c>
      <c r="N65" s="51">
        <f t="shared" si="42"/>
        <v>1363143.8570722444</v>
      </c>
      <c r="O65" s="51">
        <f t="shared" si="42"/>
        <v>1402422.5985731944</v>
      </c>
      <c r="P65" s="51">
        <f t="shared" si="42"/>
        <v>1446078.680315902</v>
      </c>
      <c r="Q65" s="51">
        <f t="shared" si="42"/>
        <v>1488435.9112533091</v>
      </c>
      <c r="R65" s="51">
        <f t="shared" si="42"/>
        <v>1584300.041701948</v>
      </c>
    </row>
    <row r="66" spans="1:18" x14ac:dyDescent="0.25">
      <c r="A66" s="48"/>
      <c r="B66" s="49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</row>
    <row r="67" spans="1:18" x14ac:dyDescent="0.25">
      <c r="A67" s="48" t="s">
        <v>167</v>
      </c>
      <c r="B67" s="49"/>
      <c r="C67" s="51">
        <f t="shared" ref="C67:R67" si="43">C59-C65</f>
        <v>-668694</v>
      </c>
      <c r="D67" s="51">
        <f t="shared" si="43"/>
        <v>-824043</v>
      </c>
      <c r="E67" s="51">
        <f t="shared" si="43"/>
        <v>-903193.15000000014</v>
      </c>
      <c r="F67" s="51">
        <f t="shared" si="43"/>
        <v>-1245691</v>
      </c>
      <c r="G67" s="51">
        <f t="shared" si="43"/>
        <v>-894446</v>
      </c>
      <c r="H67" s="51">
        <f t="shared" si="43"/>
        <v>-928540</v>
      </c>
      <c r="I67" s="51">
        <f t="shared" si="43"/>
        <v>-797571.2</v>
      </c>
      <c r="J67" s="51">
        <f t="shared" si="43"/>
        <v>-820564.79629999958</v>
      </c>
      <c r="K67" s="51">
        <f t="shared" si="43"/>
        <v>-845416.93614370003</v>
      </c>
      <c r="L67" s="51">
        <f t="shared" si="43"/>
        <v>-871792.75061672973</v>
      </c>
      <c r="M67" s="51">
        <f t="shared" si="43"/>
        <v>-945574.70350509998</v>
      </c>
      <c r="N67" s="51">
        <f t="shared" si="43"/>
        <v>-924645.0735052739</v>
      </c>
      <c r="O67" s="51">
        <f t="shared" si="43"/>
        <v>-952961.34541704971</v>
      </c>
      <c r="P67" s="51">
        <f t="shared" si="43"/>
        <v>-985380.89583085361</v>
      </c>
      <c r="Q67" s="51">
        <f t="shared" si="43"/>
        <v>-1016681.3799406197</v>
      </c>
      <c r="R67" s="51">
        <f t="shared" si="43"/>
        <v>-1101223.4016377539</v>
      </c>
    </row>
    <row r="68" spans="1:18" x14ac:dyDescent="0.25">
      <c r="A68" s="48"/>
      <c r="B68" s="49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</row>
    <row r="69" spans="1:18" x14ac:dyDescent="0.25">
      <c r="A69" s="48" t="s">
        <v>168</v>
      </c>
      <c r="B69" s="49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</row>
    <row r="70" spans="1:18" x14ac:dyDescent="0.25">
      <c r="A70" s="48"/>
      <c r="B70" s="49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</row>
    <row r="71" spans="1:18" x14ac:dyDescent="0.25">
      <c r="A71" s="48" t="s">
        <v>169</v>
      </c>
      <c r="B71" s="49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</row>
    <row r="72" spans="1:18" x14ac:dyDescent="0.25">
      <c r="A72" s="41" t="s">
        <v>175</v>
      </c>
      <c r="B72" s="44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</row>
    <row r="73" spans="1:18" x14ac:dyDescent="0.25">
      <c r="A73" s="41" t="s">
        <v>176</v>
      </c>
      <c r="B73" s="44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</row>
    <row r="74" spans="1:18" x14ac:dyDescent="0.25">
      <c r="A74" s="48" t="s">
        <v>177</v>
      </c>
      <c r="B74" s="44"/>
      <c r="C74" s="50">
        <f>C371</f>
        <v>10735</v>
      </c>
      <c r="D74" s="50">
        <f t="shared" ref="D74:R74" si="44">D371</f>
        <v>148804</v>
      </c>
      <c r="E74" s="50">
        <f t="shared" si="44"/>
        <v>12176</v>
      </c>
      <c r="F74" s="50">
        <f t="shared" si="44"/>
        <v>0</v>
      </c>
      <c r="G74" s="50">
        <f t="shared" si="44"/>
        <v>0</v>
      </c>
      <c r="H74" s="50">
        <f t="shared" si="44"/>
        <v>0</v>
      </c>
      <c r="I74" s="50">
        <f t="shared" si="44"/>
        <v>0</v>
      </c>
      <c r="J74" s="50">
        <f t="shared" si="44"/>
        <v>0</v>
      </c>
      <c r="K74" s="50">
        <f t="shared" si="44"/>
        <v>0</v>
      </c>
      <c r="L74" s="50">
        <f t="shared" si="44"/>
        <v>0</v>
      </c>
      <c r="M74" s="50">
        <f t="shared" si="44"/>
        <v>0</v>
      </c>
      <c r="N74" s="50">
        <f t="shared" si="44"/>
        <v>0</v>
      </c>
      <c r="O74" s="50">
        <f t="shared" si="44"/>
        <v>0</v>
      </c>
      <c r="P74" s="50">
        <f t="shared" si="44"/>
        <v>0</v>
      </c>
      <c r="Q74" s="50">
        <f t="shared" si="44"/>
        <v>0</v>
      </c>
      <c r="R74" s="50">
        <f t="shared" si="44"/>
        <v>0</v>
      </c>
    </row>
    <row r="75" spans="1:18" x14ac:dyDescent="0.25">
      <c r="A75" s="41" t="s">
        <v>170</v>
      </c>
      <c r="B75" s="44"/>
      <c r="C75" s="51">
        <f t="shared" ref="C75:R75" si="45">SUM(C72:C74)</f>
        <v>10735</v>
      </c>
      <c r="D75" s="51">
        <f t="shared" si="45"/>
        <v>148804</v>
      </c>
      <c r="E75" s="51">
        <f t="shared" si="45"/>
        <v>12176</v>
      </c>
      <c r="F75" s="51">
        <f t="shared" si="45"/>
        <v>0</v>
      </c>
      <c r="G75" s="51">
        <f t="shared" si="45"/>
        <v>0</v>
      </c>
      <c r="H75" s="51">
        <f t="shared" si="45"/>
        <v>0</v>
      </c>
      <c r="I75" s="51">
        <f t="shared" si="45"/>
        <v>0</v>
      </c>
      <c r="J75" s="51">
        <f t="shared" si="45"/>
        <v>0</v>
      </c>
      <c r="K75" s="51">
        <f t="shared" si="45"/>
        <v>0</v>
      </c>
      <c r="L75" s="51">
        <f t="shared" si="45"/>
        <v>0</v>
      </c>
      <c r="M75" s="51">
        <f t="shared" si="45"/>
        <v>0</v>
      </c>
      <c r="N75" s="51">
        <f t="shared" si="45"/>
        <v>0</v>
      </c>
      <c r="O75" s="51">
        <f t="shared" si="45"/>
        <v>0</v>
      </c>
      <c r="P75" s="51">
        <f t="shared" si="45"/>
        <v>0</v>
      </c>
      <c r="Q75" s="51">
        <f t="shared" si="45"/>
        <v>0</v>
      </c>
      <c r="R75" s="51">
        <f t="shared" si="45"/>
        <v>0</v>
      </c>
    </row>
    <row r="76" spans="1:18" x14ac:dyDescent="0.25">
      <c r="A76" s="48"/>
      <c r="B76" s="49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</row>
    <row r="77" spans="1:18" x14ac:dyDescent="0.25">
      <c r="A77" s="41" t="s">
        <v>171</v>
      </c>
      <c r="B77" s="44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</row>
    <row r="78" spans="1:18" x14ac:dyDescent="0.25">
      <c r="A78" s="41" t="s">
        <v>175</v>
      </c>
      <c r="B78" s="44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</row>
    <row r="79" spans="1:18" x14ac:dyDescent="0.25">
      <c r="A79" s="41" t="s">
        <v>176</v>
      </c>
      <c r="B79" s="44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</row>
    <row r="80" spans="1:18" x14ac:dyDescent="0.25">
      <c r="A80" s="48" t="s">
        <v>177</v>
      </c>
      <c r="B80" s="49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</row>
    <row r="81" spans="1:18" x14ac:dyDescent="0.25">
      <c r="A81" s="41" t="s">
        <v>172</v>
      </c>
      <c r="B81" s="44"/>
      <c r="C81" s="51">
        <f t="shared" ref="C81:R81" si="46">SUM(C78:C80)</f>
        <v>0</v>
      </c>
      <c r="D81" s="51">
        <f t="shared" si="46"/>
        <v>0</v>
      </c>
      <c r="E81" s="51">
        <f t="shared" si="46"/>
        <v>0</v>
      </c>
      <c r="F81" s="51">
        <f t="shared" si="46"/>
        <v>0</v>
      </c>
      <c r="G81" s="51">
        <f t="shared" si="46"/>
        <v>0</v>
      </c>
      <c r="H81" s="51">
        <f t="shared" si="46"/>
        <v>0</v>
      </c>
      <c r="I81" s="51">
        <f t="shared" si="46"/>
        <v>0</v>
      </c>
      <c r="J81" s="51">
        <f t="shared" si="46"/>
        <v>0</v>
      </c>
      <c r="K81" s="51">
        <f t="shared" si="46"/>
        <v>0</v>
      </c>
      <c r="L81" s="51">
        <f t="shared" si="46"/>
        <v>0</v>
      </c>
      <c r="M81" s="51">
        <f t="shared" si="46"/>
        <v>0</v>
      </c>
      <c r="N81" s="51">
        <f t="shared" si="46"/>
        <v>0</v>
      </c>
      <c r="O81" s="51">
        <f t="shared" si="46"/>
        <v>0</v>
      </c>
      <c r="P81" s="51">
        <f t="shared" si="46"/>
        <v>0</v>
      </c>
      <c r="Q81" s="51">
        <f t="shared" si="46"/>
        <v>0</v>
      </c>
      <c r="R81" s="51">
        <f t="shared" si="46"/>
        <v>0</v>
      </c>
    </row>
    <row r="82" spans="1:18" x14ac:dyDescent="0.25">
      <c r="A82" s="48"/>
      <c r="B82" s="49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</row>
    <row r="83" spans="1:18" x14ac:dyDescent="0.25">
      <c r="A83" s="48" t="s">
        <v>173</v>
      </c>
      <c r="B83" s="49"/>
      <c r="C83" s="51">
        <f t="shared" ref="C83:R83" si="47">C75-C81</f>
        <v>10735</v>
      </c>
      <c r="D83" s="51">
        <f t="shared" si="47"/>
        <v>148804</v>
      </c>
      <c r="E83" s="51">
        <f t="shared" si="47"/>
        <v>12176</v>
      </c>
      <c r="F83" s="51">
        <f t="shared" si="47"/>
        <v>0</v>
      </c>
      <c r="G83" s="51">
        <f t="shared" si="47"/>
        <v>0</v>
      </c>
      <c r="H83" s="51">
        <f t="shared" si="47"/>
        <v>0</v>
      </c>
      <c r="I83" s="51">
        <f t="shared" si="47"/>
        <v>0</v>
      </c>
      <c r="J83" s="51">
        <f t="shared" si="47"/>
        <v>0</v>
      </c>
      <c r="K83" s="51">
        <f t="shared" si="47"/>
        <v>0</v>
      </c>
      <c r="L83" s="51">
        <f t="shared" si="47"/>
        <v>0</v>
      </c>
      <c r="M83" s="51">
        <f t="shared" si="47"/>
        <v>0</v>
      </c>
      <c r="N83" s="51">
        <f t="shared" si="47"/>
        <v>0</v>
      </c>
      <c r="O83" s="51">
        <f t="shared" si="47"/>
        <v>0</v>
      </c>
      <c r="P83" s="51">
        <f t="shared" si="47"/>
        <v>0</v>
      </c>
      <c r="Q83" s="51">
        <f t="shared" si="47"/>
        <v>0</v>
      </c>
      <c r="R83" s="51">
        <f t="shared" si="47"/>
        <v>0</v>
      </c>
    </row>
    <row r="84" spans="1:18" x14ac:dyDescent="0.25">
      <c r="A84" s="48"/>
      <c r="B84" s="49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</row>
    <row r="85" spans="1:18" x14ac:dyDescent="0.25">
      <c r="A85" s="48" t="s">
        <v>178</v>
      </c>
      <c r="B85" s="49"/>
      <c r="C85" s="51">
        <f t="shared" ref="C85:R85" si="48">C83+C67</f>
        <v>-657959</v>
      </c>
      <c r="D85" s="51">
        <f t="shared" si="48"/>
        <v>-675239</v>
      </c>
      <c r="E85" s="51">
        <f t="shared" si="48"/>
        <v>-891017.15000000014</v>
      </c>
      <c r="F85" s="51">
        <f t="shared" si="48"/>
        <v>-1245691</v>
      </c>
      <c r="G85" s="51">
        <f t="shared" si="48"/>
        <v>-894446</v>
      </c>
      <c r="H85" s="51">
        <f t="shared" si="48"/>
        <v>-928540</v>
      </c>
      <c r="I85" s="51">
        <f t="shared" si="48"/>
        <v>-797571.2</v>
      </c>
      <c r="J85" s="51">
        <f t="shared" si="48"/>
        <v>-820564.79629999958</v>
      </c>
      <c r="K85" s="51">
        <f t="shared" si="48"/>
        <v>-845416.93614370003</v>
      </c>
      <c r="L85" s="51">
        <f t="shared" si="48"/>
        <v>-871792.75061672973</v>
      </c>
      <c r="M85" s="51">
        <f t="shared" si="48"/>
        <v>-945574.70350509998</v>
      </c>
      <c r="N85" s="51">
        <f t="shared" si="48"/>
        <v>-924645.0735052739</v>
      </c>
      <c r="O85" s="51">
        <f t="shared" si="48"/>
        <v>-952961.34541704971</v>
      </c>
      <c r="P85" s="51">
        <f t="shared" si="48"/>
        <v>-985380.89583085361</v>
      </c>
      <c r="Q85" s="51">
        <f t="shared" si="48"/>
        <v>-1016681.3799406197</v>
      </c>
      <c r="R85" s="51">
        <f t="shared" si="48"/>
        <v>-1101223.4016377539</v>
      </c>
    </row>
    <row r="86" spans="1:18" x14ac:dyDescent="0.25">
      <c r="A86" s="48"/>
      <c r="B86" s="49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</row>
    <row r="87" spans="1:18" x14ac:dyDescent="0.25">
      <c r="A87" s="48"/>
      <c r="B87" s="49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</row>
    <row r="88" spans="1:18" x14ac:dyDescent="0.25">
      <c r="A88" s="48" t="s">
        <v>160</v>
      </c>
      <c r="B88" s="49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</row>
    <row r="89" spans="1:18" x14ac:dyDescent="0.25">
      <c r="A89" s="48"/>
      <c r="B89" s="49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</row>
    <row r="90" spans="1:18" x14ac:dyDescent="0.25">
      <c r="A90" s="48" t="s">
        <v>157</v>
      </c>
      <c r="B90" s="49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</row>
    <row r="91" spans="1:18" x14ac:dyDescent="0.25">
      <c r="A91" s="48"/>
      <c r="B91" s="49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</row>
    <row r="92" spans="1:18" x14ac:dyDescent="0.25">
      <c r="A92" s="48" t="s">
        <v>158</v>
      </c>
      <c r="B92" s="49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</row>
    <row r="93" spans="1:18" x14ac:dyDescent="0.25">
      <c r="A93" s="41" t="s">
        <v>179</v>
      </c>
      <c r="B93" s="44"/>
      <c r="C93" s="50">
        <f t="shared" ref="C93:R93" si="49">C399</f>
        <v>216456</v>
      </c>
      <c r="D93" s="50">
        <f t="shared" si="49"/>
        <v>203680</v>
      </c>
      <c r="E93" s="50">
        <f t="shared" si="49"/>
        <v>203946.03</v>
      </c>
      <c r="F93" s="50">
        <f t="shared" si="49"/>
        <v>233417</v>
      </c>
      <c r="G93" s="50">
        <f t="shared" si="49"/>
        <v>204575</v>
      </c>
      <c r="H93" s="50">
        <f t="shared" si="49"/>
        <v>243873</v>
      </c>
      <c r="I93" s="50">
        <f t="shared" si="49"/>
        <v>229276</v>
      </c>
      <c r="J93" s="50">
        <f t="shared" si="49"/>
        <v>255086.62400000001</v>
      </c>
      <c r="K93" s="50">
        <f t="shared" si="49"/>
        <v>240481.10297600002</v>
      </c>
      <c r="L93" s="50">
        <f t="shared" si="49"/>
        <v>267146.93834444799</v>
      </c>
      <c r="M93" s="50">
        <f t="shared" si="49"/>
        <v>251401.39098802584</v>
      </c>
      <c r="N93" s="50">
        <f t="shared" si="49"/>
        <v>279263.21298075037</v>
      </c>
      <c r="O93" s="50">
        <f t="shared" si="49"/>
        <v>263732.04330526915</v>
      </c>
      <c r="P93" s="50">
        <f t="shared" si="49"/>
        <v>292521.5943879009</v>
      </c>
      <c r="Q93" s="50">
        <f t="shared" si="49"/>
        <v>276782.27265321056</v>
      </c>
      <c r="R93" s="50">
        <f t="shared" si="49"/>
        <v>306808.88719688752</v>
      </c>
    </row>
    <row r="94" spans="1:18" x14ac:dyDescent="0.25">
      <c r="A94" s="41" t="s">
        <v>180</v>
      </c>
      <c r="B94" s="44"/>
      <c r="C94" s="50">
        <f t="shared" ref="C94:R94" si="50">C454</f>
        <v>137188</v>
      </c>
      <c r="D94" s="50">
        <f t="shared" si="50"/>
        <v>140570</v>
      </c>
      <c r="E94" s="50">
        <f t="shared" si="50"/>
        <v>152402.04</v>
      </c>
      <c r="F94" s="50">
        <f t="shared" si="50"/>
        <v>147639</v>
      </c>
      <c r="G94" s="50">
        <f t="shared" si="50"/>
        <v>150959</v>
      </c>
      <c r="H94" s="50">
        <f t="shared" si="50"/>
        <v>95100</v>
      </c>
      <c r="I94" s="50">
        <f t="shared" si="50"/>
        <v>97287.299999999988</v>
      </c>
      <c r="J94" s="50">
        <f t="shared" si="50"/>
        <v>99622.195200000002</v>
      </c>
      <c r="K94" s="50">
        <f t="shared" si="50"/>
        <v>102013.12788480001</v>
      </c>
      <c r="L94" s="50">
        <f t="shared" si="50"/>
        <v>104359.42982615039</v>
      </c>
      <c r="M94" s="50">
        <f t="shared" si="50"/>
        <v>106655.33728232571</v>
      </c>
      <c r="N94" s="50">
        <f t="shared" si="50"/>
        <v>109108.41003981918</v>
      </c>
      <c r="O94" s="50">
        <f t="shared" si="50"/>
        <v>111836.12029081467</v>
      </c>
      <c r="P94" s="50">
        <f t="shared" si="50"/>
        <v>114632.02329808503</v>
      </c>
      <c r="Q94" s="50">
        <f t="shared" si="50"/>
        <v>117383.19185723907</v>
      </c>
      <c r="R94" s="50">
        <f t="shared" si="50"/>
        <v>120200.38846181279</v>
      </c>
    </row>
    <row r="95" spans="1:18" x14ac:dyDescent="0.25">
      <c r="A95" s="41" t="s">
        <v>181</v>
      </c>
      <c r="B95" s="44"/>
      <c r="C95" s="50">
        <f t="shared" ref="C95:R95" si="51">C555</f>
        <v>3389</v>
      </c>
      <c r="D95" s="50">
        <f t="shared" si="51"/>
        <v>1417</v>
      </c>
      <c r="E95" s="50">
        <f t="shared" si="51"/>
        <v>2930</v>
      </c>
      <c r="F95" s="50">
        <f t="shared" si="51"/>
        <v>2394</v>
      </c>
      <c r="G95" s="50">
        <f t="shared" si="51"/>
        <v>1425</v>
      </c>
      <c r="H95" s="50">
        <f t="shared" si="51"/>
        <v>1400</v>
      </c>
      <c r="I95" s="50">
        <f t="shared" si="51"/>
        <v>1432.1999999999998</v>
      </c>
      <c r="J95" s="50">
        <f t="shared" si="51"/>
        <v>1466.5727999999999</v>
      </c>
      <c r="K95" s="50">
        <f t="shared" si="51"/>
        <v>1501.7705472</v>
      </c>
      <c r="L95" s="50">
        <f t="shared" si="51"/>
        <v>1536.3112697856</v>
      </c>
      <c r="M95" s="50">
        <f t="shared" si="51"/>
        <v>1570.1101177208832</v>
      </c>
      <c r="N95" s="50">
        <f t="shared" si="51"/>
        <v>1606.2226504284633</v>
      </c>
      <c r="O95" s="50">
        <f t="shared" si="51"/>
        <v>1646.3782166891747</v>
      </c>
      <c r="P95" s="50">
        <f t="shared" si="51"/>
        <v>1687.537672106404</v>
      </c>
      <c r="Q95" s="50">
        <f t="shared" si="51"/>
        <v>1728.0385762369576</v>
      </c>
      <c r="R95" s="50">
        <f t="shared" si="51"/>
        <v>1769.5115020666447</v>
      </c>
    </row>
    <row r="96" spans="1:18" x14ac:dyDescent="0.25">
      <c r="A96" s="41" t="s">
        <v>182</v>
      </c>
      <c r="B96" s="44"/>
      <c r="C96" s="50">
        <f t="shared" ref="C96:R96" si="52">C599</f>
        <v>71817</v>
      </c>
      <c r="D96" s="50">
        <f t="shared" si="52"/>
        <v>79216</v>
      </c>
      <c r="E96" s="50">
        <f t="shared" si="52"/>
        <v>74646</v>
      </c>
      <c r="F96" s="50">
        <f t="shared" si="52"/>
        <v>124750</v>
      </c>
      <c r="G96" s="50">
        <f t="shared" si="52"/>
        <v>121161</v>
      </c>
      <c r="H96" s="50">
        <f t="shared" si="52"/>
        <v>123880</v>
      </c>
      <c r="I96" s="50">
        <f t="shared" si="52"/>
        <v>126738.19999999998</v>
      </c>
      <c r="J96" s="50">
        <f t="shared" si="52"/>
        <v>129867.91679999998</v>
      </c>
      <c r="K96" s="50">
        <f t="shared" si="52"/>
        <v>132990.34680319999</v>
      </c>
      <c r="L96" s="50">
        <f t="shared" si="52"/>
        <v>135994.86477967357</v>
      </c>
      <c r="M96" s="50">
        <f t="shared" si="52"/>
        <v>138933.99180482639</v>
      </c>
      <c r="N96" s="50">
        <f t="shared" si="52"/>
        <v>142197.05361633739</v>
      </c>
      <c r="O96" s="50">
        <f t="shared" si="52"/>
        <v>145816.47995674581</v>
      </c>
      <c r="P96" s="50">
        <f t="shared" si="52"/>
        <v>149464.39195566444</v>
      </c>
      <c r="Q96" s="50">
        <f t="shared" si="52"/>
        <v>152994.25736260039</v>
      </c>
      <c r="R96" s="50">
        <f t="shared" si="52"/>
        <v>156649.7995393028</v>
      </c>
    </row>
    <row r="97" spans="1:18" x14ac:dyDescent="0.25">
      <c r="A97" s="41" t="s">
        <v>183</v>
      </c>
      <c r="B97" s="44"/>
      <c r="C97" s="50">
        <f t="shared" ref="C97:R97" si="53">C679</f>
        <v>45740</v>
      </c>
      <c r="D97" s="50">
        <f t="shared" si="53"/>
        <v>46958</v>
      </c>
      <c r="E97" s="50">
        <f t="shared" si="53"/>
        <v>47324</v>
      </c>
      <c r="F97" s="50">
        <f t="shared" si="53"/>
        <v>47768</v>
      </c>
      <c r="G97" s="50">
        <f t="shared" si="53"/>
        <v>47957</v>
      </c>
      <c r="H97" s="50">
        <f t="shared" si="53"/>
        <v>50400</v>
      </c>
      <c r="I97" s="50">
        <f t="shared" si="53"/>
        <v>44835</v>
      </c>
      <c r="J97" s="50">
        <f t="shared" si="53"/>
        <v>45911.040000000001</v>
      </c>
      <c r="K97" s="50">
        <f t="shared" si="53"/>
        <v>47012.904960000007</v>
      </c>
      <c r="L97" s="50">
        <f t="shared" si="53"/>
        <v>48094.20177408</v>
      </c>
      <c r="M97" s="50">
        <f t="shared" si="53"/>
        <v>49152.274213109755</v>
      </c>
      <c r="N97" s="50">
        <f t="shared" si="53"/>
        <v>50282.776520011277</v>
      </c>
      <c r="O97" s="50">
        <f t="shared" si="53"/>
        <v>51539.845933011551</v>
      </c>
      <c r="P97" s="50">
        <f t="shared" si="53"/>
        <v>52828.342081336836</v>
      </c>
      <c r="Q97" s="50">
        <f t="shared" si="53"/>
        <v>54096.222291288919</v>
      </c>
      <c r="R97" s="50">
        <f t="shared" si="53"/>
        <v>55394.531626279851</v>
      </c>
    </row>
    <row r="98" spans="1:18" x14ac:dyDescent="0.25">
      <c r="A98" s="41" t="s">
        <v>184</v>
      </c>
      <c r="B98" s="44"/>
      <c r="C98" s="50">
        <f t="shared" ref="C98:R98" si="54">C717</f>
        <v>421635</v>
      </c>
      <c r="D98" s="50">
        <f t="shared" si="54"/>
        <v>455353</v>
      </c>
      <c r="E98" s="50">
        <f t="shared" si="54"/>
        <v>436163</v>
      </c>
      <c r="F98" s="50">
        <f t="shared" si="54"/>
        <v>454962</v>
      </c>
      <c r="G98" s="50">
        <f t="shared" si="54"/>
        <v>664004</v>
      </c>
      <c r="H98" s="50">
        <f t="shared" si="54"/>
        <v>442500</v>
      </c>
      <c r="I98" s="50">
        <f t="shared" si="54"/>
        <v>472217.49999999994</v>
      </c>
      <c r="J98" s="50">
        <f t="shared" si="54"/>
        <v>483550.71999999997</v>
      </c>
      <c r="K98" s="50">
        <f t="shared" si="54"/>
        <v>495155.93727999995</v>
      </c>
      <c r="L98" s="50">
        <f t="shared" si="54"/>
        <v>506544.52383744001</v>
      </c>
      <c r="M98" s="50">
        <f t="shared" si="54"/>
        <v>517688.50336186367</v>
      </c>
      <c r="N98" s="50">
        <f t="shared" si="54"/>
        <v>529595.33893918642</v>
      </c>
      <c r="O98" s="50">
        <f t="shared" si="54"/>
        <v>542835.22241266607</v>
      </c>
      <c r="P98" s="50">
        <f t="shared" si="54"/>
        <v>556406.10297298268</v>
      </c>
      <c r="Q98" s="50">
        <f t="shared" si="54"/>
        <v>569759.84944433428</v>
      </c>
      <c r="R98" s="50">
        <f t="shared" si="54"/>
        <v>583434.08583099837</v>
      </c>
    </row>
    <row r="99" spans="1:18" x14ac:dyDescent="0.25">
      <c r="A99" s="41" t="s">
        <v>185</v>
      </c>
      <c r="B99" s="44"/>
      <c r="C99" s="50">
        <f t="shared" ref="C99:F99" si="55">C977</f>
        <v>173138</v>
      </c>
      <c r="D99" s="50">
        <f t="shared" si="55"/>
        <v>161261</v>
      </c>
      <c r="E99" s="50">
        <f t="shared" si="55"/>
        <v>146127</v>
      </c>
      <c r="F99" s="50">
        <f t="shared" si="55"/>
        <v>134513</v>
      </c>
      <c r="G99" s="50">
        <f>G977</f>
        <v>143184</v>
      </c>
      <c r="H99" s="50">
        <f>H977</f>
        <v>353100</v>
      </c>
      <c r="I99" s="50">
        <f t="shared" ref="I99:R99" si="56">I977</f>
        <v>361221.29999999993</v>
      </c>
      <c r="J99" s="50">
        <f t="shared" si="56"/>
        <v>369890.61119999993</v>
      </c>
      <c r="K99" s="50">
        <f t="shared" si="56"/>
        <v>378767.98586879997</v>
      </c>
      <c r="L99" s="50">
        <f t="shared" si="56"/>
        <v>387479.64954378235</v>
      </c>
      <c r="M99" s="50">
        <f t="shared" si="56"/>
        <v>396004.20183374558</v>
      </c>
      <c r="N99" s="50">
        <f t="shared" si="56"/>
        <v>405112.29847592174</v>
      </c>
      <c r="O99" s="50">
        <f t="shared" si="56"/>
        <v>415240.1059378197</v>
      </c>
      <c r="P99" s="50">
        <f t="shared" si="56"/>
        <v>425621.10858626518</v>
      </c>
      <c r="Q99" s="50">
        <f t="shared" si="56"/>
        <v>435836.01519233559</v>
      </c>
      <c r="R99" s="50">
        <f t="shared" si="56"/>
        <v>446296.07955695159</v>
      </c>
    </row>
    <row r="100" spans="1:18" x14ac:dyDescent="0.25">
      <c r="A100" s="41" t="s">
        <v>186</v>
      </c>
      <c r="B100" s="44"/>
      <c r="C100" s="50">
        <f t="shared" ref="C100:F100" si="57">C1076</f>
        <v>27269</v>
      </c>
      <c r="D100" s="50">
        <f t="shared" si="57"/>
        <v>6581</v>
      </c>
      <c r="E100" s="50">
        <f t="shared" si="57"/>
        <v>34073</v>
      </c>
      <c r="F100" s="50">
        <f t="shared" si="57"/>
        <v>2084</v>
      </c>
      <c r="G100" s="50">
        <f>G1076</f>
        <v>1574</v>
      </c>
      <c r="H100" s="50">
        <f>H1076</f>
        <v>2700</v>
      </c>
      <c r="I100" s="50">
        <f t="shared" ref="I100:R100" si="58">I1076</f>
        <v>2762.1</v>
      </c>
      <c r="J100" s="50">
        <f t="shared" si="58"/>
        <v>2828.3904000000002</v>
      </c>
      <c r="K100" s="50">
        <f t="shared" si="58"/>
        <v>2896.2717696000004</v>
      </c>
      <c r="L100" s="50">
        <f t="shared" si="58"/>
        <v>2962.8860203008003</v>
      </c>
      <c r="M100" s="50">
        <f t="shared" si="58"/>
        <v>3028.0695127474178</v>
      </c>
      <c r="N100" s="50">
        <f t="shared" si="58"/>
        <v>3097.7151115406077</v>
      </c>
      <c r="O100" s="50">
        <f t="shared" si="58"/>
        <v>3175.1579893291228</v>
      </c>
      <c r="P100" s="50">
        <f t="shared" si="58"/>
        <v>3254.5369390623505</v>
      </c>
      <c r="Q100" s="50">
        <f t="shared" si="58"/>
        <v>3332.6458255998468</v>
      </c>
      <c r="R100" s="50">
        <f t="shared" si="58"/>
        <v>3412.6293254142429</v>
      </c>
    </row>
    <row r="101" spans="1:18" x14ac:dyDescent="0.25">
      <c r="A101" s="41" t="s">
        <v>164</v>
      </c>
      <c r="B101" s="44"/>
      <c r="C101" s="51">
        <f t="shared" ref="C101:R101" si="59">SUM(C93:C100)</f>
        <v>1096632</v>
      </c>
      <c r="D101" s="51">
        <f t="shared" si="59"/>
        <v>1095036</v>
      </c>
      <c r="E101" s="51">
        <f t="shared" si="59"/>
        <v>1097611.07</v>
      </c>
      <c r="F101" s="51">
        <f t="shared" si="59"/>
        <v>1147527</v>
      </c>
      <c r="G101" s="51">
        <f t="shared" si="59"/>
        <v>1334839</v>
      </c>
      <c r="H101" s="51">
        <f t="shared" si="59"/>
        <v>1312953</v>
      </c>
      <c r="I101" s="51">
        <f t="shared" si="59"/>
        <v>1335769.6000000001</v>
      </c>
      <c r="J101" s="51">
        <f t="shared" si="59"/>
        <v>1388224.0703999999</v>
      </c>
      <c r="K101" s="51">
        <f t="shared" si="59"/>
        <v>1400819.4480895998</v>
      </c>
      <c r="L101" s="51">
        <f t="shared" si="59"/>
        <v>1454118.8053956609</v>
      </c>
      <c r="M101" s="51">
        <f t="shared" si="59"/>
        <v>1464433.8791143654</v>
      </c>
      <c r="N101" s="51">
        <f t="shared" si="59"/>
        <v>1520263.0283339955</v>
      </c>
      <c r="O101" s="51">
        <f t="shared" si="59"/>
        <v>1535821.3540423454</v>
      </c>
      <c r="P101" s="51">
        <f t="shared" si="59"/>
        <v>1596415.6378934041</v>
      </c>
      <c r="Q101" s="51">
        <f t="shared" si="59"/>
        <v>1611912.4932028456</v>
      </c>
      <c r="R101" s="51">
        <f t="shared" si="59"/>
        <v>1673965.9130397136</v>
      </c>
    </row>
    <row r="102" spans="1:18" x14ac:dyDescent="0.25">
      <c r="A102" s="48"/>
      <c r="B102" s="49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</row>
    <row r="103" spans="1:18" x14ac:dyDescent="0.25">
      <c r="A103" s="41" t="s">
        <v>165</v>
      </c>
      <c r="B103" s="44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</row>
    <row r="104" spans="1:18" x14ac:dyDescent="0.25">
      <c r="A104" s="41" t="s">
        <v>179</v>
      </c>
      <c r="B104" s="44"/>
      <c r="C104" s="50">
        <f t="shared" ref="C104:R104" si="60">C432</f>
        <v>534428</v>
      </c>
      <c r="D104" s="50">
        <f t="shared" si="60"/>
        <v>490034</v>
      </c>
      <c r="E104" s="50">
        <f t="shared" si="60"/>
        <v>507271.14999999997</v>
      </c>
      <c r="F104" s="50">
        <f t="shared" si="60"/>
        <v>569198</v>
      </c>
      <c r="G104" s="50">
        <f t="shared" si="60"/>
        <v>489180</v>
      </c>
      <c r="H104" s="50">
        <f t="shared" si="60"/>
        <v>567930</v>
      </c>
      <c r="I104" s="50">
        <f t="shared" si="60"/>
        <v>561794.6</v>
      </c>
      <c r="J104" s="50">
        <f t="shared" si="60"/>
        <v>597012.26289999986</v>
      </c>
      <c r="K104" s="50">
        <f t="shared" si="60"/>
        <v>592738.52695709991</v>
      </c>
      <c r="L104" s="50">
        <f t="shared" si="60"/>
        <v>630799.68183378829</v>
      </c>
      <c r="M104" s="50">
        <f t="shared" si="60"/>
        <v>626329.96632977703</v>
      </c>
      <c r="N104" s="50">
        <f t="shared" si="60"/>
        <v>665121.03669181583</v>
      </c>
      <c r="O104" s="50">
        <f t="shared" si="60"/>
        <v>661612.55867965892</v>
      </c>
      <c r="P104" s="50">
        <f t="shared" si="60"/>
        <v>703552.1828614003</v>
      </c>
      <c r="Q104" s="50">
        <f t="shared" si="60"/>
        <v>701512.58998568589</v>
      </c>
      <c r="R104" s="50">
        <f t="shared" si="60"/>
        <v>745550.55974196584</v>
      </c>
    </row>
    <row r="105" spans="1:18" x14ac:dyDescent="0.25">
      <c r="A105" s="41" t="s">
        <v>180</v>
      </c>
      <c r="B105" s="44"/>
      <c r="C105" s="50">
        <f t="shared" ref="C105:R105" si="61">C481</f>
        <v>252511</v>
      </c>
      <c r="D105" s="50">
        <f t="shared" si="61"/>
        <v>234970</v>
      </c>
      <c r="E105" s="50">
        <f t="shared" si="61"/>
        <v>219651</v>
      </c>
      <c r="F105" s="50">
        <f t="shared" si="61"/>
        <v>241951</v>
      </c>
      <c r="G105" s="50">
        <f t="shared" si="61"/>
        <v>222689</v>
      </c>
      <c r="H105" s="50">
        <f t="shared" si="61"/>
        <v>246010</v>
      </c>
      <c r="I105" s="50">
        <f t="shared" si="61"/>
        <v>252075.7</v>
      </c>
      <c r="J105" s="50">
        <f t="shared" si="61"/>
        <v>258634.88209999999</v>
      </c>
      <c r="K105" s="50">
        <f t="shared" si="61"/>
        <v>265573.88207289996</v>
      </c>
      <c r="L105" s="50">
        <f t="shared" si="61"/>
        <v>272653.40804946166</v>
      </c>
      <c r="M105" s="50">
        <f t="shared" si="61"/>
        <v>279679.89536610869</v>
      </c>
      <c r="N105" s="50">
        <f t="shared" si="61"/>
        <v>286891.87509861204</v>
      </c>
      <c r="O105" s="50">
        <f t="shared" si="61"/>
        <v>294882.48009922588</v>
      </c>
      <c r="P105" s="50">
        <f t="shared" si="61"/>
        <v>303229.88642589119</v>
      </c>
      <c r="Q105" s="50">
        <f t="shared" si="61"/>
        <v>311659.78049041826</v>
      </c>
      <c r="R105" s="50">
        <f t="shared" si="61"/>
        <v>317999.79779374565</v>
      </c>
    </row>
    <row r="106" spans="1:18" x14ac:dyDescent="0.25">
      <c r="A106" s="41" t="s">
        <v>181</v>
      </c>
      <c r="B106" s="44"/>
      <c r="C106" s="50">
        <f t="shared" ref="C106:R106" si="62">C566</f>
        <v>5567</v>
      </c>
      <c r="D106" s="50">
        <f t="shared" si="62"/>
        <v>2669</v>
      </c>
      <c r="E106" s="50">
        <f t="shared" si="62"/>
        <v>3300</v>
      </c>
      <c r="F106" s="50">
        <f t="shared" si="62"/>
        <v>3346</v>
      </c>
      <c r="G106" s="50">
        <f t="shared" si="62"/>
        <v>3585</v>
      </c>
      <c r="H106" s="50">
        <f t="shared" si="62"/>
        <v>3800</v>
      </c>
      <c r="I106" s="50">
        <f t="shared" si="62"/>
        <v>3887.3999999999996</v>
      </c>
      <c r="J106" s="50">
        <f t="shared" si="62"/>
        <v>3980.6975999999995</v>
      </c>
      <c r="K106" s="50">
        <f t="shared" si="62"/>
        <v>4076.2343423999996</v>
      </c>
      <c r="L106" s="50">
        <f t="shared" si="62"/>
        <v>4169.9877322751991</v>
      </c>
      <c r="M106" s="50">
        <f t="shared" si="62"/>
        <v>4261.7274623852536</v>
      </c>
      <c r="N106" s="50">
        <f t="shared" si="62"/>
        <v>4359.747194020114</v>
      </c>
      <c r="O106" s="50">
        <f t="shared" si="62"/>
        <v>4468.7408738706163</v>
      </c>
      <c r="P106" s="50">
        <f t="shared" si="62"/>
        <v>4580.459395717382</v>
      </c>
      <c r="Q106" s="50">
        <f t="shared" si="62"/>
        <v>4690.390421214599</v>
      </c>
      <c r="R106" s="50">
        <f t="shared" si="62"/>
        <v>4802.9597913237494</v>
      </c>
    </row>
    <row r="107" spans="1:18" x14ac:dyDescent="0.25">
      <c r="A107" s="41" t="s">
        <v>182</v>
      </c>
      <c r="B107" s="44"/>
      <c r="C107" s="50">
        <f t="shared" ref="C107:R107" si="63">C630</f>
        <v>107547</v>
      </c>
      <c r="D107" s="50">
        <f t="shared" si="63"/>
        <v>120374</v>
      </c>
      <c r="E107" s="50">
        <f t="shared" si="63"/>
        <v>125753</v>
      </c>
      <c r="F107" s="50">
        <f t="shared" si="63"/>
        <v>144508</v>
      </c>
      <c r="G107" s="50">
        <f t="shared" si="63"/>
        <v>127849</v>
      </c>
      <c r="H107" s="50">
        <f t="shared" si="63"/>
        <v>149340</v>
      </c>
      <c r="I107" s="50">
        <f t="shared" si="63"/>
        <v>152907.59999999998</v>
      </c>
      <c r="J107" s="50">
        <f t="shared" si="63"/>
        <v>156709.32149999999</v>
      </c>
      <c r="K107" s="50">
        <f t="shared" si="63"/>
        <v>160689.03304349998</v>
      </c>
      <c r="L107" s="50">
        <f t="shared" si="63"/>
        <v>164707.49630667549</v>
      </c>
      <c r="M107" s="50">
        <f t="shared" si="63"/>
        <v>168602.13553739592</v>
      </c>
      <c r="N107" s="50">
        <f t="shared" si="63"/>
        <v>172720.0573906356</v>
      </c>
      <c r="O107" s="50">
        <f t="shared" si="63"/>
        <v>177278.64330571346</v>
      </c>
      <c r="P107" s="50">
        <f t="shared" si="63"/>
        <v>181984.15058337594</v>
      </c>
      <c r="Q107" s="50">
        <f t="shared" si="63"/>
        <v>185026.87965692006</v>
      </c>
      <c r="R107" s="50">
        <f t="shared" si="63"/>
        <v>188156.26149296464</v>
      </c>
    </row>
    <row r="108" spans="1:18" x14ac:dyDescent="0.25">
      <c r="A108" s="41" t="s">
        <v>183</v>
      </c>
      <c r="B108" s="44"/>
      <c r="C108" s="50">
        <f t="shared" ref="C108:R108" si="64">C688</f>
        <v>578670</v>
      </c>
      <c r="D108" s="50">
        <f t="shared" si="64"/>
        <v>590716</v>
      </c>
      <c r="E108" s="50">
        <f t="shared" si="64"/>
        <v>650300</v>
      </c>
      <c r="F108" s="50">
        <f t="shared" si="64"/>
        <v>712622</v>
      </c>
      <c r="G108" s="50">
        <f t="shared" si="64"/>
        <v>723205</v>
      </c>
      <c r="H108" s="50">
        <f t="shared" si="64"/>
        <v>780500</v>
      </c>
      <c r="I108" s="50">
        <f t="shared" si="64"/>
        <v>758399.49999999988</v>
      </c>
      <c r="J108" s="50">
        <f t="shared" si="64"/>
        <v>777354.39249999984</v>
      </c>
      <c r="K108" s="50">
        <f t="shared" si="64"/>
        <v>796783.0350324997</v>
      </c>
      <c r="L108" s="50">
        <f t="shared" si="64"/>
        <v>816691.92591887212</v>
      </c>
      <c r="M108" s="50">
        <f t="shared" si="64"/>
        <v>837092.82795054826</v>
      </c>
      <c r="N108" s="50">
        <f t="shared" si="64"/>
        <v>858008.97742874245</v>
      </c>
      <c r="O108" s="50">
        <f t="shared" si="64"/>
        <v>879459.20186446095</v>
      </c>
      <c r="P108" s="50">
        <f t="shared" si="64"/>
        <v>901445.68191107234</v>
      </c>
      <c r="Q108" s="50">
        <f t="shared" si="64"/>
        <v>923975.82060426218</v>
      </c>
      <c r="R108" s="50">
        <f t="shared" si="64"/>
        <v>947069.06868427154</v>
      </c>
    </row>
    <row r="109" spans="1:18" x14ac:dyDescent="0.25">
      <c r="A109" s="41" t="s">
        <v>184</v>
      </c>
      <c r="B109" s="44"/>
      <c r="C109" s="50">
        <f t="shared" ref="C109:F109" si="65">C772</f>
        <v>995546</v>
      </c>
      <c r="D109" s="50">
        <f t="shared" si="65"/>
        <v>934756</v>
      </c>
      <c r="E109" s="50">
        <f t="shared" si="65"/>
        <v>1025408</v>
      </c>
      <c r="F109" s="50">
        <f t="shared" si="65"/>
        <v>1007485.8200000001</v>
      </c>
      <c r="G109" s="50">
        <f>G772</f>
        <v>975198</v>
      </c>
      <c r="H109" s="50">
        <f>H772</f>
        <v>1154997.6957668001</v>
      </c>
      <c r="I109" s="50">
        <f t="shared" ref="I109:R109" si="66">I772</f>
        <v>1181496.4430784164</v>
      </c>
      <c r="J109" s="50">
        <f t="shared" si="66"/>
        <v>1161713.9280754195</v>
      </c>
      <c r="K109" s="50">
        <f t="shared" si="66"/>
        <v>1193032.7487542599</v>
      </c>
      <c r="L109" s="50">
        <f t="shared" si="66"/>
        <v>1225613.7468600704</v>
      </c>
      <c r="M109" s="50">
        <f t="shared" si="66"/>
        <v>1258167.7936805726</v>
      </c>
      <c r="N109" s="50">
        <f t="shared" si="66"/>
        <v>1290974.3249252054</v>
      </c>
      <c r="O109" s="50">
        <f t="shared" si="66"/>
        <v>1327129.8730690137</v>
      </c>
      <c r="P109" s="50">
        <f t="shared" si="66"/>
        <v>1365874.3537669051</v>
      </c>
      <c r="Q109" s="50">
        <f t="shared" si="66"/>
        <v>1404626.7479846487</v>
      </c>
      <c r="R109" s="50">
        <f t="shared" si="66"/>
        <v>1436648.462455767</v>
      </c>
    </row>
    <row r="110" spans="1:18" x14ac:dyDescent="0.25">
      <c r="A110" s="41" t="s">
        <v>185</v>
      </c>
      <c r="B110" s="44"/>
      <c r="C110" s="50">
        <f t="shared" ref="C110:F110" si="67">C1003</f>
        <v>344941</v>
      </c>
      <c r="D110" s="50">
        <f t="shared" si="67"/>
        <v>357829</v>
      </c>
      <c r="E110" s="50">
        <f t="shared" si="67"/>
        <v>353550</v>
      </c>
      <c r="F110" s="50">
        <f t="shared" si="67"/>
        <v>362366</v>
      </c>
      <c r="G110" s="50">
        <f>G1003</f>
        <v>360924</v>
      </c>
      <c r="H110" s="50">
        <f>H1003</f>
        <v>423950</v>
      </c>
      <c r="I110" s="50">
        <f t="shared" ref="I110:R110" si="68">I1003</f>
        <v>434348.55</v>
      </c>
      <c r="J110" s="50">
        <f t="shared" si="68"/>
        <v>445799.44995000004</v>
      </c>
      <c r="K110" s="50">
        <f t="shared" si="68"/>
        <v>457466.97547255002</v>
      </c>
      <c r="L110" s="50">
        <f t="shared" si="68"/>
        <v>470072.07883200614</v>
      </c>
      <c r="M110" s="50">
        <f t="shared" si="68"/>
        <v>481901.75429096195</v>
      </c>
      <c r="N110" s="50">
        <f t="shared" si="68"/>
        <v>494131.41044025309</v>
      </c>
      <c r="O110" s="50">
        <f t="shared" si="68"/>
        <v>507865.38371873717</v>
      </c>
      <c r="P110" s="50">
        <f t="shared" si="68"/>
        <v>521992.67147131165</v>
      </c>
      <c r="Q110" s="50">
        <f t="shared" si="68"/>
        <v>536112.44636603747</v>
      </c>
      <c r="R110" s="50">
        <f t="shared" si="68"/>
        <v>549221.16049277072</v>
      </c>
    </row>
    <row r="111" spans="1:18" x14ac:dyDescent="0.25">
      <c r="A111" s="41" t="s">
        <v>186</v>
      </c>
      <c r="B111" s="44"/>
      <c r="C111" s="50">
        <f t="shared" ref="C111:F111" si="69">C1086</f>
        <v>428902</v>
      </c>
      <c r="D111" s="50">
        <f t="shared" si="69"/>
        <v>415480</v>
      </c>
      <c r="E111" s="50">
        <f t="shared" si="69"/>
        <v>427801</v>
      </c>
      <c r="F111" s="50">
        <f t="shared" si="69"/>
        <v>428953</v>
      </c>
      <c r="G111" s="50">
        <f>G1086</f>
        <v>441619</v>
      </c>
      <c r="H111" s="50">
        <f>H1086</f>
        <v>426251</v>
      </c>
      <c r="I111" s="50">
        <f t="shared" ref="I111:R111" si="70">I1086</f>
        <v>466058.87299999996</v>
      </c>
      <c r="J111" s="50">
        <f t="shared" si="70"/>
        <v>477243.51720199996</v>
      </c>
      <c r="K111" s="50">
        <f t="shared" si="70"/>
        <v>488696.57651609799</v>
      </c>
      <c r="L111" s="50">
        <f t="shared" si="70"/>
        <v>499941.00127201068</v>
      </c>
      <c r="M111" s="50">
        <f t="shared" si="70"/>
        <v>510948.01298850315</v>
      </c>
      <c r="N111" s="50">
        <f t="shared" si="70"/>
        <v>522704.446788895</v>
      </c>
      <c r="O111" s="50">
        <f t="shared" si="70"/>
        <v>535768.82032086328</v>
      </c>
      <c r="P111" s="50">
        <f t="shared" si="70"/>
        <v>549161.38477717363</v>
      </c>
      <c r="Q111" s="50">
        <f t="shared" si="70"/>
        <v>562347.13736456598</v>
      </c>
      <c r="R111" s="50">
        <f t="shared" si="70"/>
        <v>575849.50517265603</v>
      </c>
    </row>
    <row r="112" spans="1:18" x14ac:dyDescent="0.25">
      <c r="A112" s="41" t="s">
        <v>166</v>
      </c>
      <c r="B112" s="44"/>
      <c r="C112" s="51">
        <f t="shared" ref="C112:R112" si="71">SUM(C104:C111)</f>
        <v>3248112</v>
      </c>
      <c r="D112" s="51">
        <f t="shared" si="71"/>
        <v>3146828</v>
      </c>
      <c r="E112" s="51">
        <f t="shared" si="71"/>
        <v>3313034.15</v>
      </c>
      <c r="F112" s="51">
        <f t="shared" si="71"/>
        <v>3470429.8200000003</v>
      </c>
      <c r="G112" s="51">
        <f t="shared" si="71"/>
        <v>3344249</v>
      </c>
      <c r="H112" s="51">
        <f t="shared" si="71"/>
        <v>3752778.6957668001</v>
      </c>
      <c r="I112" s="51">
        <f t="shared" si="71"/>
        <v>3810968.6660784162</v>
      </c>
      <c r="J112" s="51">
        <f t="shared" si="71"/>
        <v>3878448.451827419</v>
      </c>
      <c r="K112" s="51">
        <f t="shared" si="71"/>
        <v>3959057.0121913073</v>
      </c>
      <c r="L112" s="51">
        <f t="shared" si="71"/>
        <v>4084649.3268051594</v>
      </c>
      <c r="M112" s="51">
        <f t="shared" si="71"/>
        <v>4166984.1136062532</v>
      </c>
      <c r="N112" s="51">
        <f t="shared" si="71"/>
        <v>4294911.8759581801</v>
      </c>
      <c r="O112" s="51">
        <f t="shared" si="71"/>
        <v>4388465.7019315446</v>
      </c>
      <c r="P112" s="51">
        <f t="shared" si="71"/>
        <v>4531820.7711928478</v>
      </c>
      <c r="Q112" s="51">
        <f t="shared" si="71"/>
        <v>4629951.7928737532</v>
      </c>
      <c r="R112" s="51">
        <f t="shared" si="71"/>
        <v>4765297.7756254654</v>
      </c>
    </row>
    <row r="113" spans="1:18" x14ac:dyDescent="0.25">
      <c r="A113" s="48"/>
      <c r="B113" s="49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</row>
    <row r="114" spans="1:18" x14ac:dyDescent="0.25">
      <c r="A114" s="48" t="s">
        <v>167</v>
      </c>
      <c r="B114" s="49"/>
      <c r="C114" s="51">
        <f t="shared" ref="C114:R114" si="72">C101-C112</f>
        <v>-2151480</v>
      </c>
      <c r="D114" s="51">
        <f t="shared" si="72"/>
        <v>-2051792</v>
      </c>
      <c r="E114" s="51">
        <f t="shared" si="72"/>
        <v>-2215423.08</v>
      </c>
      <c r="F114" s="51">
        <f t="shared" si="72"/>
        <v>-2322902.8200000003</v>
      </c>
      <c r="G114" s="51">
        <f t="shared" si="72"/>
        <v>-2009410</v>
      </c>
      <c r="H114" s="51">
        <f t="shared" si="72"/>
        <v>-2439825.6957668001</v>
      </c>
      <c r="I114" s="51">
        <f t="shared" si="72"/>
        <v>-2475199.0660784161</v>
      </c>
      <c r="J114" s="51">
        <f t="shared" si="72"/>
        <v>-2490224.3814274194</v>
      </c>
      <c r="K114" s="51">
        <f t="shared" si="72"/>
        <v>-2558237.5641017072</v>
      </c>
      <c r="L114" s="51">
        <f t="shared" si="72"/>
        <v>-2630530.5214094985</v>
      </c>
      <c r="M114" s="51">
        <f t="shared" si="72"/>
        <v>-2702550.2344918875</v>
      </c>
      <c r="N114" s="51">
        <f t="shared" si="72"/>
        <v>-2774648.8476241846</v>
      </c>
      <c r="O114" s="51">
        <f t="shared" si="72"/>
        <v>-2852644.3478891989</v>
      </c>
      <c r="P114" s="51">
        <f t="shared" si="72"/>
        <v>-2935405.1332994439</v>
      </c>
      <c r="Q114" s="51">
        <f t="shared" si="72"/>
        <v>-3018039.2996709077</v>
      </c>
      <c r="R114" s="51">
        <f t="shared" si="72"/>
        <v>-3091331.8625857518</v>
      </c>
    </row>
    <row r="115" spans="1:18" x14ac:dyDescent="0.25">
      <c r="A115" s="48"/>
      <c r="B115" s="49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</row>
    <row r="116" spans="1:18" x14ac:dyDescent="0.25">
      <c r="A116" s="48" t="s">
        <v>168</v>
      </c>
      <c r="B116" s="49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</row>
    <row r="117" spans="1:18" x14ac:dyDescent="0.25">
      <c r="A117" s="48"/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</row>
    <row r="118" spans="1:18" x14ac:dyDescent="0.25">
      <c r="A118" s="48" t="s">
        <v>169</v>
      </c>
      <c r="B118" s="49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</row>
    <row r="119" spans="1:18" x14ac:dyDescent="0.25">
      <c r="A119" s="41" t="s">
        <v>179</v>
      </c>
      <c r="B119" s="44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</row>
    <row r="120" spans="1:18" x14ac:dyDescent="0.25">
      <c r="A120" s="41" t="s">
        <v>180</v>
      </c>
      <c r="B120" s="44"/>
      <c r="C120" s="50">
        <f t="shared" ref="C120:R120" si="73">C487</f>
        <v>0</v>
      </c>
      <c r="D120" s="50">
        <f t="shared" si="73"/>
        <v>0</v>
      </c>
      <c r="E120" s="50">
        <f t="shared" si="73"/>
        <v>0</v>
      </c>
      <c r="F120" s="50">
        <f t="shared" si="73"/>
        <v>0</v>
      </c>
      <c r="G120" s="50">
        <f t="shared" si="73"/>
        <v>0</v>
      </c>
      <c r="H120" s="50">
        <f t="shared" si="73"/>
        <v>0</v>
      </c>
      <c r="I120" s="50">
        <f t="shared" si="73"/>
        <v>0</v>
      </c>
      <c r="J120" s="50">
        <f t="shared" si="73"/>
        <v>0</v>
      </c>
      <c r="K120" s="50">
        <f t="shared" si="73"/>
        <v>0</v>
      </c>
      <c r="L120" s="50">
        <f t="shared" si="73"/>
        <v>0</v>
      </c>
      <c r="M120" s="50">
        <f t="shared" si="73"/>
        <v>0</v>
      </c>
      <c r="N120" s="50">
        <f t="shared" si="73"/>
        <v>0</v>
      </c>
      <c r="O120" s="50">
        <f t="shared" si="73"/>
        <v>0</v>
      </c>
      <c r="P120" s="50">
        <f t="shared" si="73"/>
        <v>0</v>
      </c>
      <c r="Q120" s="50">
        <f t="shared" si="73"/>
        <v>0</v>
      </c>
      <c r="R120" s="50">
        <f t="shared" si="73"/>
        <v>0</v>
      </c>
    </row>
    <row r="121" spans="1:18" x14ac:dyDescent="0.25">
      <c r="A121" s="41" t="s">
        <v>181</v>
      </c>
      <c r="B121" s="44"/>
      <c r="C121" s="50">
        <f t="shared" ref="C121:R121" si="74">C572</f>
        <v>0</v>
      </c>
      <c r="D121" s="50">
        <f t="shared" si="74"/>
        <v>0</v>
      </c>
      <c r="E121" s="50">
        <f t="shared" si="74"/>
        <v>0</v>
      </c>
      <c r="F121" s="50">
        <f t="shared" si="74"/>
        <v>0</v>
      </c>
      <c r="G121" s="50">
        <f t="shared" si="74"/>
        <v>0</v>
      </c>
      <c r="H121" s="50">
        <f t="shared" si="74"/>
        <v>0</v>
      </c>
      <c r="I121" s="50">
        <f t="shared" si="74"/>
        <v>0</v>
      </c>
      <c r="J121" s="50">
        <f t="shared" si="74"/>
        <v>0</v>
      </c>
      <c r="K121" s="50">
        <f t="shared" si="74"/>
        <v>0</v>
      </c>
      <c r="L121" s="50">
        <f t="shared" si="74"/>
        <v>0</v>
      </c>
      <c r="M121" s="50">
        <f t="shared" si="74"/>
        <v>0</v>
      </c>
      <c r="N121" s="50">
        <f t="shared" si="74"/>
        <v>0</v>
      </c>
      <c r="O121" s="50">
        <f t="shared" si="74"/>
        <v>0</v>
      </c>
      <c r="P121" s="50">
        <f t="shared" si="74"/>
        <v>0</v>
      </c>
      <c r="Q121" s="50">
        <f t="shared" si="74"/>
        <v>0</v>
      </c>
      <c r="R121" s="50">
        <f t="shared" si="74"/>
        <v>0</v>
      </c>
    </row>
    <row r="122" spans="1:18" x14ac:dyDescent="0.25">
      <c r="A122" s="41" t="s">
        <v>182</v>
      </c>
      <c r="B122" s="44"/>
      <c r="C122" s="50">
        <f t="shared" ref="C122:R122" si="75">C636</f>
        <v>0</v>
      </c>
      <c r="D122" s="50">
        <f t="shared" si="75"/>
        <v>0</v>
      </c>
      <c r="E122" s="50">
        <f t="shared" si="75"/>
        <v>0</v>
      </c>
      <c r="F122" s="50">
        <f t="shared" si="75"/>
        <v>0</v>
      </c>
      <c r="G122" s="50">
        <f t="shared" si="75"/>
        <v>0</v>
      </c>
      <c r="H122" s="50">
        <f t="shared" si="75"/>
        <v>0</v>
      </c>
      <c r="I122" s="50">
        <f t="shared" si="75"/>
        <v>0</v>
      </c>
      <c r="J122" s="50">
        <f t="shared" si="75"/>
        <v>0</v>
      </c>
      <c r="K122" s="50">
        <f t="shared" si="75"/>
        <v>0</v>
      </c>
      <c r="L122" s="50">
        <f t="shared" si="75"/>
        <v>0</v>
      </c>
      <c r="M122" s="50">
        <f t="shared" si="75"/>
        <v>0</v>
      </c>
      <c r="N122" s="50">
        <f t="shared" si="75"/>
        <v>0</v>
      </c>
      <c r="O122" s="50">
        <f t="shared" si="75"/>
        <v>0</v>
      </c>
      <c r="P122" s="50">
        <f t="shared" si="75"/>
        <v>0</v>
      </c>
      <c r="Q122" s="50">
        <f t="shared" si="75"/>
        <v>0</v>
      </c>
      <c r="R122" s="50">
        <f t="shared" si="75"/>
        <v>0</v>
      </c>
    </row>
    <row r="123" spans="1:18" x14ac:dyDescent="0.25">
      <c r="A123" s="41" t="s">
        <v>183</v>
      </c>
      <c r="B123" s="44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</row>
    <row r="124" spans="1:18" x14ac:dyDescent="0.25">
      <c r="A124" s="41" t="s">
        <v>184</v>
      </c>
      <c r="B124" s="44"/>
      <c r="C124" s="50">
        <f t="shared" ref="C124:F124" si="76">C796</f>
        <v>197108</v>
      </c>
      <c r="D124" s="50">
        <f t="shared" si="76"/>
        <v>506017</v>
      </c>
      <c r="E124" s="50">
        <f t="shared" si="76"/>
        <v>237757</v>
      </c>
      <c r="F124" s="50">
        <f t="shared" si="76"/>
        <v>331876</v>
      </c>
      <c r="G124" s="50">
        <f>G796</f>
        <v>20543</v>
      </c>
      <c r="H124" s="50">
        <f>H796</f>
        <v>130000</v>
      </c>
      <c r="I124" s="50">
        <f t="shared" ref="I124:R124" si="77">I796</f>
        <v>0</v>
      </c>
      <c r="J124" s="50">
        <f t="shared" si="77"/>
        <v>0</v>
      </c>
      <c r="K124" s="50">
        <f t="shared" si="77"/>
        <v>0</v>
      </c>
      <c r="L124" s="50">
        <f t="shared" si="77"/>
        <v>0</v>
      </c>
      <c r="M124" s="50">
        <f t="shared" si="77"/>
        <v>0</v>
      </c>
      <c r="N124" s="50">
        <f t="shared" si="77"/>
        <v>0</v>
      </c>
      <c r="O124" s="50">
        <f t="shared" si="77"/>
        <v>0</v>
      </c>
      <c r="P124" s="50">
        <f t="shared" si="77"/>
        <v>0</v>
      </c>
      <c r="Q124" s="50">
        <f t="shared" si="77"/>
        <v>0</v>
      </c>
      <c r="R124" s="50">
        <f t="shared" si="77"/>
        <v>0</v>
      </c>
    </row>
    <row r="125" spans="1:18" x14ac:dyDescent="0.25">
      <c r="A125" s="41" t="s">
        <v>185</v>
      </c>
      <c r="B125" s="44"/>
      <c r="C125" s="50">
        <f t="shared" ref="C125:F125" si="78">C1009</f>
        <v>0</v>
      </c>
      <c r="D125" s="50">
        <f t="shared" si="78"/>
        <v>0</v>
      </c>
      <c r="E125" s="50">
        <f t="shared" si="78"/>
        <v>0</v>
      </c>
      <c r="F125" s="50">
        <f t="shared" si="78"/>
        <v>0</v>
      </c>
      <c r="G125" s="50">
        <f>G1009</f>
        <v>0</v>
      </c>
      <c r="H125" s="50">
        <f>H1009</f>
        <v>50000</v>
      </c>
      <c r="I125" s="50">
        <f t="shared" ref="I125:R125" si="79">I1009</f>
        <v>0</v>
      </c>
      <c r="J125" s="50">
        <f t="shared" si="79"/>
        <v>0</v>
      </c>
      <c r="K125" s="50">
        <f t="shared" si="79"/>
        <v>0</v>
      </c>
      <c r="L125" s="50">
        <f t="shared" si="79"/>
        <v>0</v>
      </c>
      <c r="M125" s="50">
        <f t="shared" si="79"/>
        <v>0</v>
      </c>
      <c r="N125" s="50">
        <f t="shared" si="79"/>
        <v>0</v>
      </c>
      <c r="O125" s="50">
        <f t="shared" si="79"/>
        <v>0</v>
      </c>
      <c r="P125" s="50">
        <f t="shared" si="79"/>
        <v>0</v>
      </c>
      <c r="Q125" s="50">
        <f t="shared" si="79"/>
        <v>0</v>
      </c>
      <c r="R125" s="50">
        <f t="shared" si="79"/>
        <v>0</v>
      </c>
    </row>
    <row r="126" spans="1:18" x14ac:dyDescent="0.25">
      <c r="A126" s="41" t="s">
        <v>186</v>
      </c>
      <c r="B126" s="44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</row>
    <row r="127" spans="1:18" x14ac:dyDescent="0.25">
      <c r="A127" s="41" t="s">
        <v>170</v>
      </c>
      <c r="B127" s="44"/>
      <c r="C127" s="51">
        <f t="shared" ref="C127:F127" si="80">SUM(C119:C126)</f>
        <v>197108</v>
      </c>
      <c r="D127" s="51">
        <f t="shared" si="80"/>
        <v>506017</v>
      </c>
      <c r="E127" s="51">
        <f t="shared" si="80"/>
        <v>237757</v>
      </c>
      <c r="F127" s="51">
        <f t="shared" si="80"/>
        <v>331876</v>
      </c>
      <c r="G127" s="51">
        <f>SUM(G119:G126)</f>
        <v>20543</v>
      </c>
      <c r="H127" s="51">
        <f t="shared" ref="H127:R127" si="81">SUM(H119:H126)</f>
        <v>180000</v>
      </c>
      <c r="I127" s="51">
        <f t="shared" si="81"/>
        <v>0</v>
      </c>
      <c r="J127" s="51">
        <f t="shared" si="81"/>
        <v>0</v>
      </c>
      <c r="K127" s="51">
        <f t="shared" si="81"/>
        <v>0</v>
      </c>
      <c r="L127" s="51">
        <f t="shared" si="81"/>
        <v>0</v>
      </c>
      <c r="M127" s="51">
        <f t="shared" si="81"/>
        <v>0</v>
      </c>
      <c r="N127" s="51">
        <f t="shared" si="81"/>
        <v>0</v>
      </c>
      <c r="O127" s="51">
        <f t="shared" si="81"/>
        <v>0</v>
      </c>
      <c r="P127" s="51">
        <f t="shared" si="81"/>
        <v>0</v>
      </c>
      <c r="Q127" s="51">
        <f t="shared" si="81"/>
        <v>0</v>
      </c>
      <c r="R127" s="51">
        <f t="shared" si="81"/>
        <v>0</v>
      </c>
    </row>
    <row r="128" spans="1:18" x14ac:dyDescent="0.25">
      <c r="A128" s="48"/>
      <c r="B128" s="49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</row>
    <row r="129" spans="1:18" x14ac:dyDescent="0.25">
      <c r="A129" s="41" t="s">
        <v>171</v>
      </c>
      <c r="B129" s="44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</row>
    <row r="130" spans="1:18" x14ac:dyDescent="0.25">
      <c r="A130" s="41" t="s">
        <v>179</v>
      </c>
      <c r="B130" s="44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</row>
    <row r="131" spans="1:18" x14ac:dyDescent="0.25">
      <c r="A131" s="41" t="s">
        <v>180</v>
      </c>
      <c r="B131" s="44"/>
      <c r="C131" s="50">
        <f t="shared" ref="C131:R131" si="82">C540</f>
        <v>144307</v>
      </c>
      <c r="D131" s="50">
        <f t="shared" si="82"/>
        <v>20232</v>
      </c>
      <c r="E131" s="50">
        <f t="shared" si="82"/>
        <v>20164</v>
      </c>
      <c r="F131" s="50">
        <f t="shared" si="82"/>
        <v>81006</v>
      </c>
      <c r="G131" s="50">
        <f t="shared" si="82"/>
        <v>1590</v>
      </c>
      <c r="H131" s="50">
        <f t="shared" si="82"/>
        <v>0</v>
      </c>
      <c r="I131" s="50">
        <f t="shared" si="82"/>
        <v>25000</v>
      </c>
      <c r="J131" s="50">
        <f t="shared" si="82"/>
        <v>0</v>
      </c>
      <c r="K131" s="50">
        <f t="shared" si="82"/>
        <v>125000</v>
      </c>
      <c r="L131" s="50">
        <f t="shared" si="82"/>
        <v>35000</v>
      </c>
      <c r="M131" s="50">
        <f t="shared" si="82"/>
        <v>60000</v>
      </c>
      <c r="N131" s="50">
        <f t="shared" si="82"/>
        <v>55000</v>
      </c>
      <c r="O131" s="50">
        <f t="shared" si="82"/>
        <v>80000</v>
      </c>
      <c r="P131" s="50">
        <f t="shared" si="82"/>
        <v>50000</v>
      </c>
      <c r="Q131" s="50">
        <f t="shared" si="82"/>
        <v>0</v>
      </c>
      <c r="R131" s="50">
        <f t="shared" si="82"/>
        <v>115000</v>
      </c>
    </row>
    <row r="132" spans="1:18" x14ac:dyDescent="0.25">
      <c r="A132" s="41" t="s">
        <v>181</v>
      </c>
      <c r="B132" s="44"/>
      <c r="C132" s="50">
        <f t="shared" ref="C132:R132" si="83">C578</f>
        <v>0</v>
      </c>
      <c r="D132" s="50">
        <f t="shared" si="83"/>
        <v>0</v>
      </c>
      <c r="E132" s="50">
        <f t="shared" si="83"/>
        <v>0</v>
      </c>
      <c r="F132" s="50">
        <f t="shared" si="83"/>
        <v>0</v>
      </c>
      <c r="G132" s="50">
        <f t="shared" si="83"/>
        <v>0</v>
      </c>
      <c r="H132" s="50">
        <f t="shared" si="83"/>
        <v>0</v>
      </c>
      <c r="I132" s="50">
        <f t="shared" si="83"/>
        <v>0</v>
      </c>
      <c r="J132" s="50">
        <f t="shared" si="83"/>
        <v>0</v>
      </c>
      <c r="K132" s="50">
        <f t="shared" si="83"/>
        <v>0</v>
      </c>
      <c r="L132" s="50">
        <f t="shared" si="83"/>
        <v>0</v>
      </c>
      <c r="M132" s="50">
        <f t="shared" si="83"/>
        <v>0</v>
      </c>
      <c r="N132" s="50">
        <f t="shared" si="83"/>
        <v>0</v>
      </c>
      <c r="O132" s="50">
        <f t="shared" si="83"/>
        <v>0</v>
      </c>
      <c r="P132" s="50">
        <f t="shared" si="83"/>
        <v>0</v>
      </c>
      <c r="Q132" s="50">
        <f t="shared" si="83"/>
        <v>0</v>
      </c>
      <c r="R132" s="50">
        <f t="shared" si="83"/>
        <v>0</v>
      </c>
    </row>
    <row r="133" spans="1:18" x14ac:dyDescent="0.25">
      <c r="A133" s="41" t="s">
        <v>182</v>
      </c>
      <c r="B133" s="44"/>
      <c r="C133" s="50">
        <f t="shared" ref="C133:R133" si="84">C667</f>
        <v>0</v>
      </c>
      <c r="D133" s="50">
        <f t="shared" si="84"/>
        <v>17865</v>
      </c>
      <c r="E133" s="50">
        <f t="shared" si="84"/>
        <v>4228</v>
      </c>
      <c r="F133" s="50">
        <f t="shared" si="84"/>
        <v>1173</v>
      </c>
      <c r="G133" s="50">
        <f t="shared" si="84"/>
        <v>0</v>
      </c>
      <c r="H133" s="50">
        <f t="shared" si="84"/>
        <v>0</v>
      </c>
      <c r="I133" s="50">
        <f t="shared" si="84"/>
        <v>20000</v>
      </c>
      <c r="J133" s="50">
        <f t="shared" si="84"/>
        <v>8000</v>
      </c>
      <c r="K133" s="50">
        <f t="shared" si="84"/>
        <v>35000</v>
      </c>
      <c r="L133" s="50">
        <f t="shared" si="84"/>
        <v>0</v>
      </c>
      <c r="M133" s="50">
        <f t="shared" si="84"/>
        <v>0</v>
      </c>
      <c r="N133" s="50">
        <f t="shared" si="84"/>
        <v>0</v>
      </c>
      <c r="O133" s="50">
        <f t="shared" si="84"/>
        <v>0</v>
      </c>
      <c r="P133" s="50">
        <f t="shared" si="84"/>
        <v>40000</v>
      </c>
      <c r="Q133" s="50">
        <f t="shared" si="84"/>
        <v>20000</v>
      </c>
      <c r="R133" s="50">
        <f t="shared" si="84"/>
        <v>45000</v>
      </c>
    </row>
    <row r="134" spans="1:18" x14ac:dyDescent="0.25">
      <c r="A134" s="41" t="s">
        <v>183</v>
      </c>
      <c r="B134" s="44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</row>
    <row r="135" spans="1:18" x14ac:dyDescent="0.25">
      <c r="A135" s="41" t="s">
        <v>184</v>
      </c>
      <c r="B135" s="44"/>
      <c r="C135" s="50">
        <f t="shared" ref="C135:F135" si="85">C960</f>
        <v>491208</v>
      </c>
      <c r="D135" s="50">
        <f t="shared" si="85"/>
        <v>846481</v>
      </c>
      <c r="E135" s="50">
        <f t="shared" si="85"/>
        <v>350530</v>
      </c>
      <c r="F135" s="50">
        <f t="shared" si="85"/>
        <v>676141.5</v>
      </c>
      <c r="G135" s="50">
        <f>G960</f>
        <v>179176</v>
      </c>
      <c r="H135" s="50">
        <f>H960</f>
        <v>194490</v>
      </c>
      <c r="I135" s="50">
        <f t="shared" ref="I135:R135" si="86">I960</f>
        <v>504907</v>
      </c>
      <c r="J135" s="50">
        <f t="shared" si="86"/>
        <v>796411.15999999992</v>
      </c>
      <c r="K135" s="50">
        <f t="shared" si="86"/>
        <v>515871.77184000006</v>
      </c>
      <c r="L135" s="50">
        <f t="shared" si="86"/>
        <v>627174.51359232003</v>
      </c>
      <c r="M135" s="50">
        <f t="shared" si="86"/>
        <v>595941.38489135099</v>
      </c>
      <c r="N135" s="50">
        <f t="shared" si="86"/>
        <v>773667.62474385207</v>
      </c>
      <c r="O135" s="50">
        <f t="shared" si="86"/>
        <v>693132.86536244838</v>
      </c>
      <c r="P135" s="50">
        <f t="shared" si="86"/>
        <v>622834.73699650948</v>
      </c>
      <c r="Q135" s="50">
        <f t="shared" si="86"/>
        <v>797381.37868442573</v>
      </c>
      <c r="R135" s="50">
        <f t="shared" si="86"/>
        <v>652157.13977285195</v>
      </c>
    </row>
    <row r="136" spans="1:18" x14ac:dyDescent="0.25">
      <c r="A136" s="41" t="s">
        <v>185</v>
      </c>
      <c r="B136" s="44"/>
      <c r="C136" s="50">
        <f t="shared" ref="C136:F136" si="87">C1064</f>
        <v>112335</v>
      </c>
      <c r="D136" s="50">
        <f t="shared" si="87"/>
        <v>38027</v>
      </c>
      <c r="E136" s="50">
        <f t="shared" si="87"/>
        <v>75004</v>
      </c>
      <c r="F136" s="50">
        <f t="shared" si="87"/>
        <v>74918</v>
      </c>
      <c r="G136" s="50">
        <f>G1064</f>
        <v>17418</v>
      </c>
      <c r="H136" s="50">
        <f>H1064</f>
        <v>423418</v>
      </c>
      <c r="I136" s="50">
        <f t="shared" ref="I136:R136" si="88">I1064</f>
        <v>247500</v>
      </c>
      <c r="J136" s="50">
        <f t="shared" si="88"/>
        <v>75000</v>
      </c>
      <c r="K136" s="50">
        <f t="shared" si="88"/>
        <v>87500</v>
      </c>
      <c r="L136" s="50">
        <f t="shared" si="88"/>
        <v>202500</v>
      </c>
      <c r="M136" s="50">
        <f t="shared" si="88"/>
        <v>175000</v>
      </c>
      <c r="N136" s="50">
        <f t="shared" si="88"/>
        <v>82500</v>
      </c>
      <c r="O136" s="50">
        <f t="shared" si="88"/>
        <v>82500</v>
      </c>
      <c r="P136" s="50">
        <f t="shared" si="88"/>
        <v>172500</v>
      </c>
      <c r="Q136" s="50">
        <f t="shared" si="88"/>
        <v>82500</v>
      </c>
      <c r="R136" s="50">
        <f t="shared" si="88"/>
        <v>132500</v>
      </c>
    </row>
    <row r="137" spans="1:18" x14ac:dyDescent="0.25">
      <c r="A137" s="41" t="s">
        <v>186</v>
      </c>
      <c r="B137" s="44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</row>
    <row r="138" spans="1:18" x14ac:dyDescent="0.25">
      <c r="A138" s="41" t="s">
        <v>172</v>
      </c>
      <c r="B138" s="44"/>
      <c r="C138" s="51">
        <f t="shared" ref="C138:R138" si="89">SUM(C130:C137)</f>
        <v>747850</v>
      </c>
      <c r="D138" s="51">
        <f t="shared" si="89"/>
        <v>922605</v>
      </c>
      <c r="E138" s="51">
        <f t="shared" si="89"/>
        <v>449926</v>
      </c>
      <c r="F138" s="51">
        <f t="shared" si="89"/>
        <v>833238.5</v>
      </c>
      <c r="G138" s="51">
        <f t="shared" si="89"/>
        <v>198184</v>
      </c>
      <c r="H138" s="51">
        <f t="shared" si="89"/>
        <v>617908</v>
      </c>
      <c r="I138" s="51">
        <f t="shared" si="89"/>
        <v>797407</v>
      </c>
      <c r="J138" s="51">
        <f t="shared" si="89"/>
        <v>879411.15999999992</v>
      </c>
      <c r="K138" s="51">
        <f t="shared" si="89"/>
        <v>763371.77184000006</v>
      </c>
      <c r="L138" s="51">
        <f t="shared" si="89"/>
        <v>864674.51359232003</v>
      </c>
      <c r="M138" s="51">
        <f t="shared" si="89"/>
        <v>830941.38489135099</v>
      </c>
      <c r="N138" s="51">
        <f t="shared" si="89"/>
        <v>911167.62474385207</v>
      </c>
      <c r="O138" s="51">
        <f t="shared" si="89"/>
        <v>855632.86536244838</v>
      </c>
      <c r="P138" s="51">
        <f t="shared" si="89"/>
        <v>885334.73699650948</v>
      </c>
      <c r="Q138" s="51">
        <f t="shared" si="89"/>
        <v>899881.37868442573</v>
      </c>
      <c r="R138" s="51">
        <f t="shared" si="89"/>
        <v>944657.13977285195</v>
      </c>
    </row>
    <row r="139" spans="1:18" x14ac:dyDescent="0.25">
      <c r="A139" s="48"/>
      <c r="B139" s="49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</row>
    <row r="140" spans="1:18" x14ac:dyDescent="0.25">
      <c r="A140" s="48" t="s">
        <v>173</v>
      </c>
      <c r="B140" s="49"/>
      <c r="C140" s="51">
        <f t="shared" ref="C140:F140" si="90">C127-C138</f>
        <v>-550742</v>
      </c>
      <c r="D140" s="51">
        <f t="shared" si="90"/>
        <v>-416588</v>
      </c>
      <c r="E140" s="51">
        <f t="shared" si="90"/>
        <v>-212169</v>
      </c>
      <c r="F140" s="51">
        <f t="shared" si="90"/>
        <v>-501362.5</v>
      </c>
      <c r="G140" s="51">
        <f>G127-G138</f>
        <v>-177641</v>
      </c>
      <c r="H140" s="51">
        <f>H127-H138</f>
        <v>-437908</v>
      </c>
      <c r="I140" s="51">
        <f t="shared" ref="I140:R140" si="91">I127-I138</f>
        <v>-797407</v>
      </c>
      <c r="J140" s="51">
        <f t="shared" si="91"/>
        <v>-879411.15999999992</v>
      </c>
      <c r="K140" s="51">
        <f t="shared" si="91"/>
        <v>-763371.77184000006</v>
      </c>
      <c r="L140" s="51">
        <f t="shared" si="91"/>
        <v>-864674.51359232003</v>
      </c>
      <c r="M140" s="51">
        <f t="shared" si="91"/>
        <v>-830941.38489135099</v>
      </c>
      <c r="N140" s="51">
        <f t="shared" si="91"/>
        <v>-911167.62474385207</v>
      </c>
      <c r="O140" s="51">
        <f t="shared" si="91"/>
        <v>-855632.86536244838</v>
      </c>
      <c r="P140" s="51">
        <f t="shared" si="91"/>
        <v>-885334.73699650948</v>
      </c>
      <c r="Q140" s="51">
        <f t="shared" si="91"/>
        <v>-899881.37868442573</v>
      </c>
      <c r="R140" s="51">
        <f t="shared" si="91"/>
        <v>-944657.13977285195</v>
      </c>
    </row>
    <row r="141" spans="1:18" x14ac:dyDescent="0.25">
      <c r="A141" s="48"/>
      <c r="B141" s="49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</row>
    <row r="142" spans="1:18" x14ac:dyDescent="0.25">
      <c r="A142" s="48" t="s">
        <v>187</v>
      </c>
      <c r="B142" s="49"/>
      <c r="C142" s="51">
        <f t="shared" ref="C142:R142" si="92">C114+C140</f>
        <v>-2702222</v>
      </c>
      <c r="D142" s="51">
        <f t="shared" si="92"/>
        <v>-2468380</v>
      </c>
      <c r="E142" s="51">
        <f t="shared" si="92"/>
        <v>-2427592.08</v>
      </c>
      <c r="F142" s="51">
        <f t="shared" si="92"/>
        <v>-2824265.3200000003</v>
      </c>
      <c r="G142" s="51">
        <f t="shared" si="92"/>
        <v>-2187051</v>
      </c>
      <c r="H142" s="51">
        <f t="shared" si="92"/>
        <v>-2877733.6957668001</v>
      </c>
      <c r="I142" s="51">
        <f t="shared" si="92"/>
        <v>-3272606.0660784161</v>
      </c>
      <c r="J142" s="51">
        <f t="shared" si="92"/>
        <v>-3369635.5414274195</v>
      </c>
      <c r="K142" s="51">
        <f t="shared" si="92"/>
        <v>-3321609.3359417072</v>
      </c>
      <c r="L142" s="51">
        <f t="shared" si="92"/>
        <v>-3495205.0350018186</v>
      </c>
      <c r="M142" s="51">
        <f t="shared" si="92"/>
        <v>-3533491.6193832383</v>
      </c>
      <c r="N142" s="51">
        <f t="shared" si="92"/>
        <v>-3685816.4723680364</v>
      </c>
      <c r="O142" s="51">
        <f t="shared" si="92"/>
        <v>-3708277.2132516475</v>
      </c>
      <c r="P142" s="51">
        <f t="shared" si="92"/>
        <v>-3820739.8702959535</v>
      </c>
      <c r="Q142" s="51">
        <f t="shared" si="92"/>
        <v>-3917920.6783553334</v>
      </c>
      <c r="R142" s="51">
        <f t="shared" si="92"/>
        <v>-4035989.0023586038</v>
      </c>
    </row>
    <row r="143" spans="1:18" x14ac:dyDescent="0.25">
      <c r="A143" s="48"/>
      <c r="B143" s="49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</row>
    <row r="144" spans="1:18" x14ac:dyDescent="0.25">
      <c r="A144" s="52"/>
      <c r="B144" s="53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</row>
    <row r="145" spans="1:18" x14ac:dyDescent="0.25">
      <c r="A145" s="41" t="s">
        <v>161</v>
      </c>
      <c r="B145" s="44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</row>
    <row r="146" spans="1:18" x14ac:dyDescent="0.25">
      <c r="A146" s="48"/>
      <c r="B146" s="49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</row>
    <row r="147" spans="1:18" x14ac:dyDescent="0.25">
      <c r="A147" s="48" t="s">
        <v>157</v>
      </c>
      <c r="B147" s="49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</row>
    <row r="148" spans="1:18" x14ac:dyDescent="0.25">
      <c r="A148" s="48"/>
      <c r="B148" s="49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</row>
    <row r="149" spans="1:18" x14ac:dyDescent="0.25">
      <c r="A149" s="48" t="s">
        <v>158</v>
      </c>
      <c r="B149" s="49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</row>
    <row r="150" spans="1:18" x14ac:dyDescent="0.25">
      <c r="A150" s="41" t="s">
        <v>188</v>
      </c>
      <c r="B150" s="44"/>
      <c r="C150" s="50">
        <f t="shared" ref="C150:F150" si="93">C1118</f>
        <v>65862</v>
      </c>
      <c r="D150" s="50">
        <f t="shared" si="93"/>
        <v>67576</v>
      </c>
      <c r="E150" s="50">
        <f t="shared" si="93"/>
        <v>68407</v>
      </c>
      <c r="F150" s="50">
        <f t="shared" si="93"/>
        <v>70701</v>
      </c>
      <c r="G150" s="50">
        <f>G1118</f>
        <v>73876</v>
      </c>
      <c r="H150" s="50">
        <f>H1118</f>
        <v>80500</v>
      </c>
      <c r="I150" s="50">
        <f t="shared" ref="I150:R150" si="94">I1118</f>
        <v>82351.5</v>
      </c>
      <c r="J150" s="50">
        <f t="shared" si="94"/>
        <v>84327.936000000002</v>
      </c>
      <c r="K150" s="50">
        <f t="shared" si="94"/>
        <v>86351.806464000008</v>
      </c>
      <c r="L150" s="50">
        <f t="shared" si="94"/>
        <v>88337.898012671998</v>
      </c>
      <c r="M150" s="50">
        <f t="shared" si="94"/>
        <v>90281.331768950797</v>
      </c>
      <c r="N150" s="50">
        <f t="shared" si="94"/>
        <v>92357.802399636639</v>
      </c>
      <c r="O150" s="50">
        <f t="shared" si="94"/>
        <v>94666.747459627542</v>
      </c>
      <c r="P150" s="50">
        <f t="shared" si="94"/>
        <v>97033.416146118238</v>
      </c>
      <c r="Q150" s="50">
        <f t="shared" si="94"/>
        <v>99362.21813362508</v>
      </c>
      <c r="R150" s="50">
        <f t="shared" si="94"/>
        <v>101746.91136883208</v>
      </c>
    </row>
    <row r="151" spans="1:18" x14ac:dyDescent="0.25">
      <c r="A151" s="41" t="s">
        <v>189</v>
      </c>
      <c r="B151" s="44"/>
      <c r="C151" s="50">
        <f t="shared" ref="C151:F151" si="95">C1177</f>
        <v>2367490</v>
      </c>
      <c r="D151" s="50">
        <f t="shared" si="95"/>
        <v>2517188</v>
      </c>
      <c r="E151" s="50">
        <f t="shared" si="95"/>
        <v>2642762</v>
      </c>
      <c r="F151" s="50">
        <f t="shared" si="95"/>
        <v>2709562</v>
      </c>
      <c r="G151" s="50">
        <f>G1177</f>
        <v>2795986</v>
      </c>
      <c r="H151" s="50">
        <f>H1177</f>
        <v>2975100</v>
      </c>
      <c r="I151" s="50">
        <f t="shared" ref="I151:R151" si="96">I1177</f>
        <v>3042151.8999999994</v>
      </c>
      <c r="J151" s="50">
        <f t="shared" si="96"/>
        <v>3113728.3456000006</v>
      </c>
      <c r="K151" s="50">
        <f t="shared" si="96"/>
        <v>3127222.6258944003</v>
      </c>
      <c r="L151" s="50">
        <f t="shared" si="96"/>
        <v>3199148.7462899708</v>
      </c>
      <c r="M151" s="50">
        <f t="shared" si="96"/>
        <v>3269530.0187083501</v>
      </c>
      <c r="N151" s="50">
        <f t="shared" si="96"/>
        <v>3344729.2091386421</v>
      </c>
      <c r="O151" s="50">
        <f t="shared" si="96"/>
        <v>3428347.4393671076</v>
      </c>
      <c r="P151" s="50">
        <f t="shared" si="96"/>
        <v>3514056.1253512851</v>
      </c>
      <c r="Q151" s="50">
        <f t="shared" si="96"/>
        <v>3598393.472359716</v>
      </c>
      <c r="R151" s="50">
        <f t="shared" si="96"/>
        <v>3684754.915696349</v>
      </c>
    </row>
    <row r="152" spans="1:18" x14ac:dyDescent="0.25">
      <c r="A152" s="41" t="s">
        <v>190</v>
      </c>
      <c r="B152" s="44"/>
      <c r="C152" s="50">
        <f t="shared" ref="C152:F152" si="97">C1267</f>
        <v>114168</v>
      </c>
      <c r="D152" s="50">
        <f t="shared" si="97"/>
        <v>172078</v>
      </c>
      <c r="E152" s="50">
        <f t="shared" si="97"/>
        <v>88762</v>
      </c>
      <c r="F152" s="50">
        <f t="shared" si="97"/>
        <v>32588</v>
      </c>
      <c r="G152" s="50">
        <f>G1267</f>
        <v>96108</v>
      </c>
      <c r="H152" s="50">
        <f>H1267</f>
        <v>0</v>
      </c>
      <c r="I152" s="50">
        <f t="shared" ref="I152:R152" si="98">I1267</f>
        <v>0</v>
      </c>
      <c r="J152" s="50">
        <f t="shared" si="98"/>
        <v>0</v>
      </c>
      <c r="K152" s="50">
        <f t="shared" si="98"/>
        <v>0</v>
      </c>
      <c r="L152" s="50">
        <f t="shared" si="98"/>
        <v>0</v>
      </c>
      <c r="M152" s="50">
        <f t="shared" si="98"/>
        <v>0</v>
      </c>
      <c r="N152" s="50">
        <f t="shared" si="98"/>
        <v>0</v>
      </c>
      <c r="O152" s="50">
        <f t="shared" si="98"/>
        <v>0</v>
      </c>
      <c r="P152" s="50">
        <f t="shared" si="98"/>
        <v>0</v>
      </c>
      <c r="Q152" s="50">
        <f t="shared" si="98"/>
        <v>0</v>
      </c>
      <c r="R152" s="50">
        <f t="shared" si="98"/>
        <v>0</v>
      </c>
    </row>
    <row r="153" spans="1:18" x14ac:dyDescent="0.25">
      <c r="A153" s="41" t="s">
        <v>184</v>
      </c>
      <c r="B153" s="44"/>
      <c r="C153" s="50">
        <f t="shared" ref="C153:F153" si="99">C1353</f>
        <v>0</v>
      </c>
      <c r="D153" s="50">
        <f t="shared" si="99"/>
        <v>0</v>
      </c>
      <c r="E153" s="50">
        <f t="shared" si="99"/>
        <v>0</v>
      </c>
      <c r="F153" s="50">
        <f t="shared" si="99"/>
        <v>0</v>
      </c>
      <c r="G153" s="50">
        <f>G1353</f>
        <v>0</v>
      </c>
      <c r="H153" s="50">
        <f>H1353</f>
        <v>22500</v>
      </c>
      <c r="I153" s="50">
        <f t="shared" ref="I153:R153" si="100">I1353</f>
        <v>23017.499999999996</v>
      </c>
      <c r="J153" s="50">
        <f t="shared" si="100"/>
        <v>23569.919999999998</v>
      </c>
      <c r="K153" s="50">
        <f t="shared" si="100"/>
        <v>24135.59808</v>
      </c>
      <c r="L153" s="50">
        <f t="shared" si="100"/>
        <v>24690.716835839998</v>
      </c>
      <c r="M153" s="50">
        <f t="shared" si="100"/>
        <v>25233.912606228478</v>
      </c>
      <c r="N153" s="50">
        <f t="shared" si="100"/>
        <v>25814.29259617173</v>
      </c>
      <c r="O153" s="50">
        <f t="shared" si="100"/>
        <v>26459.64991107602</v>
      </c>
      <c r="P153" s="50">
        <f t="shared" si="100"/>
        <v>27121.141158852919</v>
      </c>
      <c r="Q153" s="50">
        <f t="shared" si="100"/>
        <v>27772.048546665388</v>
      </c>
      <c r="R153" s="50">
        <f t="shared" si="100"/>
        <v>28438.577711785358</v>
      </c>
    </row>
    <row r="154" spans="1:18" x14ac:dyDescent="0.25">
      <c r="A154" s="41" t="s">
        <v>164</v>
      </c>
      <c r="B154" s="44"/>
      <c r="C154" s="51">
        <f t="shared" ref="C154:R154" si="101">SUM(C150:C153)</f>
        <v>2547520</v>
      </c>
      <c r="D154" s="51">
        <f t="shared" si="101"/>
        <v>2756842</v>
      </c>
      <c r="E154" s="51">
        <f t="shared" si="101"/>
        <v>2799931</v>
      </c>
      <c r="F154" s="51">
        <f t="shared" si="101"/>
        <v>2812851</v>
      </c>
      <c r="G154" s="51">
        <f t="shared" si="101"/>
        <v>2965970</v>
      </c>
      <c r="H154" s="51">
        <f t="shared" si="101"/>
        <v>3078100</v>
      </c>
      <c r="I154" s="51">
        <f t="shared" si="101"/>
        <v>3147520.8999999994</v>
      </c>
      <c r="J154" s="51">
        <f t="shared" si="101"/>
        <v>3221626.2016000007</v>
      </c>
      <c r="K154" s="51">
        <f t="shared" si="101"/>
        <v>3237710.0304384003</v>
      </c>
      <c r="L154" s="51">
        <f t="shared" si="101"/>
        <v>3312177.361138483</v>
      </c>
      <c r="M154" s="51">
        <f t="shared" si="101"/>
        <v>3385045.2630835297</v>
      </c>
      <c r="N154" s="51">
        <f t="shared" si="101"/>
        <v>3462901.3041344504</v>
      </c>
      <c r="O154" s="51">
        <f t="shared" si="101"/>
        <v>3549473.8367378111</v>
      </c>
      <c r="P154" s="51">
        <f t="shared" si="101"/>
        <v>3638210.682656256</v>
      </c>
      <c r="Q154" s="51">
        <f t="shared" si="101"/>
        <v>3725527.7390400064</v>
      </c>
      <c r="R154" s="51">
        <f t="shared" si="101"/>
        <v>3814940.4047769662</v>
      </c>
    </row>
    <row r="155" spans="1:18" x14ac:dyDescent="0.25">
      <c r="A155" s="48"/>
      <c r="B155" s="49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</row>
    <row r="156" spans="1:18" x14ac:dyDescent="0.25">
      <c r="A156" s="41" t="s">
        <v>165</v>
      </c>
      <c r="B156" s="44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</row>
    <row r="157" spans="1:18" x14ac:dyDescent="0.25">
      <c r="A157" s="41" t="s">
        <v>188</v>
      </c>
      <c r="B157" s="44"/>
      <c r="C157" s="50">
        <f t="shared" ref="C157:F157" si="102">C1153</f>
        <v>317999</v>
      </c>
      <c r="D157" s="50">
        <f t="shared" si="102"/>
        <v>320646</v>
      </c>
      <c r="E157" s="50">
        <f t="shared" si="102"/>
        <v>338439</v>
      </c>
      <c r="F157" s="50">
        <f t="shared" si="102"/>
        <v>384385</v>
      </c>
      <c r="G157" s="50">
        <f>G1153</f>
        <v>317355</v>
      </c>
      <c r="H157" s="50">
        <f>H1153</f>
        <v>366960</v>
      </c>
      <c r="I157" s="50">
        <f t="shared" ref="I157:R157" si="103">I1153</f>
        <v>375712.5</v>
      </c>
      <c r="J157" s="50">
        <f t="shared" si="103"/>
        <v>385719.00949999993</v>
      </c>
      <c r="K157" s="50">
        <f t="shared" si="103"/>
        <v>396989.7121704999</v>
      </c>
      <c r="L157" s="50">
        <f t="shared" si="103"/>
        <v>408637.49781644641</v>
      </c>
      <c r="M157" s="50">
        <f t="shared" si="103"/>
        <v>420225.27942121204</v>
      </c>
      <c r="N157" s="50">
        <f t="shared" si="103"/>
        <v>432205.50770028541</v>
      </c>
      <c r="O157" s="50">
        <f t="shared" si="103"/>
        <v>444855.03664074955</v>
      </c>
      <c r="P157" s="50">
        <f t="shared" si="103"/>
        <v>458502.24062977184</v>
      </c>
      <c r="Q157" s="50">
        <f t="shared" si="103"/>
        <v>473365.61332431494</v>
      </c>
      <c r="R157" s="50">
        <f t="shared" si="103"/>
        <v>487255.24510278768</v>
      </c>
    </row>
    <row r="158" spans="1:18" x14ac:dyDescent="0.25">
      <c r="A158" s="41" t="s">
        <v>189</v>
      </c>
      <c r="B158" s="44"/>
      <c r="C158" s="50">
        <f t="shared" ref="C158:F158" si="104">C1221</f>
        <v>2285668.4300000002</v>
      </c>
      <c r="D158" s="50">
        <f t="shared" si="104"/>
        <v>2469926</v>
      </c>
      <c r="E158" s="50">
        <f t="shared" si="104"/>
        <v>2580160</v>
      </c>
      <c r="F158" s="50">
        <f t="shared" si="104"/>
        <v>2491413</v>
      </c>
      <c r="G158" s="50">
        <f>G1221</f>
        <v>2625015</v>
      </c>
      <c r="H158" s="50">
        <f>H1221</f>
        <v>2909175</v>
      </c>
      <c r="I158" s="50">
        <f t="shared" ref="I158:R158" si="105">I1221</f>
        <v>2978738.1</v>
      </c>
      <c r="J158" s="50">
        <f t="shared" si="105"/>
        <v>3049503.4394000005</v>
      </c>
      <c r="K158" s="50">
        <f t="shared" si="105"/>
        <v>3062666.1815205999</v>
      </c>
      <c r="L158" s="50">
        <f t="shared" si="105"/>
        <v>3135146.4801553236</v>
      </c>
      <c r="M158" s="50">
        <f t="shared" si="105"/>
        <v>3207914.6798266633</v>
      </c>
      <c r="N158" s="50">
        <f t="shared" si="105"/>
        <v>3283045.8355974383</v>
      </c>
      <c r="O158" s="50">
        <f t="shared" si="105"/>
        <v>3366486.2705161795</v>
      </c>
      <c r="P158" s="50">
        <f t="shared" si="105"/>
        <v>3452616.4750647335</v>
      </c>
      <c r="Q158" s="50">
        <f t="shared" si="105"/>
        <v>3536971.548422243</v>
      </c>
      <c r="R158" s="50">
        <f t="shared" si="105"/>
        <v>3624327.5220308383</v>
      </c>
    </row>
    <row r="159" spans="1:18" x14ac:dyDescent="0.25">
      <c r="A159" s="41" t="s">
        <v>190</v>
      </c>
      <c r="B159" s="44"/>
      <c r="C159" s="50">
        <f t="shared" ref="C159:F159" si="106">C1312</f>
        <v>251315</v>
      </c>
      <c r="D159" s="50">
        <f t="shared" si="106"/>
        <v>308029</v>
      </c>
      <c r="E159" s="50">
        <f t="shared" si="106"/>
        <v>284023</v>
      </c>
      <c r="F159" s="50">
        <f t="shared" si="106"/>
        <v>304642</v>
      </c>
      <c r="G159" s="50">
        <f>G1312</f>
        <v>236439</v>
      </c>
      <c r="H159" s="50">
        <f>H1312</f>
        <v>220100</v>
      </c>
      <c r="I159" s="50">
        <f t="shared" ref="I159:R159" si="107">I1312</f>
        <v>225325.6</v>
      </c>
      <c r="J159" s="50">
        <f t="shared" si="107"/>
        <v>230982.63939999999</v>
      </c>
      <c r="K159" s="50">
        <f t="shared" si="107"/>
        <v>236927.92572059997</v>
      </c>
      <c r="L159" s="50">
        <f t="shared" si="107"/>
        <v>242917.70139392378</v>
      </c>
      <c r="M159" s="50">
        <f t="shared" si="107"/>
        <v>248883.04320793785</v>
      </c>
      <c r="N159" s="50">
        <f t="shared" si="107"/>
        <v>255072.73576345085</v>
      </c>
      <c r="O159" s="50">
        <f t="shared" si="107"/>
        <v>261895.03919611938</v>
      </c>
      <c r="P159" s="50">
        <f t="shared" si="107"/>
        <v>268950.19303864421</v>
      </c>
      <c r="Q159" s="50">
        <f t="shared" si="107"/>
        <v>276156.28912707273</v>
      </c>
      <c r="R159" s="50">
        <f t="shared" si="107"/>
        <v>280076.69143111055</v>
      </c>
    </row>
    <row r="160" spans="1:18" x14ac:dyDescent="0.25">
      <c r="A160" s="41" t="s">
        <v>184</v>
      </c>
      <c r="B160" s="44"/>
      <c r="C160" s="50">
        <f t="shared" ref="C160:F160" si="108">C1381</f>
        <v>174074</v>
      </c>
      <c r="D160" s="50">
        <f t="shared" si="108"/>
        <v>280123</v>
      </c>
      <c r="E160" s="50">
        <f t="shared" si="108"/>
        <v>248817</v>
      </c>
      <c r="F160" s="50">
        <f t="shared" si="108"/>
        <v>181671</v>
      </c>
      <c r="G160" s="50">
        <f>G1381</f>
        <v>195808</v>
      </c>
      <c r="H160" s="50">
        <f>H1381</f>
        <v>256230</v>
      </c>
      <c r="I160" s="50">
        <f t="shared" ref="I160:R160" si="109">I1381</f>
        <v>250849.5</v>
      </c>
      <c r="J160" s="50">
        <f t="shared" si="109"/>
        <v>263811.92249999999</v>
      </c>
      <c r="K160" s="50">
        <f t="shared" si="109"/>
        <v>283264.08089749998</v>
      </c>
      <c r="L160" s="50">
        <f t="shared" si="109"/>
        <v>272470.06694311748</v>
      </c>
      <c r="M160" s="50">
        <f t="shared" si="109"/>
        <v>285540.01848894521</v>
      </c>
      <c r="N160" s="50">
        <f t="shared" si="109"/>
        <v>299624.65151418338</v>
      </c>
      <c r="O160" s="50">
        <f t="shared" si="109"/>
        <v>294612.27370003005</v>
      </c>
      <c r="P160" s="50">
        <f t="shared" si="109"/>
        <v>316823.4952826096</v>
      </c>
      <c r="Q160" s="50">
        <f t="shared" si="109"/>
        <v>322866.27010021597</v>
      </c>
      <c r="R160" s="50">
        <f t="shared" si="109"/>
        <v>329100.03465300304</v>
      </c>
    </row>
    <row r="161" spans="1:18" x14ac:dyDescent="0.25">
      <c r="A161" s="41" t="s">
        <v>166</v>
      </c>
      <c r="B161" s="44"/>
      <c r="C161" s="51">
        <f t="shared" ref="C161:R161" si="110">SUM(C157:C160)</f>
        <v>3029056.43</v>
      </c>
      <c r="D161" s="51">
        <f t="shared" si="110"/>
        <v>3378724</v>
      </c>
      <c r="E161" s="51">
        <f t="shared" si="110"/>
        <v>3451439</v>
      </c>
      <c r="F161" s="51">
        <f t="shared" si="110"/>
        <v>3362111</v>
      </c>
      <c r="G161" s="51">
        <f t="shared" si="110"/>
        <v>3374617</v>
      </c>
      <c r="H161" s="51">
        <f t="shared" si="110"/>
        <v>3752465</v>
      </c>
      <c r="I161" s="51">
        <f t="shared" si="110"/>
        <v>3830625.7</v>
      </c>
      <c r="J161" s="51">
        <f t="shared" si="110"/>
        <v>3930017.0107999998</v>
      </c>
      <c r="K161" s="51">
        <f t="shared" si="110"/>
        <v>3979847.9003091995</v>
      </c>
      <c r="L161" s="51">
        <f t="shared" si="110"/>
        <v>4059171.746308811</v>
      </c>
      <c r="M161" s="51">
        <f t="shared" si="110"/>
        <v>4162563.0209447583</v>
      </c>
      <c r="N161" s="51">
        <f t="shared" si="110"/>
        <v>4269948.7305753585</v>
      </c>
      <c r="O161" s="51">
        <f t="shared" si="110"/>
        <v>4367848.620053078</v>
      </c>
      <c r="P161" s="51">
        <f t="shared" si="110"/>
        <v>4496892.404015759</v>
      </c>
      <c r="Q161" s="51">
        <f t="shared" si="110"/>
        <v>4609359.7209738465</v>
      </c>
      <c r="R161" s="51">
        <f t="shared" si="110"/>
        <v>4720759.4932177402</v>
      </c>
    </row>
    <row r="162" spans="1:18" x14ac:dyDescent="0.25">
      <c r="A162" s="48"/>
      <c r="B162" s="49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</row>
    <row r="163" spans="1:18" x14ac:dyDescent="0.25">
      <c r="A163" s="48" t="s">
        <v>167</v>
      </c>
      <c r="B163" s="49"/>
      <c r="C163" s="51">
        <f t="shared" ref="C163:R163" si="111">C154-C161</f>
        <v>-481536.43000000017</v>
      </c>
      <c r="D163" s="51">
        <f t="shared" si="111"/>
        <v>-621882</v>
      </c>
      <c r="E163" s="51">
        <f t="shared" si="111"/>
        <v>-651508</v>
      </c>
      <c r="F163" s="51">
        <f t="shared" si="111"/>
        <v>-549260</v>
      </c>
      <c r="G163" s="51">
        <f t="shared" si="111"/>
        <v>-408647</v>
      </c>
      <c r="H163" s="51">
        <f t="shared" si="111"/>
        <v>-674365</v>
      </c>
      <c r="I163" s="51">
        <f t="shared" si="111"/>
        <v>-683104.80000000075</v>
      </c>
      <c r="J163" s="51">
        <f t="shared" si="111"/>
        <v>-708390.80919999909</v>
      </c>
      <c r="K163" s="51">
        <f t="shared" si="111"/>
        <v>-742137.86987079913</v>
      </c>
      <c r="L163" s="51">
        <f t="shared" si="111"/>
        <v>-746994.38517032797</v>
      </c>
      <c r="M163" s="51">
        <f t="shared" si="111"/>
        <v>-777517.75786122866</v>
      </c>
      <c r="N163" s="51">
        <f t="shared" si="111"/>
        <v>-807047.42644090811</v>
      </c>
      <c r="O163" s="51">
        <f t="shared" si="111"/>
        <v>-818374.78331526695</v>
      </c>
      <c r="P163" s="51">
        <f t="shared" si="111"/>
        <v>-858681.72135950299</v>
      </c>
      <c r="Q163" s="51">
        <f t="shared" si="111"/>
        <v>-883831.98193384008</v>
      </c>
      <c r="R163" s="51">
        <f t="shared" si="111"/>
        <v>-905819.08844077401</v>
      </c>
    </row>
    <row r="164" spans="1:18" x14ac:dyDescent="0.25">
      <c r="A164" s="48"/>
      <c r="B164" s="49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</row>
    <row r="165" spans="1:18" x14ac:dyDescent="0.25">
      <c r="A165" s="48" t="s">
        <v>168</v>
      </c>
      <c r="B165" s="49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</row>
    <row r="166" spans="1:18" x14ac:dyDescent="0.25">
      <c r="A166" s="48"/>
      <c r="B166" s="49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</row>
    <row r="167" spans="1:18" x14ac:dyDescent="0.25">
      <c r="A167" s="48" t="s">
        <v>169</v>
      </c>
      <c r="B167" s="49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</row>
    <row r="168" spans="1:18" x14ac:dyDescent="0.25">
      <c r="A168" s="41" t="s">
        <v>188</v>
      </c>
      <c r="B168" s="44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</row>
    <row r="169" spans="1:18" x14ac:dyDescent="0.25">
      <c r="A169" s="41" t="s">
        <v>189</v>
      </c>
      <c r="B169" s="44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</row>
    <row r="170" spans="1:18" x14ac:dyDescent="0.25">
      <c r="A170" s="41" t="s">
        <v>190</v>
      </c>
      <c r="B170" s="44"/>
      <c r="C170" s="50">
        <f t="shared" ref="C170:F170" si="112">C1318</f>
        <v>0</v>
      </c>
      <c r="D170" s="50">
        <f t="shared" si="112"/>
        <v>0</v>
      </c>
      <c r="E170" s="50">
        <f t="shared" si="112"/>
        <v>0</v>
      </c>
      <c r="F170" s="50">
        <f t="shared" si="112"/>
        <v>0</v>
      </c>
      <c r="G170" s="50">
        <f>G1318</f>
        <v>0</v>
      </c>
      <c r="H170" s="50">
        <f>H1318</f>
        <v>0</v>
      </c>
      <c r="I170" s="50">
        <f t="shared" ref="I170:R170" si="113">I1318</f>
        <v>0</v>
      </c>
      <c r="J170" s="50">
        <f t="shared" si="113"/>
        <v>0</v>
      </c>
      <c r="K170" s="50">
        <f t="shared" si="113"/>
        <v>0</v>
      </c>
      <c r="L170" s="50">
        <f t="shared" si="113"/>
        <v>0</v>
      </c>
      <c r="M170" s="50">
        <f t="shared" si="113"/>
        <v>0</v>
      </c>
      <c r="N170" s="50">
        <f t="shared" si="113"/>
        <v>0</v>
      </c>
      <c r="O170" s="50">
        <f t="shared" si="113"/>
        <v>0</v>
      </c>
      <c r="P170" s="50">
        <f t="shared" si="113"/>
        <v>0</v>
      </c>
      <c r="Q170" s="50">
        <f t="shared" si="113"/>
        <v>0</v>
      </c>
      <c r="R170" s="50">
        <f t="shared" si="113"/>
        <v>0</v>
      </c>
    </row>
    <row r="171" spans="1:18" x14ac:dyDescent="0.25">
      <c r="A171" s="41" t="s">
        <v>184</v>
      </c>
      <c r="B171" s="44"/>
      <c r="C171" s="50"/>
      <c r="D171" s="50">
        <f t="shared" ref="D171" si="114">D1387</f>
        <v>34030</v>
      </c>
      <c r="E171" s="50">
        <f>E1387</f>
        <v>34802</v>
      </c>
      <c r="F171" s="50">
        <f t="shared" ref="F171" si="115">F1387</f>
        <v>0</v>
      </c>
      <c r="G171" s="50">
        <f>G1387</f>
        <v>0</v>
      </c>
      <c r="H171" s="50">
        <f>H1387</f>
        <v>0</v>
      </c>
      <c r="I171" s="50">
        <f t="shared" ref="I171:R171" si="116">I1387</f>
        <v>0</v>
      </c>
      <c r="J171" s="50">
        <f t="shared" si="116"/>
        <v>0</v>
      </c>
      <c r="K171" s="50">
        <f t="shared" si="116"/>
        <v>0</v>
      </c>
      <c r="L171" s="50">
        <f t="shared" si="116"/>
        <v>0</v>
      </c>
      <c r="M171" s="50">
        <f t="shared" si="116"/>
        <v>0</v>
      </c>
      <c r="N171" s="50">
        <f t="shared" si="116"/>
        <v>0</v>
      </c>
      <c r="O171" s="50">
        <f t="shared" si="116"/>
        <v>0</v>
      </c>
      <c r="P171" s="50">
        <f t="shared" si="116"/>
        <v>0</v>
      </c>
      <c r="Q171" s="50">
        <f t="shared" si="116"/>
        <v>0</v>
      </c>
      <c r="R171" s="50">
        <f t="shared" si="116"/>
        <v>0</v>
      </c>
    </row>
    <row r="172" spans="1:18" x14ac:dyDescent="0.25">
      <c r="A172" s="41" t="s">
        <v>170</v>
      </c>
      <c r="B172" s="44"/>
      <c r="C172" s="51">
        <f t="shared" ref="C172:R172" si="117">SUM(C167:C171)</f>
        <v>0</v>
      </c>
      <c r="D172" s="51">
        <f t="shared" si="117"/>
        <v>34030</v>
      </c>
      <c r="E172" s="51">
        <f t="shared" si="117"/>
        <v>34802</v>
      </c>
      <c r="F172" s="51">
        <f t="shared" si="117"/>
        <v>0</v>
      </c>
      <c r="G172" s="51">
        <f t="shared" si="117"/>
        <v>0</v>
      </c>
      <c r="H172" s="51">
        <f t="shared" si="117"/>
        <v>0</v>
      </c>
      <c r="I172" s="51">
        <f t="shared" si="117"/>
        <v>0</v>
      </c>
      <c r="J172" s="51">
        <f t="shared" si="117"/>
        <v>0</v>
      </c>
      <c r="K172" s="51">
        <f t="shared" si="117"/>
        <v>0</v>
      </c>
      <c r="L172" s="51">
        <f t="shared" si="117"/>
        <v>0</v>
      </c>
      <c r="M172" s="51">
        <f t="shared" si="117"/>
        <v>0</v>
      </c>
      <c r="N172" s="51">
        <f t="shared" si="117"/>
        <v>0</v>
      </c>
      <c r="O172" s="51">
        <f t="shared" si="117"/>
        <v>0</v>
      </c>
      <c r="P172" s="51">
        <f t="shared" si="117"/>
        <v>0</v>
      </c>
      <c r="Q172" s="51">
        <f t="shared" si="117"/>
        <v>0</v>
      </c>
      <c r="R172" s="51">
        <f t="shared" si="117"/>
        <v>0</v>
      </c>
    </row>
    <row r="173" spans="1:18" x14ac:dyDescent="0.25">
      <c r="A173" s="48"/>
      <c r="B173" s="49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</row>
    <row r="174" spans="1:18" x14ac:dyDescent="0.25">
      <c r="A174" s="41" t="s">
        <v>171</v>
      </c>
      <c r="B174" s="44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</row>
    <row r="175" spans="1:18" x14ac:dyDescent="0.25">
      <c r="A175" s="41" t="s">
        <v>188</v>
      </c>
      <c r="B175" s="44"/>
      <c r="C175" s="50"/>
      <c r="D175" s="50">
        <f>D168:N168</f>
        <v>0</v>
      </c>
      <c r="E175" s="50">
        <f>E168:N168</f>
        <v>0</v>
      </c>
      <c r="F175" s="50">
        <f>F168:N168</f>
        <v>0</v>
      </c>
      <c r="G175" s="50">
        <f>G168:V168</f>
        <v>0</v>
      </c>
      <c r="H175" s="50">
        <f t="shared" ref="H175" si="118">H168:Q168</f>
        <v>0</v>
      </c>
      <c r="I175" s="50">
        <f>I168:Q168</f>
        <v>0</v>
      </c>
      <c r="J175" s="50">
        <f>J168:Q168</f>
        <v>0</v>
      </c>
      <c r="K175" s="50">
        <f>K168:Q168</f>
        <v>0</v>
      </c>
      <c r="L175" s="50">
        <f>L168:Q168</f>
        <v>0</v>
      </c>
      <c r="M175" s="50">
        <f>M168:Q168</f>
        <v>0</v>
      </c>
      <c r="N175" s="50">
        <f>N168:Q168</f>
        <v>0</v>
      </c>
      <c r="O175" s="50">
        <f>O168:Q168</f>
        <v>0</v>
      </c>
      <c r="P175" s="50">
        <f>P168:Q168</f>
        <v>0</v>
      </c>
      <c r="Q175" s="50">
        <f>Q168:Q168</f>
        <v>0</v>
      </c>
      <c r="R175" s="50">
        <f>R168:R168</f>
        <v>0</v>
      </c>
    </row>
    <row r="176" spans="1:18" x14ac:dyDescent="0.25">
      <c r="A176" s="41" t="s">
        <v>189</v>
      </c>
      <c r="B176" s="44"/>
      <c r="C176" s="50"/>
      <c r="D176" s="50">
        <f>D1692</f>
        <v>51765</v>
      </c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</row>
    <row r="177" spans="1:18" x14ac:dyDescent="0.25">
      <c r="A177" s="41" t="s">
        <v>190</v>
      </c>
      <c r="B177" s="44"/>
      <c r="C177" s="50">
        <f t="shared" ref="C177:E177" si="119">C1342</f>
        <v>48770</v>
      </c>
      <c r="D177" s="50">
        <f t="shared" si="119"/>
        <v>109922</v>
      </c>
      <c r="E177" s="50">
        <f t="shared" si="119"/>
        <v>112783</v>
      </c>
      <c r="F177" s="50">
        <f>F1342+F1229</f>
        <v>86525</v>
      </c>
      <c r="G177" s="50">
        <f>G1342</f>
        <v>41616</v>
      </c>
      <c r="H177" s="50">
        <f>H1342</f>
        <v>46387</v>
      </c>
      <c r="I177" s="50">
        <f t="shared" ref="I177:R177" si="120">I1342</f>
        <v>103090</v>
      </c>
      <c r="J177" s="50">
        <f t="shared" si="120"/>
        <v>75504</v>
      </c>
      <c r="K177" s="50">
        <f t="shared" si="120"/>
        <v>112361</v>
      </c>
      <c r="L177" s="50">
        <f t="shared" si="120"/>
        <v>58925</v>
      </c>
      <c r="M177" s="50">
        <f t="shared" si="120"/>
        <v>121800</v>
      </c>
      <c r="N177" s="50">
        <f t="shared" si="120"/>
        <v>48628</v>
      </c>
      <c r="O177" s="50">
        <f t="shared" si="120"/>
        <v>48628</v>
      </c>
      <c r="P177" s="50">
        <f t="shared" si="120"/>
        <v>48628</v>
      </c>
      <c r="Q177" s="50">
        <f t="shared" si="120"/>
        <v>48628</v>
      </c>
      <c r="R177" s="50">
        <f t="shared" si="120"/>
        <v>48628</v>
      </c>
    </row>
    <row r="178" spans="1:18" x14ac:dyDescent="0.25">
      <c r="A178" s="41" t="s">
        <v>184</v>
      </c>
      <c r="B178" s="44"/>
      <c r="C178" s="50"/>
      <c r="D178" s="50">
        <f t="shared" ref="D178" si="121">D1393</f>
        <v>0</v>
      </c>
      <c r="E178" s="50">
        <f>E1393</f>
        <v>0</v>
      </c>
      <c r="F178" s="50">
        <f t="shared" ref="F178" si="122">F1393</f>
        <v>0</v>
      </c>
      <c r="G178" s="50">
        <f>G1393</f>
        <v>0</v>
      </c>
      <c r="H178" s="50">
        <f>H1393</f>
        <v>0</v>
      </c>
      <c r="I178" s="50">
        <f t="shared" ref="I178:R178" si="123">I1393</f>
        <v>0</v>
      </c>
      <c r="J178" s="50">
        <f t="shared" si="123"/>
        <v>0</v>
      </c>
      <c r="K178" s="50">
        <f t="shared" si="123"/>
        <v>0</v>
      </c>
      <c r="L178" s="50">
        <f t="shared" si="123"/>
        <v>0</v>
      </c>
      <c r="M178" s="50">
        <f t="shared" si="123"/>
        <v>0</v>
      </c>
      <c r="N178" s="50">
        <f t="shared" si="123"/>
        <v>0</v>
      </c>
      <c r="O178" s="50">
        <f t="shared" si="123"/>
        <v>0</v>
      </c>
      <c r="P178" s="50">
        <f t="shared" si="123"/>
        <v>0</v>
      </c>
      <c r="Q178" s="50">
        <f t="shared" si="123"/>
        <v>0</v>
      </c>
      <c r="R178" s="50">
        <f t="shared" si="123"/>
        <v>0</v>
      </c>
    </row>
    <row r="179" spans="1:18" x14ac:dyDescent="0.25">
      <c r="A179" s="41" t="s">
        <v>172</v>
      </c>
      <c r="B179" s="44"/>
      <c r="C179" s="51">
        <f t="shared" ref="C179:R179" si="124">SUM(C175:C178)</f>
        <v>48770</v>
      </c>
      <c r="D179" s="51">
        <f t="shared" si="124"/>
        <v>161687</v>
      </c>
      <c r="E179" s="51">
        <f t="shared" si="124"/>
        <v>112783</v>
      </c>
      <c r="F179" s="51">
        <f t="shared" si="124"/>
        <v>86525</v>
      </c>
      <c r="G179" s="51">
        <f t="shared" si="124"/>
        <v>41616</v>
      </c>
      <c r="H179" s="51">
        <f t="shared" si="124"/>
        <v>46387</v>
      </c>
      <c r="I179" s="51">
        <f t="shared" si="124"/>
        <v>103090</v>
      </c>
      <c r="J179" s="51">
        <f t="shared" si="124"/>
        <v>75504</v>
      </c>
      <c r="K179" s="51">
        <f t="shared" si="124"/>
        <v>112361</v>
      </c>
      <c r="L179" s="51">
        <f t="shared" si="124"/>
        <v>58925</v>
      </c>
      <c r="M179" s="51">
        <f t="shared" si="124"/>
        <v>121800</v>
      </c>
      <c r="N179" s="51">
        <f t="shared" si="124"/>
        <v>48628</v>
      </c>
      <c r="O179" s="51">
        <f t="shared" si="124"/>
        <v>48628</v>
      </c>
      <c r="P179" s="51">
        <f t="shared" si="124"/>
        <v>48628</v>
      </c>
      <c r="Q179" s="51">
        <f t="shared" si="124"/>
        <v>48628</v>
      </c>
      <c r="R179" s="51">
        <f t="shared" si="124"/>
        <v>48628</v>
      </c>
    </row>
    <row r="180" spans="1:18" x14ac:dyDescent="0.25">
      <c r="A180" s="48"/>
      <c r="B180" s="49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</row>
    <row r="181" spans="1:18" x14ac:dyDescent="0.25">
      <c r="A181" s="48" t="s">
        <v>173</v>
      </c>
      <c r="B181" s="49"/>
      <c r="C181" s="51">
        <f t="shared" ref="C181:R181" si="125">C172-C179</f>
        <v>-48770</v>
      </c>
      <c r="D181" s="51">
        <f t="shared" si="125"/>
        <v>-127657</v>
      </c>
      <c r="E181" s="51">
        <f t="shared" si="125"/>
        <v>-77981</v>
      </c>
      <c r="F181" s="51">
        <f t="shared" si="125"/>
        <v>-86525</v>
      </c>
      <c r="G181" s="51">
        <f t="shared" si="125"/>
        <v>-41616</v>
      </c>
      <c r="H181" s="51">
        <f t="shared" si="125"/>
        <v>-46387</v>
      </c>
      <c r="I181" s="51">
        <f t="shared" si="125"/>
        <v>-103090</v>
      </c>
      <c r="J181" s="51">
        <f t="shared" si="125"/>
        <v>-75504</v>
      </c>
      <c r="K181" s="51">
        <f t="shared" si="125"/>
        <v>-112361</v>
      </c>
      <c r="L181" s="51">
        <f t="shared" si="125"/>
        <v>-58925</v>
      </c>
      <c r="M181" s="51">
        <f t="shared" si="125"/>
        <v>-121800</v>
      </c>
      <c r="N181" s="51">
        <f t="shared" si="125"/>
        <v>-48628</v>
      </c>
      <c r="O181" s="51">
        <f t="shared" si="125"/>
        <v>-48628</v>
      </c>
      <c r="P181" s="51">
        <f t="shared" si="125"/>
        <v>-48628</v>
      </c>
      <c r="Q181" s="51">
        <f t="shared" si="125"/>
        <v>-48628</v>
      </c>
      <c r="R181" s="51">
        <f t="shared" si="125"/>
        <v>-48628</v>
      </c>
    </row>
    <row r="182" spans="1:18" x14ac:dyDescent="0.25">
      <c r="A182" s="48"/>
      <c r="B182" s="49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</row>
    <row r="183" spans="1:18" x14ac:dyDescent="0.25">
      <c r="A183" s="41" t="s">
        <v>191</v>
      </c>
      <c r="B183" s="44"/>
      <c r="C183" s="51">
        <f t="shared" ref="C183:R183" si="126">C181+C163</f>
        <v>-530306.43000000017</v>
      </c>
      <c r="D183" s="51">
        <f t="shared" si="126"/>
        <v>-749539</v>
      </c>
      <c r="E183" s="51">
        <f t="shared" si="126"/>
        <v>-729489</v>
      </c>
      <c r="F183" s="51">
        <f t="shared" si="126"/>
        <v>-635785</v>
      </c>
      <c r="G183" s="51">
        <f t="shared" si="126"/>
        <v>-450263</v>
      </c>
      <c r="H183" s="51">
        <f t="shared" si="126"/>
        <v>-720752</v>
      </c>
      <c r="I183" s="51">
        <f>I181+I163</f>
        <v>-786194.80000000075</v>
      </c>
      <c r="J183" s="51">
        <f t="shared" si="126"/>
        <v>-783894.80919999909</v>
      </c>
      <c r="K183" s="51">
        <f t="shared" si="126"/>
        <v>-854498.86987079913</v>
      </c>
      <c r="L183" s="51">
        <f t="shared" si="126"/>
        <v>-805919.38517032797</v>
      </c>
      <c r="M183" s="51">
        <f t="shared" si="126"/>
        <v>-899317.75786122866</v>
      </c>
      <c r="N183" s="51">
        <f t="shared" si="126"/>
        <v>-855675.42644090811</v>
      </c>
      <c r="O183" s="51">
        <f t="shared" si="126"/>
        <v>-867002.78331526695</v>
      </c>
      <c r="P183" s="51">
        <f t="shared" si="126"/>
        <v>-907309.72135950299</v>
      </c>
      <c r="Q183" s="51">
        <f t="shared" si="126"/>
        <v>-932459.98193384008</v>
      </c>
      <c r="R183" s="51">
        <f t="shared" si="126"/>
        <v>-954447.08844077401</v>
      </c>
    </row>
    <row r="184" spans="1:18" x14ac:dyDescent="0.25">
      <c r="A184" s="41"/>
      <c r="B184" s="44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</row>
    <row r="185" spans="1:18" x14ac:dyDescent="0.25">
      <c r="A185" s="41" t="s">
        <v>162</v>
      </c>
      <c r="B185" s="44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</row>
    <row r="186" spans="1:18" x14ac:dyDescent="0.25">
      <c r="A186" s="48"/>
      <c r="B186" s="44"/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</row>
    <row r="187" spans="1:18" x14ac:dyDescent="0.25">
      <c r="A187" s="48" t="s">
        <v>157</v>
      </c>
      <c r="B187" s="44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</row>
    <row r="188" spans="1:18" x14ac:dyDescent="0.25">
      <c r="A188" s="48"/>
      <c r="B188" s="44"/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</row>
    <row r="189" spans="1:18" x14ac:dyDescent="0.25">
      <c r="A189" s="48" t="s">
        <v>158</v>
      </c>
      <c r="B189" s="44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</row>
    <row r="190" spans="1:18" x14ac:dyDescent="0.25">
      <c r="A190" s="41" t="s">
        <v>190</v>
      </c>
      <c r="B190" s="44"/>
      <c r="C190" s="50">
        <f t="shared" ref="C190:F190" si="127">C1433</f>
        <v>845357</v>
      </c>
      <c r="D190" s="50">
        <f t="shared" si="127"/>
        <v>1206700</v>
      </c>
      <c r="E190" s="50">
        <f t="shared" si="127"/>
        <v>745323</v>
      </c>
      <c r="F190" s="50">
        <f t="shared" si="127"/>
        <v>772689</v>
      </c>
      <c r="G190" s="50">
        <f>G1433</f>
        <v>780640</v>
      </c>
      <c r="H190" s="50">
        <f>H1433</f>
        <v>1719400</v>
      </c>
      <c r="I190" s="50">
        <f t="shared" ref="I190:R190" si="128">I1433</f>
        <v>846473.2</v>
      </c>
      <c r="J190" s="50">
        <f t="shared" si="128"/>
        <v>866428.55680000002</v>
      </c>
      <c r="K190" s="50">
        <f t="shared" si="128"/>
        <v>886862.84216319979</v>
      </c>
      <c r="L190" s="50">
        <f t="shared" si="128"/>
        <v>906915.68753295345</v>
      </c>
      <c r="M190" s="50">
        <f t="shared" si="128"/>
        <v>926537.83265867829</v>
      </c>
      <c r="N190" s="50">
        <f t="shared" si="128"/>
        <v>947503.20280982798</v>
      </c>
      <c r="O190" s="50">
        <f t="shared" si="128"/>
        <v>970815.78288007365</v>
      </c>
      <c r="P190" s="50">
        <f t="shared" si="128"/>
        <v>994711.17745207553</v>
      </c>
      <c r="Q190" s="50">
        <f t="shared" si="128"/>
        <v>1018224.2457109254</v>
      </c>
      <c r="R190" s="50">
        <f t="shared" si="128"/>
        <v>1042301.6276079874</v>
      </c>
    </row>
    <row r="191" spans="1:18" x14ac:dyDescent="0.25">
      <c r="A191" s="41" t="s">
        <v>192</v>
      </c>
      <c r="B191" s="44"/>
      <c r="C191" s="50">
        <f t="shared" ref="C191:F191" si="129">C1565</f>
        <v>766247</v>
      </c>
      <c r="D191" s="50">
        <f t="shared" si="129"/>
        <v>663214</v>
      </c>
      <c r="E191" s="50">
        <f t="shared" si="129"/>
        <v>527097</v>
      </c>
      <c r="F191" s="50">
        <f t="shared" si="129"/>
        <v>376452</v>
      </c>
      <c r="G191" s="50">
        <f>G1565</f>
        <v>451799</v>
      </c>
      <c r="H191" s="50">
        <f>H1565</f>
        <v>623500</v>
      </c>
      <c r="I191" s="50">
        <f t="shared" ref="I191:R191" si="130">I1565</f>
        <v>637840.5</v>
      </c>
      <c r="J191" s="50">
        <f t="shared" si="130"/>
        <v>653148.67200000002</v>
      </c>
      <c r="K191" s="50">
        <f t="shared" si="130"/>
        <v>668824.24012800003</v>
      </c>
      <c r="L191" s="50">
        <f t="shared" si="130"/>
        <v>684207.197650944</v>
      </c>
      <c r="M191" s="50">
        <f t="shared" si="130"/>
        <v>699259.75599926477</v>
      </c>
      <c r="N191" s="50">
        <f t="shared" si="130"/>
        <v>715342.73038724775</v>
      </c>
      <c r="O191" s="50">
        <f t="shared" si="130"/>
        <v>733226.29864692898</v>
      </c>
      <c r="P191" s="50">
        <f t="shared" si="130"/>
        <v>751556.95611310215</v>
      </c>
      <c r="Q191" s="50">
        <f t="shared" si="130"/>
        <v>769594.3230598165</v>
      </c>
      <c r="R191" s="50">
        <f t="shared" si="130"/>
        <v>788064.58681325219</v>
      </c>
    </row>
    <row r="192" spans="1:18" x14ac:dyDescent="0.25">
      <c r="A192" s="41" t="s">
        <v>164</v>
      </c>
      <c r="B192" s="44"/>
      <c r="C192" s="51">
        <f t="shared" ref="C192:R192" si="131">SUM(C190:C191)</f>
        <v>1611604</v>
      </c>
      <c r="D192" s="51">
        <f t="shared" si="131"/>
        <v>1869914</v>
      </c>
      <c r="E192" s="51">
        <f t="shared" si="131"/>
        <v>1272420</v>
      </c>
      <c r="F192" s="51">
        <f t="shared" si="131"/>
        <v>1149141</v>
      </c>
      <c r="G192" s="51">
        <f t="shared" si="131"/>
        <v>1232439</v>
      </c>
      <c r="H192" s="51">
        <f t="shared" si="131"/>
        <v>2342900</v>
      </c>
      <c r="I192" s="51">
        <f t="shared" si="131"/>
        <v>1484313.7</v>
      </c>
      <c r="J192" s="51">
        <f t="shared" si="131"/>
        <v>1519577.2288000002</v>
      </c>
      <c r="K192" s="51">
        <f t="shared" si="131"/>
        <v>1555687.0822911998</v>
      </c>
      <c r="L192" s="51">
        <f t="shared" si="131"/>
        <v>1591122.8851838973</v>
      </c>
      <c r="M192" s="51">
        <f t="shared" si="131"/>
        <v>1625797.5886579431</v>
      </c>
      <c r="N192" s="51">
        <f t="shared" si="131"/>
        <v>1662845.9331970757</v>
      </c>
      <c r="O192" s="51">
        <f t="shared" si="131"/>
        <v>1704042.0815270026</v>
      </c>
      <c r="P192" s="51">
        <f t="shared" si="131"/>
        <v>1746268.1335651777</v>
      </c>
      <c r="Q192" s="51">
        <f t="shared" si="131"/>
        <v>1787818.568770742</v>
      </c>
      <c r="R192" s="51">
        <f t="shared" si="131"/>
        <v>1830366.2144212397</v>
      </c>
    </row>
    <row r="193" spans="1:18" x14ac:dyDescent="0.25">
      <c r="A193" s="48"/>
      <c r="B193" s="44"/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</row>
    <row r="194" spans="1:18" x14ac:dyDescent="0.25">
      <c r="A194" s="41" t="s">
        <v>165</v>
      </c>
      <c r="B194" s="44"/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</row>
    <row r="195" spans="1:18" x14ac:dyDescent="0.25">
      <c r="A195" s="41" t="s">
        <v>190</v>
      </c>
      <c r="B195" s="44"/>
      <c r="C195" s="50">
        <f t="shared" ref="C195:F195" si="132">C1484</f>
        <v>3100277</v>
      </c>
      <c r="D195" s="50">
        <f t="shared" si="132"/>
        <v>3169484</v>
      </c>
      <c r="E195" s="50">
        <f t="shared" si="132"/>
        <v>3054354</v>
      </c>
      <c r="F195" s="50">
        <f t="shared" si="132"/>
        <v>3415433</v>
      </c>
      <c r="G195" s="50">
        <f>G1484</f>
        <v>3139179</v>
      </c>
      <c r="H195" s="50">
        <f>H1484</f>
        <v>3308383</v>
      </c>
      <c r="I195" s="50">
        <f t="shared" ref="I195:R195" si="133">I1484</f>
        <v>3385917.1850000001</v>
      </c>
      <c r="J195" s="50">
        <f t="shared" si="133"/>
        <v>3479047.55914</v>
      </c>
      <c r="K195" s="50">
        <f t="shared" si="133"/>
        <v>3520440.59508686</v>
      </c>
      <c r="L195" s="50">
        <f t="shared" si="133"/>
        <v>3606394.796380633</v>
      </c>
      <c r="M195" s="50">
        <f t="shared" si="133"/>
        <v>3697192.2965648244</v>
      </c>
      <c r="N195" s="50">
        <f t="shared" si="133"/>
        <v>3791942.9474234413</v>
      </c>
      <c r="O195" s="50">
        <f t="shared" si="133"/>
        <v>3895733.8077036315</v>
      </c>
      <c r="P195" s="50">
        <f t="shared" si="133"/>
        <v>4004963.029583971</v>
      </c>
      <c r="Q195" s="50">
        <f t="shared" si="133"/>
        <v>4114678.878302115</v>
      </c>
      <c r="R195" s="50">
        <f t="shared" si="133"/>
        <v>4213640.4646887388</v>
      </c>
    </row>
    <row r="196" spans="1:18" x14ac:dyDescent="0.25">
      <c r="A196" s="41" t="s">
        <v>192</v>
      </c>
      <c r="B196" s="44"/>
      <c r="C196" s="50">
        <f t="shared" ref="C196:F196" si="134">C1585</f>
        <v>128763</v>
      </c>
      <c r="D196" s="50">
        <f t="shared" si="134"/>
        <v>158216</v>
      </c>
      <c r="E196" s="50">
        <f t="shared" si="134"/>
        <v>153923</v>
      </c>
      <c r="F196" s="50">
        <f t="shared" si="134"/>
        <v>141429</v>
      </c>
      <c r="G196" s="50">
        <f>G1585</f>
        <v>142697</v>
      </c>
      <c r="H196" s="50">
        <f>H1585</f>
        <v>148380</v>
      </c>
      <c r="I196" s="50">
        <f t="shared" ref="I196:R196" si="135">I1585</f>
        <v>151883.74999999997</v>
      </c>
      <c r="J196" s="50">
        <f t="shared" si="135"/>
        <v>155698.22574999998</v>
      </c>
      <c r="K196" s="50">
        <f t="shared" si="135"/>
        <v>159456.81247675003</v>
      </c>
      <c r="L196" s="50">
        <f t="shared" si="135"/>
        <v>163314.76084885272</v>
      </c>
      <c r="M196" s="50">
        <f t="shared" si="135"/>
        <v>166989.14498452347</v>
      </c>
      <c r="N196" s="50">
        <f t="shared" si="135"/>
        <v>170973.8809268153</v>
      </c>
      <c r="O196" s="50">
        <f t="shared" si="135"/>
        <v>175411.91377543012</v>
      </c>
      <c r="P196" s="50">
        <f t="shared" si="135"/>
        <v>179938.59211662115</v>
      </c>
      <c r="Q196" s="50">
        <f t="shared" si="135"/>
        <v>184402.14123860162</v>
      </c>
      <c r="R196" s="50">
        <f t="shared" si="135"/>
        <v>187177.57645977859</v>
      </c>
    </row>
    <row r="197" spans="1:18" x14ac:dyDescent="0.25">
      <c r="A197" s="41" t="s">
        <v>166</v>
      </c>
      <c r="B197" s="44"/>
      <c r="C197" s="51">
        <f t="shared" ref="C197:R197" si="136">SUM(C195:C196)</f>
        <v>3229040</v>
      </c>
      <c r="D197" s="51">
        <f t="shared" si="136"/>
        <v>3327700</v>
      </c>
      <c r="E197" s="51">
        <f t="shared" si="136"/>
        <v>3208277</v>
      </c>
      <c r="F197" s="51">
        <f t="shared" si="136"/>
        <v>3556862</v>
      </c>
      <c r="G197" s="51">
        <f t="shared" si="136"/>
        <v>3281876</v>
      </c>
      <c r="H197" s="51">
        <f t="shared" si="136"/>
        <v>3456763</v>
      </c>
      <c r="I197" s="51">
        <f t="shared" si="136"/>
        <v>3537800.9350000001</v>
      </c>
      <c r="J197" s="51">
        <f t="shared" si="136"/>
        <v>3634745.7848899998</v>
      </c>
      <c r="K197" s="51">
        <f t="shared" si="136"/>
        <v>3679897.40756361</v>
      </c>
      <c r="L197" s="51">
        <f t="shared" si="136"/>
        <v>3769709.5572294858</v>
      </c>
      <c r="M197" s="51">
        <f t="shared" si="136"/>
        <v>3864181.4415493477</v>
      </c>
      <c r="N197" s="51">
        <f t="shared" si="136"/>
        <v>3962916.8283502567</v>
      </c>
      <c r="O197" s="51">
        <f t="shared" si="136"/>
        <v>4071145.7214790615</v>
      </c>
      <c r="P197" s="51">
        <f t="shared" si="136"/>
        <v>4184901.6217005923</v>
      </c>
      <c r="Q197" s="51">
        <f t="shared" si="136"/>
        <v>4299081.0195407169</v>
      </c>
      <c r="R197" s="51">
        <f t="shared" si="136"/>
        <v>4400818.0411485173</v>
      </c>
    </row>
    <row r="198" spans="1:18" x14ac:dyDescent="0.25">
      <c r="A198" s="48"/>
      <c r="B198" s="44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</row>
    <row r="199" spans="1:18" x14ac:dyDescent="0.25">
      <c r="A199" s="48" t="s">
        <v>167</v>
      </c>
      <c r="B199" s="44"/>
      <c r="C199" s="51">
        <f t="shared" ref="C199:R199" si="137">C192-C197</f>
        <v>-1617436</v>
      </c>
      <c r="D199" s="51">
        <f t="shared" si="137"/>
        <v>-1457786</v>
      </c>
      <c r="E199" s="51">
        <f t="shared" si="137"/>
        <v>-1935857</v>
      </c>
      <c r="F199" s="51">
        <f t="shared" si="137"/>
        <v>-2407721</v>
      </c>
      <c r="G199" s="51">
        <f t="shared" si="137"/>
        <v>-2049437</v>
      </c>
      <c r="H199" s="51">
        <f t="shared" si="137"/>
        <v>-1113863</v>
      </c>
      <c r="I199" s="51">
        <f t="shared" si="137"/>
        <v>-2053487.2350000001</v>
      </c>
      <c r="J199" s="51">
        <f t="shared" si="137"/>
        <v>-2115168.5560899996</v>
      </c>
      <c r="K199" s="51">
        <f t="shared" si="137"/>
        <v>-2124210.3252724102</v>
      </c>
      <c r="L199" s="51">
        <f t="shared" si="137"/>
        <v>-2178586.6720455885</v>
      </c>
      <c r="M199" s="51">
        <f t="shared" si="137"/>
        <v>-2238383.8528914046</v>
      </c>
      <c r="N199" s="51">
        <f t="shared" si="137"/>
        <v>-2300070.8951531807</v>
      </c>
      <c r="O199" s="51">
        <f t="shared" si="137"/>
        <v>-2367103.6399520589</v>
      </c>
      <c r="P199" s="51">
        <f t="shared" si="137"/>
        <v>-2438633.4881354147</v>
      </c>
      <c r="Q199" s="51">
        <f t="shared" si="137"/>
        <v>-2511262.4507699749</v>
      </c>
      <c r="R199" s="51">
        <f t="shared" si="137"/>
        <v>-2570451.8267272776</v>
      </c>
    </row>
    <row r="200" spans="1:18" x14ac:dyDescent="0.25">
      <c r="A200" s="48"/>
      <c r="B200" s="44"/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</row>
    <row r="201" spans="1:18" x14ac:dyDescent="0.25">
      <c r="A201" s="48" t="s">
        <v>168</v>
      </c>
      <c r="B201" s="44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</row>
    <row r="202" spans="1:18" x14ac:dyDescent="0.25">
      <c r="A202" s="48"/>
      <c r="B202" s="44"/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</row>
    <row r="203" spans="1:18" x14ac:dyDescent="0.25">
      <c r="A203" s="48" t="s">
        <v>169</v>
      </c>
      <c r="B203" s="44"/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</row>
    <row r="204" spans="1:18" x14ac:dyDescent="0.25">
      <c r="A204" s="41" t="s">
        <v>190</v>
      </c>
      <c r="B204" s="44"/>
      <c r="C204" s="50">
        <f t="shared" ref="C204:F204" si="138">C1493</f>
        <v>0</v>
      </c>
      <c r="D204" s="50">
        <f t="shared" si="138"/>
        <v>62487</v>
      </c>
      <c r="E204" s="50">
        <f t="shared" si="138"/>
        <v>119337</v>
      </c>
      <c r="F204" s="50">
        <f t="shared" si="138"/>
        <v>25497</v>
      </c>
      <c r="G204" s="50">
        <f>G1493</f>
        <v>15979</v>
      </c>
      <c r="H204" s="50">
        <f>H1493</f>
        <v>0</v>
      </c>
      <c r="I204" s="50">
        <f t="shared" ref="I204:R204" si="139">I1493</f>
        <v>0</v>
      </c>
      <c r="J204" s="50">
        <f t="shared" si="139"/>
        <v>0</v>
      </c>
      <c r="K204" s="50">
        <f t="shared" si="139"/>
        <v>0</v>
      </c>
      <c r="L204" s="50">
        <f t="shared" si="139"/>
        <v>0</v>
      </c>
      <c r="M204" s="50">
        <f t="shared" si="139"/>
        <v>0</v>
      </c>
      <c r="N204" s="50">
        <f t="shared" si="139"/>
        <v>0</v>
      </c>
      <c r="O204" s="50">
        <f t="shared" si="139"/>
        <v>0</v>
      </c>
      <c r="P204" s="50">
        <f t="shared" si="139"/>
        <v>0</v>
      </c>
      <c r="Q204" s="50">
        <f t="shared" si="139"/>
        <v>0</v>
      </c>
      <c r="R204" s="50">
        <f t="shared" si="139"/>
        <v>0</v>
      </c>
    </row>
    <row r="205" spans="1:18" x14ac:dyDescent="0.25">
      <c r="A205" s="41" t="s">
        <v>192</v>
      </c>
      <c r="B205" s="44"/>
      <c r="C205" s="50">
        <f t="shared" ref="C205:F205" si="140">C1592</f>
        <v>0</v>
      </c>
      <c r="D205" s="50">
        <f t="shared" si="140"/>
        <v>0</v>
      </c>
      <c r="E205" s="50">
        <f t="shared" si="140"/>
        <v>0</v>
      </c>
      <c r="F205" s="50">
        <f t="shared" si="140"/>
        <v>0</v>
      </c>
      <c r="G205" s="50">
        <f>G1592</f>
        <v>0</v>
      </c>
      <c r="H205" s="50">
        <f>H1592</f>
        <v>0</v>
      </c>
      <c r="I205" s="50">
        <f t="shared" ref="I205:R205" si="141">I1592</f>
        <v>0</v>
      </c>
      <c r="J205" s="50">
        <f t="shared" si="141"/>
        <v>0</v>
      </c>
      <c r="K205" s="50">
        <f t="shared" si="141"/>
        <v>0</v>
      </c>
      <c r="L205" s="50">
        <f t="shared" si="141"/>
        <v>0</v>
      </c>
      <c r="M205" s="50">
        <f t="shared" si="141"/>
        <v>0</v>
      </c>
      <c r="N205" s="50">
        <f t="shared" si="141"/>
        <v>0</v>
      </c>
      <c r="O205" s="50">
        <f t="shared" si="141"/>
        <v>0</v>
      </c>
      <c r="P205" s="50">
        <f t="shared" si="141"/>
        <v>0</v>
      </c>
      <c r="Q205" s="50">
        <f t="shared" si="141"/>
        <v>0</v>
      </c>
      <c r="R205" s="50">
        <f t="shared" si="141"/>
        <v>0</v>
      </c>
    </row>
    <row r="206" spans="1:18" x14ac:dyDescent="0.25">
      <c r="A206" s="41" t="s">
        <v>170</v>
      </c>
      <c r="B206" s="44"/>
      <c r="C206" s="51">
        <f t="shared" ref="C206:R206" si="142">SUM(C204:C205)</f>
        <v>0</v>
      </c>
      <c r="D206" s="51">
        <f t="shared" si="142"/>
        <v>62487</v>
      </c>
      <c r="E206" s="51">
        <f t="shared" si="142"/>
        <v>119337</v>
      </c>
      <c r="F206" s="51">
        <f t="shared" si="142"/>
        <v>25497</v>
      </c>
      <c r="G206" s="51">
        <f t="shared" si="142"/>
        <v>15979</v>
      </c>
      <c r="H206" s="51">
        <f t="shared" si="142"/>
        <v>0</v>
      </c>
      <c r="I206" s="51">
        <f t="shared" si="142"/>
        <v>0</v>
      </c>
      <c r="J206" s="51">
        <f t="shared" si="142"/>
        <v>0</v>
      </c>
      <c r="K206" s="51">
        <f t="shared" si="142"/>
        <v>0</v>
      </c>
      <c r="L206" s="51">
        <f t="shared" si="142"/>
        <v>0</v>
      </c>
      <c r="M206" s="51">
        <f t="shared" si="142"/>
        <v>0</v>
      </c>
      <c r="N206" s="51">
        <f t="shared" si="142"/>
        <v>0</v>
      </c>
      <c r="O206" s="51">
        <f t="shared" si="142"/>
        <v>0</v>
      </c>
      <c r="P206" s="51">
        <f t="shared" si="142"/>
        <v>0</v>
      </c>
      <c r="Q206" s="51">
        <f t="shared" si="142"/>
        <v>0</v>
      </c>
      <c r="R206" s="51">
        <f t="shared" si="142"/>
        <v>0</v>
      </c>
    </row>
    <row r="207" spans="1:18" x14ac:dyDescent="0.25">
      <c r="A207" s="48"/>
      <c r="B207" s="44"/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</row>
    <row r="208" spans="1:18" x14ac:dyDescent="0.25">
      <c r="A208" s="41" t="s">
        <v>171</v>
      </c>
      <c r="B208" s="44"/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</row>
    <row r="209" spans="1:18" x14ac:dyDescent="0.25">
      <c r="A209" s="41" t="s">
        <v>190</v>
      </c>
      <c r="B209" s="44"/>
      <c r="C209" s="50">
        <f t="shared" ref="C209:F209" si="143">C1540</f>
        <v>775840</v>
      </c>
      <c r="D209" s="50">
        <f t="shared" si="143"/>
        <v>1113814</v>
      </c>
      <c r="E209" s="50">
        <f t="shared" si="143"/>
        <v>1639125</v>
      </c>
      <c r="F209" s="50">
        <f t="shared" si="143"/>
        <v>864155</v>
      </c>
      <c r="G209" s="50">
        <f>G1540</f>
        <v>769540</v>
      </c>
      <c r="H209" s="50">
        <f>H1540</f>
        <v>1244971</v>
      </c>
      <c r="I209" s="50">
        <f t="shared" ref="I209:R209" si="144">I1540</f>
        <v>1185190</v>
      </c>
      <c r="J209" s="50">
        <f t="shared" si="144"/>
        <v>1305357.76</v>
      </c>
      <c r="K209" s="50">
        <f t="shared" si="144"/>
        <v>1192288.46624</v>
      </c>
      <c r="L209" s="50">
        <f t="shared" si="144"/>
        <v>1164046.82596352</v>
      </c>
      <c r="M209" s="50">
        <f t="shared" si="144"/>
        <v>1246854.5361347175</v>
      </c>
      <c r="N209" s="50">
        <f t="shared" si="144"/>
        <v>1490173.509465816</v>
      </c>
      <c r="O209" s="50">
        <f t="shared" si="144"/>
        <v>1198866.9222024614</v>
      </c>
      <c r="P209" s="50">
        <f t="shared" si="144"/>
        <v>1469563.9202575227</v>
      </c>
      <c r="Q209" s="50">
        <f t="shared" si="144"/>
        <v>1419233.5663437033</v>
      </c>
      <c r="R209" s="50">
        <f t="shared" si="144"/>
        <v>1419381.6839359524</v>
      </c>
    </row>
    <row r="210" spans="1:18" x14ac:dyDescent="0.25">
      <c r="A210" s="41" t="s">
        <v>192</v>
      </c>
      <c r="B210" s="44"/>
      <c r="C210" s="50">
        <f t="shared" ref="C210:F210" si="145">C1613</f>
        <v>470939</v>
      </c>
      <c r="D210" s="50">
        <f t="shared" si="145"/>
        <v>368552</v>
      </c>
      <c r="E210" s="50">
        <f t="shared" si="145"/>
        <v>125576</v>
      </c>
      <c r="F210" s="50">
        <f t="shared" si="145"/>
        <v>32917</v>
      </c>
      <c r="G210" s="50">
        <f>G1613</f>
        <v>22252</v>
      </c>
      <c r="H210" s="50">
        <f>H1613</f>
        <v>48285</v>
      </c>
      <c r="I210" s="50">
        <f t="shared" ref="I210:R210" si="146">I1613</f>
        <v>28965</v>
      </c>
      <c r="J210" s="50">
        <f t="shared" si="146"/>
        <v>29775</v>
      </c>
      <c r="K210" s="50">
        <f t="shared" si="146"/>
        <v>30549</v>
      </c>
      <c r="L210" s="50">
        <f t="shared" si="146"/>
        <v>31343</v>
      </c>
      <c r="M210" s="50">
        <f t="shared" si="146"/>
        <v>26931</v>
      </c>
      <c r="N210" s="50">
        <f t="shared" si="146"/>
        <v>26286</v>
      </c>
      <c r="O210" s="50">
        <f t="shared" si="146"/>
        <v>26286</v>
      </c>
      <c r="P210" s="50">
        <f t="shared" si="146"/>
        <v>26286</v>
      </c>
      <c r="Q210" s="50">
        <f t="shared" si="146"/>
        <v>26286</v>
      </c>
      <c r="R210" s="50">
        <f t="shared" si="146"/>
        <v>26286</v>
      </c>
    </row>
    <row r="211" spans="1:18" x14ac:dyDescent="0.25">
      <c r="A211" s="41" t="s">
        <v>172</v>
      </c>
      <c r="B211" s="44"/>
      <c r="C211" s="51">
        <f t="shared" ref="C211:R211" si="147">SUM(C209:C210)</f>
        <v>1246779</v>
      </c>
      <c r="D211" s="51">
        <f t="shared" si="147"/>
        <v>1482366</v>
      </c>
      <c r="E211" s="51">
        <f t="shared" si="147"/>
        <v>1764701</v>
      </c>
      <c r="F211" s="51">
        <f t="shared" si="147"/>
        <v>897072</v>
      </c>
      <c r="G211" s="51">
        <f t="shared" si="147"/>
        <v>791792</v>
      </c>
      <c r="H211" s="51">
        <f t="shared" si="147"/>
        <v>1293256</v>
      </c>
      <c r="I211" s="51">
        <f t="shared" si="147"/>
        <v>1214155</v>
      </c>
      <c r="J211" s="51">
        <f t="shared" si="147"/>
        <v>1335132.76</v>
      </c>
      <c r="K211" s="51">
        <f t="shared" si="147"/>
        <v>1222837.46624</v>
      </c>
      <c r="L211" s="51">
        <f t="shared" si="147"/>
        <v>1195389.82596352</v>
      </c>
      <c r="M211" s="51">
        <f t="shared" si="147"/>
        <v>1273785.5361347175</v>
      </c>
      <c r="N211" s="51">
        <f t="shared" si="147"/>
        <v>1516459.509465816</v>
      </c>
      <c r="O211" s="51">
        <f t="shared" si="147"/>
        <v>1225152.9222024614</v>
      </c>
      <c r="P211" s="51">
        <f t="shared" si="147"/>
        <v>1495849.9202575227</v>
      </c>
      <c r="Q211" s="51">
        <f t="shared" si="147"/>
        <v>1445519.5663437033</v>
      </c>
      <c r="R211" s="51">
        <f t="shared" si="147"/>
        <v>1445667.6839359524</v>
      </c>
    </row>
    <row r="212" spans="1:18" x14ac:dyDescent="0.25">
      <c r="A212" s="48"/>
      <c r="B212" s="44"/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</row>
    <row r="213" spans="1:18" x14ac:dyDescent="0.25">
      <c r="A213" s="48" t="s">
        <v>173</v>
      </c>
      <c r="B213" s="44"/>
      <c r="C213" s="51">
        <f t="shared" ref="C213:R213" si="148">C206-C211</f>
        <v>-1246779</v>
      </c>
      <c r="D213" s="51">
        <f t="shared" si="148"/>
        <v>-1419879</v>
      </c>
      <c r="E213" s="51">
        <f t="shared" si="148"/>
        <v>-1645364</v>
      </c>
      <c r="F213" s="51">
        <f t="shared" si="148"/>
        <v>-871575</v>
      </c>
      <c r="G213" s="51">
        <f t="shared" si="148"/>
        <v>-775813</v>
      </c>
      <c r="H213" s="51">
        <f t="shared" si="148"/>
        <v>-1293256</v>
      </c>
      <c r="I213" s="51">
        <f t="shared" si="148"/>
        <v>-1214155</v>
      </c>
      <c r="J213" s="51">
        <f t="shared" si="148"/>
        <v>-1335132.76</v>
      </c>
      <c r="K213" s="51">
        <f t="shared" si="148"/>
        <v>-1222837.46624</v>
      </c>
      <c r="L213" s="51">
        <f t="shared" si="148"/>
        <v>-1195389.82596352</v>
      </c>
      <c r="M213" s="51">
        <f t="shared" si="148"/>
        <v>-1273785.5361347175</v>
      </c>
      <c r="N213" s="51">
        <f t="shared" si="148"/>
        <v>-1516459.509465816</v>
      </c>
      <c r="O213" s="51">
        <f t="shared" si="148"/>
        <v>-1225152.9222024614</v>
      </c>
      <c r="P213" s="51">
        <f t="shared" si="148"/>
        <v>-1495849.9202575227</v>
      </c>
      <c r="Q213" s="51">
        <f t="shared" si="148"/>
        <v>-1445519.5663437033</v>
      </c>
      <c r="R213" s="51">
        <f t="shared" si="148"/>
        <v>-1445667.6839359524</v>
      </c>
    </row>
    <row r="214" spans="1:18" x14ac:dyDescent="0.25">
      <c r="A214" s="48"/>
      <c r="B214" s="44"/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</row>
    <row r="215" spans="1:18" x14ac:dyDescent="0.25">
      <c r="A215" s="41" t="s">
        <v>193</v>
      </c>
      <c r="B215" s="44"/>
      <c r="C215" s="51">
        <f t="shared" ref="C215:R215" si="149">C199+C213</f>
        <v>-2864215</v>
      </c>
      <c r="D215" s="51">
        <f t="shared" si="149"/>
        <v>-2877665</v>
      </c>
      <c r="E215" s="51">
        <f t="shared" si="149"/>
        <v>-3581221</v>
      </c>
      <c r="F215" s="51">
        <f t="shared" si="149"/>
        <v>-3279296</v>
      </c>
      <c r="G215" s="51">
        <f t="shared" si="149"/>
        <v>-2825250</v>
      </c>
      <c r="H215" s="51">
        <f t="shared" si="149"/>
        <v>-2407119</v>
      </c>
      <c r="I215" s="51">
        <f t="shared" si="149"/>
        <v>-3267642.2350000003</v>
      </c>
      <c r="J215" s="51">
        <f t="shared" si="149"/>
        <v>-3450301.3160899999</v>
      </c>
      <c r="K215" s="51">
        <f t="shared" si="149"/>
        <v>-3347047.7915124102</v>
      </c>
      <c r="L215" s="51">
        <f t="shared" si="149"/>
        <v>-3373976.4980091085</v>
      </c>
      <c r="M215" s="51">
        <f t="shared" si="149"/>
        <v>-3512169.3890261222</v>
      </c>
      <c r="N215" s="51">
        <f t="shared" si="149"/>
        <v>-3816530.4046189967</v>
      </c>
      <c r="O215" s="51">
        <f t="shared" si="149"/>
        <v>-3592256.5621545203</v>
      </c>
      <c r="P215" s="51">
        <f t="shared" si="149"/>
        <v>-3934483.4083929374</v>
      </c>
      <c r="Q215" s="51">
        <f t="shared" si="149"/>
        <v>-3956782.0171136782</v>
      </c>
      <c r="R215" s="51">
        <f t="shared" si="149"/>
        <v>-4016119.51066323</v>
      </c>
    </row>
    <row r="216" spans="1:18" x14ac:dyDescent="0.25">
      <c r="A216" s="41"/>
      <c r="B216" s="44"/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</row>
    <row r="217" spans="1:18" x14ac:dyDescent="0.25">
      <c r="A217" s="41" t="s">
        <v>163</v>
      </c>
      <c r="B217" s="44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</row>
    <row r="218" spans="1:18" x14ac:dyDescent="0.25">
      <c r="A218" s="48"/>
      <c r="B218" s="49"/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</row>
    <row r="219" spans="1:18" x14ac:dyDescent="0.25">
      <c r="A219" s="48" t="s">
        <v>157</v>
      </c>
      <c r="B219" s="49"/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</row>
    <row r="220" spans="1:18" x14ac:dyDescent="0.25">
      <c r="A220" s="48"/>
      <c r="B220" s="49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</row>
    <row r="221" spans="1:18" x14ac:dyDescent="0.25">
      <c r="A221" s="48" t="s">
        <v>158</v>
      </c>
      <c r="B221" s="49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</row>
    <row r="222" spans="1:18" x14ac:dyDescent="0.25">
      <c r="A222" s="41" t="s">
        <v>194</v>
      </c>
      <c r="B222" s="44"/>
      <c r="C222" s="50">
        <f t="shared" ref="C222:F222" si="150">C1635</f>
        <v>1000</v>
      </c>
      <c r="D222" s="50">
        <f t="shared" si="150"/>
        <v>18432</v>
      </c>
      <c r="E222" s="50">
        <f t="shared" si="150"/>
        <v>0</v>
      </c>
      <c r="F222" s="50">
        <f t="shared" si="150"/>
        <v>66455</v>
      </c>
      <c r="G222" s="50">
        <f>G1635</f>
        <v>71690</v>
      </c>
      <c r="H222" s="50">
        <f>H1635</f>
        <v>272500</v>
      </c>
      <c r="I222" s="50">
        <f t="shared" ref="I222:R222" si="151">I1635</f>
        <v>0</v>
      </c>
      <c r="J222" s="50">
        <f t="shared" si="151"/>
        <v>0</v>
      </c>
      <c r="K222" s="50">
        <f t="shared" si="151"/>
        <v>0</v>
      </c>
      <c r="L222" s="50">
        <f t="shared" si="151"/>
        <v>0</v>
      </c>
      <c r="M222" s="50">
        <f t="shared" si="151"/>
        <v>0</v>
      </c>
      <c r="N222" s="50">
        <f t="shared" si="151"/>
        <v>0</v>
      </c>
      <c r="O222" s="50">
        <f t="shared" si="151"/>
        <v>0</v>
      </c>
      <c r="P222" s="50">
        <f t="shared" si="151"/>
        <v>0</v>
      </c>
      <c r="Q222" s="50">
        <f t="shared" si="151"/>
        <v>0</v>
      </c>
      <c r="R222" s="50">
        <f t="shared" si="151"/>
        <v>0</v>
      </c>
    </row>
    <row r="223" spans="1:18" x14ac:dyDescent="0.25">
      <c r="A223" s="41" t="s">
        <v>195</v>
      </c>
      <c r="B223" s="44"/>
      <c r="C223" s="50"/>
      <c r="D223" s="50"/>
      <c r="E223" s="50"/>
      <c r="F223" s="50">
        <f>F1703</f>
        <v>294703</v>
      </c>
      <c r="G223" s="50">
        <f>G1703</f>
        <v>251</v>
      </c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</row>
    <row r="224" spans="1:18" x14ac:dyDescent="0.25">
      <c r="A224" s="41" t="s">
        <v>196</v>
      </c>
      <c r="B224" s="44"/>
      <c r="C224" s="50">
        <f t="shared" ref="C224:F224" si="152">C1750</f>
        <v>25209</v>
      </c>
      <c r="D224" s="50">
        <f t="shared" si="152"/>
        <v>18037</v>
      </c>
      <c r="E224" s="50">
        <f t="shared" si="152"/>
        <v>16866</v>
      </c>
      <c r="F224" s="50">
        <f t="shared" si="152"/>
        <v>38801</v>
      </c>
      <c r="G224" s="50">
        <f>G1750</f>
        <v>15240</v>
      </c>
      <c r="H224" s="50">
        <f>H1750</f>
        <v>15500</v>
      </c>
      <c r="I224" s="50">
        <f t="shared" ref="I224:R224" si="153">I1750</f>
        <v>15856.499999999998</v>
      </c>
      <c r="J224" s="50">
        <f t="shared" si="153"/>
        <v>16237.055999999999</v>
      </c>
      <c r="K224" s="50">
        <f t="shared" si="153"/>
        <v>16626.745343999999</v>
      </c>
      <c r="L224" s="50">
        <f t="shared" si="153"/>
        <v>17009.160486911998</v>
      </c>
      <c r="M224" s="50">
        <f t="shared" si="153"/>
        <v>17383.362017624062</v>
      </c>
      <c r="N224" s="50">
        <f t="shared" si="153"/>
        <v>17783.179344029413</v>
      </c>
      <c r="O224" s="50">
        <f t="shared" si="153"/>
        <v>18227.758827630147</v>
      </c>
      <c r="P224" s="50">
        <f t="shared" si="153"/>
        <v>18683.452798320897</v>
      </c>
      <c r="Q224" s="50">
        <f t="shared" si="153"/>
        <v>19131.855665480598</v>
      </c>
      <c r="R224" s="50">
        <f t="shared" si="153"/>
        <v>19591.020201452131</v>
      </c>
    </row>
    <row r="225" spans="1:18" x14ac:dyDescent="0.25">
      <c r="A225" s="41" t="s">
        <v>197</v>
      </c>
      <c r="B225" s="44"/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</row>
    <row r="226" spans="1:18" x14ac:dyDescent="0.25">
      <c r="A226" s="41" t="s">
        <v>198</v>
      </c>
      <c r="B226" s="44"/>
      <c r="C226" s="50">
        <f t="shared" ref="C226:F226" si="154">C2142</f>
        <v>8660164</v>
      </c>
      <c r="D226" s="50">
        <f t="shared" si="154"/>
        <v>8957727</v>
      </c>
      <c r="E226" s="50">
        <f t="shared" si="154"/>
        <v>13240813</v>
      </c>
      <c r="F226" s="50">
        <f t="shared" si="154"/>
        <v>9770239</v>
      </c>
      <c r="G226" s="50">
        <f>G2142</f>
        <v>9319067</v>
      </c>
      <c r="H226" s="50">
        <f>H2142</f>
        <v>9565100</v>
      </c>
      <c r="I226" s="50">
        <f t="shared" ref="I226:R226" si="155">I2142</f>
        <v>10245871.199999999</v>
      </c>
      <c r="J226" s="50">
        <f t="shared" si="155"/>
        <v>10530641.8938</v>
      </c>
      <c r="K226" s="50">
        <f t="shared" si="155"/>
        <v>10770829.548876198</v>
      </c>
      <c r="L226" s="50">
        <f t="shared" si="155"/>
        <v>10984204.307328371</v>
      </c>
      <c r="M226" s="50">
        <f t="shared" si="155"/>
        <v>11241541.729457038</v>
      </c>
      <c r="N226" s="50">
        <f t="shared" si="155"/>
        <v>11587620.219172195</v>
      </c>
      <c r="O226" s="50">
        <f t="shared" si="155"/>
        <v>11919733.950457953</v>
      </c>
      <c r="P226" s="50">
        <f t="shared" si="155"/>
        <v>12264498.025025854</v>
      </c>
      <c r="Q226" s="50">
        <f t="shared" si="155"/>
        <v>12466001.706551649</v>
      </c>
      <c r="R226" s="50">
        <f t="shared" si="155"/>
        <v>12759606.829012033</v>
      </c>
    </row>
    <row r="227" spans="1:18" x14ac:dyDescent="0.25">
      <c r="A227" s="41" t="s">
        <v>199</v>
      </c>
      <c r="B227" s="44"/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</row>
    <row r="228" spans="1:18" x14ac:dyDescent="0.25">
      <c r="A228" s="41" t="s">
        <v>185</v>
      </c>
      <c r="B228" s="44"/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</row>
    <row r="229" spans="1:18" x14ac:dyDescent="0.25">
      <c r="A229" s="41" t="s">
        <v>164</v>
      </c>
      <c r="B229" s="44"/>
      <c r="C229" s="51">
        <f t="shared" ref="C229:F229" si="156">SUM(C222:C228)</f>
        <v>8686373</v>
      </c>
      <c r="D229" s="51">
        <f t="shared" si="156"/>
        <v>8994196</v>
      </c>
      <c r="E229" s="51">
        <f t="shared" si="156"/>
        <v>13257679</v>
      </c>
      <c r="F229" s="51">
        <f t="shared" si="156"/>
        <v>10170198</v>
      </c>
      <c r="G229" s="51">
        <f>SUM(G222:G228)</f>
        <v>9406248</v>
      </c>
      <c r="H229" s="51">
        <f t="shared" ref="H229:R229" si="157">SUM(H222:H228)</f>
        <v>9853100</v>
      </c>
      <c r="I229" s="51">
        <f t="shared" si="157"/>
        <v>10261727.699999999</v>
      </c>
      <c r="J229" s="51">
        <f t="shared" si="157"/>
        <v>10546878.9498</v>
      </c>
      <c r="K229" s="51">
        <f t="shared" si="157"/>
        <v>10787456.294220198</v>
      </c>
      <c r="L229" s="51">
        <f t="shared" si="157"/>
        <v>11001213.467815284</v>
      </c>
      <c r="M229" s="51">
        <f t="shared" si="157"/>
        <v>11258925.091474662</v>
      </c>
      <c r="N229" s="51">
        <f t="shared" si="157"/>
        <v>11605403.398516225</v>
      </c>
      <c r="O229" s="51">
        <f t="shared" si="157"/>
        <v>11937961.709285583</v>
      </c>
      <c r="P229" s="51">
        <f t="shared" si="157"/>
        <v>12283181.477824174</v>
      </c>
      <c r="Q229" s="51">
        <f t="shared" si="157"/>
        <v>12485133.562217129</v>
      </c>
      <c r="R229" s="51">
        <f t="shared" si="157"/>
        <v>12779197.849213485</v>
      </c>
    </row>
    <row r="230" spans="1:18" x14ac:dyDescent="0.25">
      <c r="A230" s="41"/>
      <c r="B230" s="44"/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</row>
    <row r="231" spans="1:18" x14ac:dyDescent="0.25">
      <c r="A231" s="41" t="s">
        <v>165</v>
      </c>
      <c r="B231" s="44"/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</row>
    <row r="232" spans="1:18" x14ac:dyDescent="0.25">
      <c r="A232" s="41" t="s">
        <v>194</v>
      </c>
      <c r="B232" s="44"/>
      <c r="C232" s="50">
        <f t="shared" ref="C232:F232" si="158">C1685</f>
        <v>861055</v>
      </c>
      <c r="D232" s="50">
        <f t="shared" si="158"/>
        <v>1022002</v>
      </c>
      <c r="E232" s="50">
        <f t="shared" si="158"/>
        <v>1202209.47</v>
      </c>
      <c r="F232" s="50">
        <f t="shared" si="158"/>
        <v>1190465</v>
      </c>
      <c r="G232" s="50">
        <f>G1685</f>
        <v>1302652</v>
      </c>
      <c r="H232" s="50">
        <f>H1685</f>
        <v>1273080</v>
      </c>
      <c r="I232" s="50">
        <f t="shared" ref="I232:R232" si="159">I1685</f>
        <v>1304409.8399999999</v>
      </c>
      <c r="J232" s="50">
        <f t="shared" si="159"/>
        <v>1430630.1810600003</v>
      </c>
      <c r="K232" s="50">
        <f t="shared" si="159"/>
        <v>1376597.6202979397</v>
      </c>
      <c r="L232" s="50">
        <f t="shared" si="159"/>
        <v>1415277.6281759676</v>
      </c>
      <c r="M232" s="50">
        <f t="shared" si="159"/>
        <v>1453706.5581045782</v>
      </c>
      <c r="N232" s="50">
        <f t="shared" si="159"/>
        <v>1593111.4297320067</v>
      </c>
      <c r="O232" s="50">
        <f t="shared" si="159"/>
        <v>1535911.7315253904</v>
      </c>
      <c r="P232" s="50">
        <f t="shared" si="159"/>
        <v>1581492.9281470871</v>
      </c>
      <c r="Q232" s="50">
        <f t="shared" si="159"/>
        <v>1628311.2323646026</v>
      </c>
      <c r="R232" s="50">
        <f t="shared" si="159"/>
        <v>1675936.9396939399</v>
      </c>
    </row>
    <row r="233" spans="1:18" x14ac:dyDescent="0.25">
      <c r="A233" s="41" t="s">
        <v>195</v>
      </c>
      <c r="B233" s="44"/>
      <c r="C233" s="50">
        <f t="shared" ref="C233:F233" si="160">C1717</f>
        <v>439465</v>
      </c>
      <c r="D233" s="50">
        <f t="shared" si="160"/>
        <v>459766</v>
      </c>
      <c r="E233" s="50">
        <f t="shared" si="160"/>
        <v>479098</v>
      </c>
      <c r="F233" s="50">
        <f t="shared" si="160"/>
        <v>762057</v>
      </c>
      <c r="G233" s="50">
        <f>G1717</f>
        <v>504027</v>
      </c>
      <c r="H233" s="50">
        <f>H1717</f>
        <v>666800</v>
      </c>
      <c r="I233" s="50">
        <f t="shared" ref="I233:R233" si="161">I1717</f>
        <v>682953.79999999993</v>
      </c>
      <c r="J233" s="50">
        <f t="shared" si="161"/>
        <v>701439.27869999991</v>
      </c>
      <c r="K233" s="50">
        <f t="shared" si="161"/>
        <v>721291.28414129978</v>
      </c>
      <c r="L233" s="50">
        <f t="shared" si="161"/>
        <v>742325.27524487476</v>
      </c>
      <c r="M233" s="50">
        <f t="shared" si="161"/>
        <v>763247.38449034176</v>
      </c>
      <c r="N233" s="50">
        <f t="shared" si="161"/>
        <v>784118.57891813328</v>
      </c>
      <c r="O233" s="50">
        <f t="shared" si="161"/>
        <v>807137.54311313538</v>
      </c>
      <c r="P233" s="50">
        <f t="shared" si="161"/>
        <v>831848.52532216266</v>
      </c>
      <c r="Q233" s="50">
        <f t="shared" si="161"/>
        <v>857020.27894618292</v>
      </c>
      <c r="R233" s="50">
        <f t="shared" si="161"/>
        <v>882973.20588373346</v>
      </c>
    </row>
    <row r="234" spans="1:18" x14ac:dyDescent="0.25">
      <c r="A234" s="41" t="s">
        <v>196</v>
      </c>
      <c r="B234" s="44"/>
      <c r="C234" s="50">
        <f t="shared" ref="C234:F234" si="162">C1774</f>
        <v>968506</v>
      </c>
      <c r="D234" s="50">
        <f t="shared" si="162"/>
        <v>1033439</v>
      </c>
      <c r="E234" s="50">
        <f t="shared" si="162"/>
        <v>1098586.06</v>
      </c>
      <c r="F234" s="50">
        <f t="shared" si="162"/>
        <v>1039621</v>
      </c>
      <c r="G234" s="50">
        <f>G1774</f>
        <v>1107528</v>
      </c>
      <c r="H234" s="50">
        <f>H1774</f>
        <v>1187700</v>
      </c>
      <c r="I234" s="50">
        <f t="shared" ref="I234:R234" si="163">I1774</f>
        <v>1217161.7</v>
      </c>
      <c r="J234" s="50">
        <f t="shared" si="163"/>
        <v>1251869.1182999997</v>
      </c>
      <c r="K234" s="50">
        <f t="shared" si="163"/>
        <v>1322493.4667891997</v>
      </c>
      <c r="L234" s="50">
        <f t="shared" si="163"/>
        <v>1398300.012493551</v>
      </c>
      <c r="M234" s="50">
        <f t="shared" si="163"/>
        <v>1476506.8000540256</v>
      </c>
      <c r="N234" s="50">
        <f t="shared" si="163"/>
        <v>1555057.691443196</v>
      </c>
      <c r="O234" s="50">
        <f t="shared" si="163"/>
        <v>1640011.5660285268</v>
      </c>
      <c r="P234" s="50">
        <f t="shared" si="163"/>
        <v>1694550.5818336019</v>
      </c>
      <c r="Q234" s="50">
        <f t="shared" si="163"/>
        <v>1750774.2884205082</v>
      </c>
      <c r="R234" s="50">
        <f t="shared" si="163"/>
        <v>1808876.2167146783</v>
      </c>
    </row>
    <row r="235" spans="1:18" x14ac:dyDescent="0.25">
      <c r="A235" s="41" t="s">
        <v>197</v>
      </c>
      <c r="B235" s="44"/>
      <c r="C235" s="50">
        <f t="shared" ref="C235:F235" si="164">C1796</f>
        <v>248591</v>
      </c>
      <c r="D235" s="50">
        <f t="shared" si="164"/>
        <v>273111</v>
      </c>
      <c r="E235" s="50">
        <f t="shared" si="164"/>
        <v>224826</v>
      </c>
      <c r="F235" s="50">
        <f t="shared" si="164"/>
        <v>271187</v>
      </c>
      <c r="G235" s="50">
        <f>G1796</f>
        <v>275679</v>
      </c>
      <c r="H235" s="50">
        <f>H1796</f>
        <v>286200</v>
      </c>
      <c r="I235" s="50">
        <f t="shared" ref="I235:R235" si="165">I1796</f>
        <v>334422.5</v>
      </c>
      <c r="J235" s="50">
        <f t="shared" si="165"/>
        <v>309961.72750000004</v>
      </c>
      <c r="K235" s="50">
        <f t="shared" si="165"/>
        <v>318130.91097249999</v>
      </c>
      <c r="L235" s="50">
        <f t="shared" si="165"/>
        <v>376730.71388899244</v>
      </c>
      <c r="M235" s="50">
        <f t="shared" si="165"/>
        <v>335773.46489349147</v>
      </c>
      <c r="N235" s="50">
        <f t="shared" si="165"/>
        <v>385343.97106199677</v>
      </c>
      <c r="O235" s="50">
        <f t="shared" si="165"/>
        <v>354803.05530878046</v>
      </c>
      <c r="P235" s="50">
        <f t="shared" si="165"/>
        <v>365417.96946343285</v>
      </c>
      <c r="Q235" s="50">
        <f t="shared" si="165"/>
        <v>375592.59768186492</v>
      </c>
      <c r="R235" s="50">
        <f t="shared" si="165"/>
        <v>386180.31407388387</v>
      </c>
    </row>
    <row r="236" spans="1:18" x14ac:dyDescent="0.25">
      <c r="A236" s="41" t="s">
        <v>198</v>
      </c>
      <c r="B236" s="44"/>
      <c r="C236" s="50">
        <f t="shared" ref="C236:F236" si="166">C2160</f>
        <v>381743</v>
      </c>
      <c r="D236" s="50">
        <f t="shared" si="166"/>
        <v>407943</v>
      </c>
      <c r="E236" s="50">
        <f t="shared" si="166"/>
        <v>432985</v>
      </c>
      <c r="F236" s="50">
        <f t="shared" si="166"/>
        <v>448506</v>
      </c>
      <c r="G236" s="50">
        <f>G2160</f>
        <v>433719</v>
      </c>
      <c r="H236" s="50">
        <f>H2160</f>
        <v>465900</v>
      </c>
      <c r="I236" s="50">
        <f t="shared" ref="I236:R236" si="167">I2160</f>
        <v>477295.49999999994</v>
      </c>
      <c r="J236" s="50">
        <f t="shared" si="167"/>
        <v>491825.34199999989</v>
      </c>
      <c r="K236" s="50">
        <f t="shared" si="167"/>
        <v>510141.29777799983</v>
      </c>
      <c r="L236" s="50">
        <f t="shared" si="167"/>
        <v>533943.49640499381</v>
      </c>
      <c r="M236" s="50">
        <f t="shared" si="167"/>
        <v>538127.45661368093</v>
      </c>
      <c r="N236" s="50">
        <f t="shared" si="167"/>
        <v>553493.01209088601</v>
      </c>
      <c r="O236" s="50">
        <f t="shared" si="167"/>
        <v>570401.5460875011</v>
      </c>
      <c r="P236" s="50">
        <f t="shared" si="167"/>
        <v>589180.76564726827</v>
      </c>
      <c r="Q236" s="50">
        <f t="shared" si="167"/>
        <v>608069.48519884446</v>
      </c>
      <c r="R236" s="50">
        <f t="shared" si="167"/>
        <v>627577.71177964367</v>
      </c>
    </row>
    <row r="237" spans="1:18" x14ac:dyDescent="0.25">
      <c r="A237" s="41" t="s">
        <v>199</v>
      </c>
      <c r="B237" s="44"/>
      <c r="C237" s="50">
        <f t="shared" ref="C237:F237" si="168">C2173</f>
        <v>269657</v>
      </c>
      <c r="D237" s="50">
        <f t="shared" si="168"/>
        <v>302291</v>
      </c>
      <c r="E237" s="50">
        <f t="shared" si="168"/>
        <v>269637</v>
      </c>
      <c r="F237" s="50">
        <f t="shared" si="168"/>
        <v>271635</v>
      </c>
      <c r="G237" s="50">
        <f>G2173</f>
        <v>283827</v>
      </c>
      <c r="H237" s="50">
        <f>H2173</f>
        <v>310000</v>
      </c>
      <c r="I237" s="50">
        <f t="shared" ref="I237:R237" si="169">I2173</f>
        <v>317748</v>
      </c>
      <c r="J237" s="50">
        <f t="shared" si="169"/>
        <v>326957.57699999999</v>
      </c>
      <c r="K237" s="50">
        <f t="shared" si="169"/>
        <v>337085.92902299995</v>
      </c>
      <c r="L237" s="50">
        <f t="shared" si="169"/>
        <v>348199.03774827899</v>
      </c>
      <c r="M237" s="50">
        <f t="shared" si="169"/>
        <v>359330.43330429686</v>
      </c>
      <c r="N237" s="50">
        <f t="shared" si="169"/>
        <v>370102.49575283722</v>
      </c>
      <c r="O237" s="50">
        <f t="shared" si="169"/>
        <v>381937.7445036759</v>
      </c>
      <c r="P237" s="50">
        <f t="shared" si="169"/>
        <v>394913.04395683645</v>
      </c>
      <c r="Q237" s="50">
        <f t="shared" si="169"/>
        <v>408328.03361085383</v>
      </c>
      <c r="R237" s="50">
        <f t="shared" si="169"/>
        <v>422198.84362093545</v>
      </c>
    </row>
    <row r="238" spans="1:18" x14ac:dyDescent="0.25">
      <c r="A238" s="41" t="s">
        <v>185</v>
      </c>
      <c r="B238" s="44"/>
      <c r="C238" s="50">
        <f t="shared" ref="C238:F238" si="170">C2188</f>
        <v>217522</v>
      </c>
      <c r="D238" s="50">
        <f t="shared" si="170"/>
        <v>204507</v>
      </c>
      <c r="E238" s="50">
        <f t="shared" si="170"/>
        <v>179307</v>
      </c>
      <c r="F238" s="50">
        <f t="shared" si="170"/>
        <v>147670</v>
      </c>
      <c r="G238" s="50">
        <f>G2188</f>
        <v>146755</v>
      </c>
      <c r="H238" s="50">
        <f>H2188</f>
        <v>151790</v>
      </c>
      <c r="I238" s="50">
        <f t="shared" ref="I238:R238" si="171">I2188</f>
        <v>155276</v>
      </c>
      <c r="J238" s="50">
        <f t="shared" si="171"/>
        <v>156621.144</v>
      </c>
      <c r="K238" s="50">
        <f t="shared" si="171"/>
        <v>160214.251456</v>
      </c>
      <c r="L238" s="50">
        <f t="shared" si="171"/>
        <v>166562.03423948801</v>
      </c>
      <c r="M238" s="50">
        <f t="shared" si="171"/>
        <v>170233.15899275671</v>
      </c>
      <c r="N238" s="50">
        <f t="shared" si="171"/>
        <v>174140.64164959016</v>
      </c>
      <c r="O238" s="50">
        <f t="shared" si="171"/>
        <v>178501.65769082989</v>
      </c>
      <c r="P238" s="50">
        <f t="shared" si="171"/>
        <v>182958.44913310063</v>
      </c>
      <c r="Q238" s="50">
        <f t="shared" si="171"/>
        <v>187344.89191229502</v>
      </c>
      <c r="R238" s="50">
        <f t="shared" si="171"/>
        <v>187996.60931819014</v>
      </c>
    </row>
    <row r="239" spans="1:18" x14ac:dyDescent="0.25">
      <c r="A239" s="41" t="s">
        <v>166</v>
      </c>
      <c r="B239" s="44"/>
      <c r="C239" s="51">
        <f t="shared" ref="C239:R239" si="172">SUM(C232:C238)</f>
        <v>3386539</v>
      </c>
      <c r="D239" s="51">
        <f t="shared" si="172"/>
        <v>3703059</v>
      </c>
      <c r="E239" s="51">
        <f t="shared" si="172"/>
        <v>3886648.5300000003</v>
      </c>
      <c r="F239" s="51">
        <f t="shared" si="172"/>
        <v>4131141</v>
      </c>
      <c r="G239" s="51">
        <f t="shared" si="172"/>
        <v>4054187</v>
      </c>
      <c r="H239" s="51">
        <f t="shared" si="172"/>
        <v>4341470</v>
      </c>
      <c r="I239" s="51">
        <f t="shared" si="172"/>
        <v>4489267.34</v>
      </c>
      <c r="J239" s="51">
        <f t="shared" si="172"/>
        <v>4669304.3685599994</v>
      </c>
      <c r="K239" s="51">
        <f t="shared" si="172"/>
        <v>4745954.7604579404</v>
      </c>
      <c r="L239" s="51">
        <f t="shared" si="172"/>
        <v>4981338.1981961466</v>
      </c>
      <c r="M239" s="51">
        <f t="shared" si="172"/>
        <v>5096925.2564531714</v>
      </c>
      <c r="N239" s="51">
        <f t="shared" si="172"/>
        <v>5415367.820648646</v>
      </c>
      <c r="O239" s="51">
        <f t="shared" si="172"/>
        <v>5468704.844257839</v>
      </c>
      <c r="P239" s="51">
        <f t="shared" si="172"/>
        <v>5640362.26350349</v>
      </c>
      <c r="Q239" s="51">
        <f t="shared" si="172"/>
        <v>5815440.8081351519</v>
      </c>
      <c r="R239" s="51">
        <f t="shared" si="172"/>
        <v>5991739.8410850046</v>
      </c>
    </row>
    <row r="240" spans="1:18" x14ac:dyDescent="0.25">
      <c r="A240" s="48"/>
      <c r="B240" s="49"/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</row>
    <row r="241" spans="1:18" x14ac:dyDescent="0.25">
      <c r="A241" s="48" t="s">
        <v>167</v>
      </c>
      <c r="B241" s="49"/>
      <c r="C241" s="51">
        <f t="shared" ref="C241:R241" si="173">C229-C239</f>
        <v>5299834</v>
      </c>
      <c r="D241" s="51">
        <f t="shared" si="173"/>
        <v>5291137</v>
      </c>
      <c r="E241" s="51">
        <f t="shared" si="173"/>
        <v>9371030.4699999988</v>
      </c>
      <c r="F241" s="51">
        <f t="shared" si="173"/>
        <v>6039057</v>
      </c>
      <c r="G241" s="51">
        <f t="shared" si="173"/>
        <v>5352061</v>
      </c>
      <c r="H241" s="51">
        <f t="shared" si="173"/>
        <v>5511630</v>
      </c>
      <c r="I241" s="51">
        <f t="shared" si="173"/>
        <v>5772460.3599999994</v>
      </c>
      <c r="J241" s="51">
        <f t="shared" si="173"/>
        <v>5877574.5812400002</v>
      </c>
      <c r="K241" s="51">
        <f t="shared" si="173"/>
        <v>6041501.5337622575</v>
      </c>
      <c r="L241" s="51">
        <f t="shared" si="173"/>
        <v>6019875.269619137</v>
      </c>
      <c r="M241" s="51">
        <f t="shared" si="173"/>
        <v>6161999.8350214902</v>
      </c>
      <c r="N241" s="51">
        <f t="shared" si="173"/>
        <v>6190035.5778675787</v>
      </c>
      <c r="O241" s="51">
        <f t="shared" si="173"/>
        <v>6469256.8650277443</v>
      </c>
      <c r="P241" s="51">
        <f t="shared" si="173"/>
        <v>6642819.2143206839</v>
      </c>
      <c r="Q241" s="51">
        <f t="shared" si="173"/>
        <v>6669692.7540819775</v>
      </c>
      <c r="R241" s="51">
        <f t="shared" si="173"/>
        <v>6787458.0081284801</v>
      </c>
    </row>
    <row r="242" spans="1:18" x14ac:dyDescent="0.25">
      <c r="A242" s="48"/>
      <c r="B242" s="49"/>
      <c r="C242" s="50"/>
      <c r="D242" s="50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</row>
    <row r="243" spans="1:18" x14ac:dyDescent="0.25">
      <c r="A243" s="48" t="s">
        <v>168</v>
      </c>
      <c r="B243" s="49"/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</row>
    <row r="244" spans="1:18" x14ac:dyDescent="0.25">
      <c r="A244" s="48"/>
      <c r="B244" s="49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</row>
    <row r="245" spans="1:18" x14ac:dyDescent="0.25">
      <c r="A245" s="48" t="s">
        <v>169</v>
      </c>
      <c r="B245" s="49"/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</row>
    <row r="246" spans="1:18" x14ac:dyDescent="0.25">
      <c r="A246" s="41" t="s">
        <v>194</v>
      </c>
      <c r="B246" s="44"/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</row>
    <row r="247" spans="1:18" x14ac:dyDescent="0.25">
      <c r="A247" s="41" t="s">
        <v>195</v>
      </c>
      <c r="B247" s="44"/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</row>
    <row r="248" spans="1:18" x14ac:dyDescent="0.25">
      <c r="A248" s="41" t="s">
        <v>196</v>
      </c>
      <c r="B248" s="44"/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</row>
    <row r="249" spans="1:18" x14ac:dyDescent="0.25">
      <c r="A249" s="41" t="s">
        <v>197</v>
      </c>
      <c r="B249" s="44"/>
      <c r="C249" s="50">
        <f t="shared" ref="C249:G249" si="174">C2023</f>
        <v>3125054.42</v>
      </c>
      <c r="D249" s="50">
        <f t="shared" si="174"/>
        <v>4018888</v>
      </c>
      <c r="E249" s="50">
        <f t="shared" si="174"/>
        <v>3789725</v>
      </c>
      <c r="F249" s="50">
        <f t="shared" si="174"/>
        <v>3547253</v>
      </c>
      <c r="G249" s="50">
        <f t="shared" si="174"/>
        <v>2852540.36</v>
      </c>
      <c r="H249" s="50">
        <f>H2023</f>
        <v>3668076.9569942858</v>
      </c>
      <c r="I249" s="50">
        <f t="shared" ref="I249:R249" si="175">I2023</f>
        <v>3178563.6236609523</v>
      </c>
      <c r="J249" s="50">
        <f t="shared" si="175"/>
        <v>3365144.2636609524</v>
      </c>
      <c r="K249" s="50">
        <f t="shared" si="175"/>
        <v>3293922.2184209526</v>
      </c>
      <c r="L249" s="50">
        <f t="shared" si="175"/>
        <v>3360720.6660080329</v>
      </c>
      <c r="M249" s="50">
        <f t="shared" si="175"/>
        <v>3456516.8871640987</v>
      </c>
      <c r="N249" s="50">
        <f t="shared" si="175"/>
        <v>3694756.0608455935</v>
      </c>
      <c r="O249" s="50">
        <f t="shared" si="175"/>
        <v>3490607.766987469</v>
      </c>
      <c r="P249" s="50">
        <f t="shared" si="175"/>
        <v>3766470.6508279061</v>
      </c>
      <c r="Q249" s="50">
        <f t="shared" si="175"/>
        <v>3765573.5190351889</v>
      </c>
      <c r="R249" s="50">
        <f t="shared" si="175"/>
        <v>3819615.6616525617</v>
      </c>
    </row>
    <row r="250" spans="1:18" x14ac:dyDescent="0.25">
      <c r="A250" s="41" t="s">
        <v>198</v>
      </c>
      <c r="B250" s="44"/>
      <c r="C250" s="50"/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</row>
    <row r="251" spans="1:18" x14ac:dyDescent="0.25">
      <c r="A251" s="41" t="s">
        <v>199</v>
      </c>
      <c r="B251" s="44"/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</row>
    <row r="252" spans="1:18" x14ac:dyDescent="0.25">
      <c r="A252" s="41" t="s">
        <v>185</v>
      </c>
      <c r="B252" s="44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</row>
    <row r="253" spans="1:18" x14ac:dyDescent="0.25">
      <c r="A253" s="41" t="s">
        <v>170</v>
      </c>
      <c r="B253" s="44"/>
      <c r="C253" s="51">
        <f t="shared" ref="C253:R253" si="176">SUM(C246:C252)</f>
        <v>3125054.42</v>
      </c>
      <c r="D253" s="51">
        <f t="shared" si="176"/>
        <v>4018888</v>
      </c>
      <c r="E253" s="51">
        <f t="shared" si="176"/>
        <v>3789725</v>
      </c>
      <c r="F253" s="51">
        <f t="shared" si="176"/>
        <v>3547253</v>
      </c>
      <c r="G253" s="51">
        <f t="shared" si="176"/>
        <v>2852540.36</v>
      </c>
      <c r="H253" s="51">
        <f t="shared" si="176"/>
        <v>3668076.9569942858</v>
      </c>
      <c r="I253" s="51">
        <f t="shared" si="176"/>
        <v>3178563.6236609523</v>
      </c>
      <c r="J253" s="51">
        <f t="shared" si="176"/>
        <v>3365144.2636609524</v>
      </c>
      <c r="K253" s="51">
        <f t="shared" si="176"/>
        <v>3293922.2184209526</v>
      </c>
      <c r="L253" s="51">
        <f t="shared" si="176"/>
        <v>3360720.6660080329</v>
      </c>
      <c r="M253" s="51">
        <f t="shared" si="176"/>
        <v>3456516.8871640987</v>
      </c>
      <c r="N253" s="51">
        <f t="shared" si="176"/>
        <v>3694756.0608455935</v>
      </c>
      <c r="O253" s="51">
        <f t="shared" si="176"/>
        <v>3490607.766987469</v>
      </c>
      <c r="P253" s="51">
        <f t="shared" si="176"/>
        <v>3766470.6508279061</v>
      </c>
      <c r="Q253" s="51">
        <f t="shared" si="176"/>
        <v>3765573.5190351889</v>
      </c>
      <c r="R253" s="51">
        <f t="shared" si="176"/>
        <v>3819615.6616525617</v>
      </c>
    </row>
    <row r="254" spans="1:18" x14ac:dyDescent="0.25">
      <c r="A254" s="48"/>
      <c r="B254" s="49"/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</row>
    <row r="255" spans="1:18" x14ac:dyDescent="0.25">
      <c r="A255" s="41" t="s">
        <v>171</v>
      </c>
      <c r="B255" s="44"/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</row>
    <row r="256" spans="1:18" x14ac:dyDescent="0.25">
      <c r="A256" s="41" t="s">
        <v>194</v>
      </c>
      <c r="B256" s="44"/>
      <c r="C256" s="50">
        <v>0</v>
      </c>
      <c r="D256" s="50">
        <f t="shared" ref="D256" si="177">D1692</f>
        <v>51765</v>
      </c>
      <c r="E256" s="50">
        <f>E1692</f>
        <v>0</v>
      </c>
      <c r="F256" s="50">
        <f t="shared" ref="F256" si="178">F1692</f>
        <v>1529</v>
      </c>
      <c r="G256" s="50">
        <f>G1692</f>
        <v>7572</v>
      </c>
      <c r="H256" s="50">
        <f>H1692</f>
        <v>0</v>
      </c>
      <c r="I256" s="50">
        <f t="shared" ref="I256:R256" si="179">I1692</f>
        <v>0</v>
      </c>
      <c r="J256" s="50">
        <f t="shared" si="179"/>
        <v>0</v>
      </c>
      <c r="K256" s="50">
        <f t="shared" si="179"/>
        <v>0</v>
      </c>
      <c r="L256" s="50">
        <f t="shared" si="179"/>
        <v>0</v>
      </c>
      <c r="M256" s="50">
        <f t="shared" si="179"/>
        <v>0</v>
      </c>
      <c r="N256" s="50">
        <f t="shared" si="179"/>
        <v>0</v>
      </c>
      <c r="O256" s="50">
        <f t="shared" si="179"/>
        <v>0</v>
      </c>
      <c r="P256" s="50">
        <f t="shared" si="179"/>
        <v>0</v>
      </c>
      <c r="Q256" s="50">
        <f t="shared" si="179"/>
        <v>0</v>
      </c>
      <c r="R256" s="50">
        <f t="shared" si="179"/>
        <v>0</v>
      </c>
    </row>
    <row r="257" spans="1:18" x14ac:dyDescent="0.25">
      <c r="A257" s="41" t="s">
        <v>195</v>
      </c>
      <c r="B257" s="44"/>
      <c r="C257" s="50">
        <f t="shared" ref="C257:F257" si="180">C1738</f>
        <v>134571</v>
      </c>
      <c r="D257" s="50">
        <f t="shared" si="180"/>
        <v>67472</v>
      </c>
      <c r="E257" s="50">
        <f t="shared" si="180"/>
        <v>41432</v>
      </c>
      <c r="F257" s="50">
        <f t="shared" si="180"/>
        <v>13990</v>
      </c>
      <c r="G257" s="50">
        <f>G1738</f>
        <v>88225.5</v>
      </c>
      <c r="H257" s="50">
        <f>H1738</f>
        <v>581000</v>
      </c>
      <c r="I257" s="50">
        <f t="shared" ref="I257:R257" si="181">I1738</f>
        <v>92000</v>
      </c>
      <c r="J257" s="50">
        <f t="shared" si="181"/>
        <v>55000</v>
      </c>
      <c r="K257" s="50">
        <f t="shared" si="181"/>
        <v>100000</v>
      </c>
      <c r="L257" s="50">
        <f t="shared" si="181"/>
        <v>94000</v>
      </c>
      <c r="M257" s="50">
        <f t="shared" si="181"/>
        <v>55000</v>
      </c>
      <c r="N257" s="50">
        <f t="shared" si="181"/>
        <v>90000</v>
      </c>
      <c r="O257" s="50">
        <f t="shared" si="181"/>
        <v>55000</v>
      </c>
      <c r="P257" s="50">
        <f t="shared" si="181"/>
        <v>55000</v>
      </c>
      <c r="Q257" s="50">
        <f t="shared" si="181"/>
        <v>55000</v>
      </c>
      <c r="R257" s="50">
        <f t="shared" si="181"/>
        <v>55000</v>
      </c>
    </row>
    <row r="258" spans="1:18" x14ac:dyDescent="0.25">
      <c r="A258" s="41" t="s">
        <v>196</v>
      </c>
      <c r="B258" s="44"/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</row>
    <row r="259" spans="1:18" x14ac:dyDescent="0.25">
      <c r="A259" s="41" t="s">
        <v>197</v>
      </c>
      <c r="B259" s="44"/>
      <c r="C259" s="50">
        <f t="shared" ref="C259:F259" si="182">C2106</f>
        <v>1173095</v>
      </c>
      <c r="D259" s="50">
        <f t="shared" si="182"/>
        <v>961606</v>
      </c>
      <c r="E259" s="50">
        <f t="shared" si="182"/>
        <v>1078717</v>
      </c>
      <c r="F259" s="50">
        <f t="shared" si="182"/>
        <v>1033081</v>
      </c>
      <c r="G259" s="50">
        <f>G2106</f>
        <v>2826400.77</v>
      </c>
      <c r="H259" s="50">
        <f>H2106</f>
        <v>1772919.9569942858</v>
      </c>
      <c r="I259" s="50">
        <f t="shared" ref="I259:R259" si="183">I2106</f>
        <v>1165752.6236609523</v>
      </c>
      <c r="J259" s="50">
        <f t="shared" si="183"/>
        <v>1132901.4636609524</v>
      </c>
      <c r="K259" s="50">
        <f t="shared" si="183"/>
        <v>1149484.1155009523</v>
      </c>
      <c r="L259" s="50">
        <f t="shared" si="183"/>
        <v>1174016.2939732724</v>
      </c>
      <c r="M259" s="50">
        <f t="shared" si="183"/>
        <v>1162026.1120883033</v>
      </c>
      <c r="N259" s="50">
        <f t="shared" si="183"/>
        <v>1203097.7851852844</v>
      </c>
      <c r="O259" s="50">
        <f t="shared" si="183"/>
        <v>1210505.3897951494</v>
      </c>
      <c r="P259" s="50">
        <f t="shared" si="183"/>
        <v>1277111.2135456367</v>
      </c>
      <c r="Q259" s="50">
        <f t="shared" si="183"/>
        <v>1305838.1417219378</v>
      </c>
      <c r="R259" s="50">
        <f t="shared" si="183"/>
        <v>1341064.0410393537</v>
      </c>
    </row>
    <row r="260" spans="1:18" x14ac:dyDescent="0.25">
      <c r="A260" s="41" t="s">
        <v>198</v>
      </c>
      <c r="B260" s="44"/>
      <c r="C260" s="50"/>
      <c r="D260" s="50"/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</row>
    <row r="261" spans="1:18" x14ac:dyDescent="0.25">
      <c r="A261" s="41" t="s">
        <v>199</v>
      </c>
      <c r="B261" s="44"/>
      <c r="C261" s="50"/>
      <c r="D261" s="50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</row>
    <row r="262" spans="1:18" x14ac:dyDescent="0.25">
      <c r="A262" s="41" t="s">
        <v>185</v>
      </c>
      <c r="B262" s="44"/>
      <c r="C262" s="50"/>
      <c r="D262" s="50"/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</row>
    <row r="263" spans="1:18" x14ac:dyDescent="0.25">
      <c r="A263" s="41" t="s">
        <v>172</v>
      </c>
      <c r="B263" s="44"/>
      <c r="C263" s="51">
        <f t="shared" ref="C263:R263" si="184">SUM(C256:C262)</f>
        <v>1307666</v>
      </c>
      <c r="D263" s="51">
        <f t="shared" si="184"/>
        <v>1080843</v>
      </c>
      <c r="E263" s="51">
        <f t="shared" si="184"/>
        <v>1120149</v>
      </c>
      <c r="F263" s="51">
        <f t="shared" si="184"/>
        <v>1048600</v>
      </c>
      <c r="G263" s="51">
        <f t="shared" si="184"/>
        <v>2922198.27</v>
      </c>
      <c r="H263" s="51">
        <f t="shared" si="184"/>
        <v>2353919.9569942858</v>
      </c>
      <c r="I263" s="51">
        <f t="shared" si="184"/>
        <v>1257752.6236609523</v>
      </c>
      <c r="J263" s="51">
        <f t="shared" si="184"/>
        <v>1187901.4636609524</v>
      </c>
      <c r="K263" s="51">
        <f t="shared" si="184"/>
        <v>1249484.1155009523</v>
      </c>
      <c r="L263" s="51">
        <f t="shared" si="184"/>
        <v>1268016.2939732724</v>
      </c>
      <c r="M263" s="51">
        <f t="shared" si="184"/>
        <v>1217026.1120883033</v>
      </c>
      <c r="N263" s="51">
        <f t="shared" si="184"/>
        <v>1293097.7851852844</v>
      </c>
      <c r="O263" s="51">
        <f t="shared" si="184"/>
        <v>1265505.3897951494</v>
      </c>
      <c r="P263" s="51">
        <f t="shared" si="184"/>
        <v>1332111.2135456367</v>
      </c>
      <c r="Q263" s="51">
        <f t="shared" si="184"/>
        <v>1360838.1417219378</v>
      </c>
      <c r="R263" s="51">
        <f t="shared" si="184"/>
        <v>1396064.0410393537</v>
      </c>
    </row>
    <row r="264" spans="1:18" x14ac:dyDescent="0.25">
      <c r="A264" s="48"/>
      <c r="B264" s="49"/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</row>
    <row r="265" spans="1:18" x14ac:dyDescent="0.25">
      <c r="A265" s="48" t="s">
        <v>173</v>
      </c>
      <c r="B265" s="49"/>
      <c r="C265" s="51">
        <f t="shared" ref="C265:R265" si="185">C253-C263</f>
        <v>1817388.42</v>
      </c>
      <c r="D265" s="51">
        <f t="shared" si="185"/>
        <v>2938045</v>
      </c>
      <c r="E265" s="51">
        <f t="shared" si="185"/>
        <v>2669576</v>
      </c>
      <c r="F265" s="51">
        <f t="shared" si="185"/>
        <v>2498653</v>
      </c>
      <c r="G265" s="51">
        <f t="shared" si="185"/>
        <v>-69657.910000000149</v>
      </c>
      <c r="H265" s="51">
        <f t="shared" si="185"/>
        <v>1314157</v>
      </c>
      <c r="I265" s="51">
        <f t="shared" si="185"/>
        <v>1920811</v>
      </c>
      <c r="J265" s="51">
        <f t="shared" si="185"/>
        <v>2177242.7999999998</v>
      </c>
      <c r="K265" s="51">
        <f t="shared" si="185"/>
        <v>2044438.1029200002</v>
      </c>
      <c r="L265" s="51">
        <f t="shared" si="185"/>
        <v>2092704.3720347604</v>
      </c>
      <c r="M265" s="51">
        <f t="shared" si="185"/>
        <v>2239490.7750757951</v>
      </c>
      <c r="N265" s="51">
        <f t="shared" si="185"/>
        <v>2401658.275660309</v>
      </c>
      <c r="O265" s="51">
        <f t="shared" si="185"/>
        <v>2225102.3771923194</v>
      </c>
      <c r="P265" s="51">
        <f t="shared" si="185"/>
        <v>2434359.4372822694</v>
      </c>
      <c r="Q265" s="51">
        <f t="shared" si="185"/>
        <v>2404735.3773132511</v>
      </c>
      <c r="R265" s="51">
        <f t="shared" si="185"/>
        <v>2423551.620613208</v>
      </c>
    </row>
    <row r="266" spans="1:18" x14ac:dyDescent="0.25">
      <c r="A266" s="48"/>
      <c r="B266" s="49"/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</row>
    <row r="267" spans="1:18" x14ac:dyDescent="0.25">
      <c r="A267" s="41" t="s">
        <v>200</v>
      </c>
      <c r="B267" s="44"/>
      <c r="C267" s="51">
        <f t="shared" ref="C267:R267" si="186">C265+C241</f>
        <v>7117222.4199999999</v>
      </c>
      <c r="D267" s="51">
        <f t="shared" si="186"/>
        <v>8229182</v>
      </c>
      <c r="E267" s="51">
        <f t="shared" si="186"/>
        <v>12040606.469999999</v>
      </c>
      <c r="F267" s="51">
        <f t="shared" si="186"/>
        <v>8537710</v>
      </c>
      <c r="G267" s="51">
        <f t="shared" si="186"/>
        <v>5282403.09</v>
      </c>
      <c r="H267" s="51">
        <f t="shared" si="186"/>
        <v>6825787</v>
      </c>
      <c r="I267" s="51">
        <f t="shared" si="186"/>
        <v>7693271.3599999994</v>
      </c>
      <c r="J267" s="51">
        <f t="shared" si="186"/>
        <v>8054817.38124</v>
      </c>
      <c r="K267" s="51">
        <f t="shared" si="186"/>
        <v>8085939.636682258</v>
      </c>
      <c r="L267" s="51">
        <f t="shared" si="186"/>
        <v>8112579.6416538972</v>
      </c>
      <c r="M267" s="51">
        <f t="shared" si="186"/>
        <v>8401490.6100972854</v>
      </c>
      <c r="N267" s="51">
        <f t="shared" si="186"/>
        <v>8591693.8535278887</v>
      </c>
      <c r="O267" s="51">
        <f t="shared" si="186"/>
        <v>8694359.2422200628</v>
      </c>
      <c r="P267" s="51">
        <f t="shared" si="186"/>
        <v>9077178.6516029537</v>
      </c>
      <c r="Q267" s="51">
        <f t="shared" si="186"/>
        <v>9074428.1313952282</v>
      </c>
      <c r="R267" s="51">
        <f t="shared" si="186"/>
        <v>9211009.628741689</v>
      </c>
    </row>
    <row r="268" spans="1:18" x14ac:dyDescent="0.25"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</row>
    <row r="269" spans="1:18" x14ac:dyDescent="0.25">
      <c r="C269" s="50"/>
      <c r="D269" s="50"/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</row>
    <row r="270" spans="1:18" x14ac:dyDescent="0.25">
      <c r="C270" s="50"/>
      <c r="D270" s="50"/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</row>
    <row r="271" spans="1:18" x14ac:dyDescent="0.25">
      <c r="A271" s="48" t="s">
        <v>159</v>
      </c>
      <c r="B271" s="44"/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</row>
    <row r="272" spans="1:18" x14ac:dyDescent="0.25">
      <c r="A272" s="41"/>
      <c r="B272" s="44"/>
      <c r="C272" s="50"/>
      <c r="D272" s="50"/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</row>
    <row r="273" spans="1:18" x14ac:dyDescent="0.25">
      <c r="A273" s="41" t="s">
        <v>201</v>
      </c>
      <c r="B273" s="44"/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</row>
    <row r="274" spans="1:18" x14ac:dyDescent="0.25">
      <c r="A274" s="41"/>
      <c r="B274" s="44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</row>
    <row r="275" spans="1:18" x14ac:dyDescent="0.25">
      <c r="A275" s="41" t="s">
        <v>202</v>
      </c>
      <c r="B275" s="44"/>
      <c r="C275" s="50"/>
      <c r="D275" s="50"/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</row>
    <row r="276" spans="1:18" x14ac:dyDescent="0.25"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</row>
    <row r="277" spans="1:18" x14ac:dyDescent="0.25">
      <c r="A277" s="52" t="s">
        <v>203</v>
      </c>
      <c r="B277" s="53"/>
      <c r="C277" s="54">
        <v>148507</v>
      </c>
      <c r="D277" s="54">
        <v>145345</v>
      </c>
      <c r="E277" s="50">
        <f>162122-100-90.91-90.91</f>
        <v>161840.18</v>
      </c>
      <c r="F277" s="50">
        <v>208684</v>
      </c>
      <c r="G277" s="50">
        <v>209826</v>
      </c>
      <c r="H277" s="50">
        <v>223800</v>
      </c>
      <c r="I277" s="54">
        <f>H277*1.023</f>
        <v>228947.4</v>
      </c>
      <c r="J277" s="54">
        <f>I277*1.024</f>
        <v>234442.13759999999</v>
      </c>
      <c r="K277" s="54">
        <f>J277*1.024</f>
        <v>240068.7489024</v>
      </c>
      <c r="L277" s="54">
        <f>K277*1.023</f>
        <v>245590.33012715518</v>
      </c>
      <c r="M277" s="54">
        <f>L277*1.022</f>
        <v>250993.3173899526</v>
      </c>
      <c r="N277" s="54">
        <f>M277*1.023</f>
        <v>256766.16368992149</v>
      </c>
      <c r="O277" s="54">
        <f>N277*1.025</f>
        <v>263185.3177821695</v>
      </c>
      <c r="P277" s="54">
        <f>O277*1.025</f>
        <v>269764.95072672371</v>
      </c>
      <c r="Q277" s="54">
        <f>P277*1.024</f>
        <v>276239.30954416509</v>
      </c>
      <c r="R277" s="54">
        <f>Q277*1.024</f>
        <v>282869.05297322507</v>
      </c>
    </row>
    <row r="278" spans="1:18" x14ac:dyDescent="0.25">
      <c r="A278" s="52" t="s">
        <v>204</v>
      </c>
      <c r="B278" s="53"/>
      <c r="C278" s="54">
        <v>827</v>
      </c>
      <c r="D278" s="54">
        <v>550</v>
      </c>
      <c r="E278" s="43">
        <v>2875</v>
      </c>
      <c r="F278" s="52">
        <v>1229</v>
      </c>
      <c r="G278" s="50">
        <v>1476</v>
      </c>
      <c r="H278" s="50">
        <v>1600</v>
      </c>
      <c r="I278" s="54">
        <f t="shared" ref="I278:I290" si="187">H278*1.023</f>
        <v>1636.8</v>
      </c>
      <c r="J278" s="54">
        <f t="shared" ref="J278:K290" si="188">I278*1.024</f>
        <v>1676.0832</v>
      </c>
      <c r="K278" s="54">
        <f t="shared" si="188"/>
        <v>1716.3091968000001</v>
      </c>
      <c r="L278" s="54">
        <f t="shared" ref="L278:L290" si="189">K278*1.023</f>
        <v>1755.7843083263999</v>
      </c>
      <c r="M278" s="54">
        <f t="shared" ref="M278:M290" si="190">L278*1.022</f>
        <v>1794.4115631095808</v>
      </c>
      <c r="N278" s="54">
        <f t="shared" ref="N278:N290" si="191">M278*1.023</f>
        <v>1835.683029061101</v>
      </c>
      <c r="O278" s="54">
        <f t="shared" ref="O278:P290" si="192">N278*1.025</f>
        <v>1881.5751047876283</v>
      </c>
      <c r="P278" s="54">
        <f t="shared" si="192"/>
        <v>1928.614482407319</v>
      </c>
      <c r="Q278" s="54">
        <f t="shared" ref="Q278:R290" si="193">P278*1.024</f>
        <v>1974.9012299850947</v>
      </c>
      <c r="R278" s="54">
        <f t="shared" si="193"/>
        <v>2022.298859504737</v>
      </c>
    </row>
    <row r="279" spans="1:18" x14ac:dyDescent="0.25">
      <c r="A279" s="52" t="s">
        <v>205</v>
      </c>
      <c r="B279" s="53"/>
      <c r="C279" s="54">
        <v>20077</v>
      </c>
      <c r="D279" s="54">
        <v>22648</v>
      </c>
      <c r="E279" s="43">
        <v>24583</v>
      </c>
      <c r="F279" s="43">
        <v>24284</v>
      </c>
      <c r="G279" s="50">
        <v>21865</v>
      </c>
      <c r="H279" s="50">
        <v>25000</v>
      </c>
      <c r="I279" s="54">
        <f t="shared" si="187"/>
        <v>25574.999999999996</v>
      </c>
      <c r="J279" s="54">
        <f t="shared" si="188"/>
        <v>26188.799999999996</v>
      </c>
      <c r="K279" s="54">
        <f t="shared" si="188"/>
        <v>26817.331199999997</v>
      </c>
      <c r="L279" s="54">
        <f t="shared" si="189"/>
        <v>27434.129817599995</v>
      </c>
      <c r="M279" s="54">
        <f t="shared" si="190"/>
        <v>28037.680673587194</v>
      </c>
      <c r="N279" s="54">
        <f t="shared" si="191"/>
        <v>28682.547329079698</v>
      </c>
      <c r="O279" s="54">
        <f t="shared" si="192"/>
        <v>29399.611012306686</v>
      </c>
      <c r="P279" s="54">
        <f t="shared" si="192"/>
        <v>30134.60128761435</v>
      </c>
      <c r="Q279" s="54">
        <f t="shared" si="193"/>
        <v>30857.831718517096</v>
      </c>
      <c r="R279" s="54">
        <f t="shared" si="193"/>
        <v>31598.419679761508</v>
      </c>
    </row>
    <row r="280" spans="1:18" x14ac:dyDescent="0.25">
      <c r="A280" s="52" t="s">
        <v>206</v>
      </c>
      <c r="B280" s="53"/>
      <c r="C280" s="54">
        <v>8750</v>
      </c>
      <c r="D280" s="54">
        <v>3350</v>
      </c>
      <c r="E280" s="43">
        <v>5745</v>
      </c>
      <c r="F280" s="43">
        <v>4500</v>
      </c>
      <c r="G280" s="50">
        <v>1700</v>
      </c>
      <c r="H280" s="50">
        <v>5000</v>
      </c>
      <c r="I280" s="54">
        <f t="shared" si="187"/>
        <v>5115</v>
      </c>
      <c r="J280" s="54">
        <f t="shared" si="188"/>
        <v>5237.76</v>
      </c>
      <c r="K280" s="54">
        <f t="shared" si="188"/>
        <v>5363.4662400000007</v>
      </c>
      <c r="L280" s="54">
        <f t="shared" si="189"/>
        <v>5486.8259635200002</v>
      </c>
      <c r="M280" s="54">
        <f t="shared" si="190"/>
        <v>5607.5361347174403</v>
      </c>
      <c r="N280" s="54">
        <f t="shared" si="191"/>
        <v>5736.5094658159405</v>
      </c>
      <c r="O280" s="54">
        <f t="shared" si="192"/>
        <v>5879.9222024613382</v>
      </c>
      <c r="P280" s="54">
        <f t="shared" si="192"/>
        <v>6026.920257522871</v>
      </c>
      <c r="Q280" s="54">
        <f t="shared" si="193"/>
        <v>6171.56634370342</v>
      </c>
      <c r="R280" s="54">
        <f t="shared" si="193"/>
        <v>6319.6839359523019</v>
      </c>
    </row>
    <row r="281" spans="1:18" x14ac:dyDescent="0.25">
      <c r="A281" s="52" t="s">
        <v>207</v>
      </c>
      <c r="B281" s="53"/>
      <c r="C281" s="54">
        <v>49716</v>
      </c>
      <c r="D281" s="54">
        <v>50327</v>
      </c>
      <c r="E281" s="43">
        <v>43972</v>
      </c>
      <c r="F281" s="43">
        <v>44315</v>
      </c>
      <c r="G281" s="50">
        <v>42603</v>
      </c>
      <c r="H281" s="50">
        <v>45000</v>
      </c>
      <c r="I281" s="54">
        <f t="shared" si="187"/>
        <v>46034.999999999993</v>
      </c>
      <c r="J281" s="54">
        <f t="shared" si="188"/>
        <v>47139.839999999997</v>
      </c>
      <c r="K281" s="54">
        <f t="shared" si="188"/>
        <v>48271.19616</v>
      </c>
      <c r="L281" s="54">
        <f t="shared" si="189"/>
        <v>49381.433671679995</v>
      </c>
      <c r="M281" s="54">
        <f t="shared" si="190"/>
        <v>50467.825212456955</v>
      </c>
      <c r="N281" s="54">
        <f t="shared" si="191"/>
        <v>51628.58519234346</v>
      </c>
      <c r="O281" s="54">
        <f t="shared" si="192"/>
        <v>52919.299822152039</v>
      </c>
      <c r="P281" s="54">
        <f t="shared" si="192"/>
        <v>54242.282317705838</v>
      </c>
      <c r="Q281" s="54">
        <f t="shared" si="193"/>
        <v>55544.097093330776</v>
      </c>
      <c r="R281" s="54">
        <f t="shared" si="193"/>
        <v>56877.155423570715</v>
      </c>
    </row>
    <row r="282" spans="1:18" x14ac:dyDescent="0.25">
      <c r="A282" s="52" t="s">
        <v>208</v>
      </c>
      <c r="B282" s="53"/>
      <c r="C282" s="54">
        <v>15695</v>
      </c>
      <c r="D282" s="54">
        <v>16040</v>
      </c>
      <c r="E282" s="43">
        <v>21510</v>
      </c>
      <c r="F282" s="43">
        <v>24335</v>
      </c>
      <c r="G282" s="50">
        <v>25004</v>
      </c>
      <c r="H282" s="50">
        <v>24000</v>
      </c>
      <c r="I282" s="54">
        <f t="shared" si="187"/>
        <v>24551.999999999996</v>
      </c>
      <c r="J282" s="54">
        <f t="shared" si="188"/>
        <v>25141.247999999996</v>
      </c>
      <c r="K282" s="54">
        <f t="shared" si="188"/>
        <v>25744.637951999997</v>
      </c>
      <c r="L282" s="54">
        <f t="shared" si="189"/>
        <v>26336.764624895994</v>
      </c>
      <c r="M282" s="54">
        <f t="shared" si="190"/>
        <v>26916.173446643705</v>
      </c>
      <c r="N282" s="54">
        <f t="shared" si="191"/>
        <v>27535.245435916506</v>
      </c>
      <c r="O282" s="54">
        <f t="shared" si="192"/>
        <v>28223.626571814417</v>
      </c>
      <c r="P282" s="54">
        <f t="shared" si="192"/>
        <v>28929.217236109776</v>
      </c>
      <c r="Q282" s="54">
        <f t="shared" si="193"/>
        <v>29623.518449776413</v>
      </c>
      <c r="R282" s="54">
        <f t="shared" si="193"/>
        <v>30334.482892571046</v>
      </c>
    </row>
    <row r="283" spans="1:18" x14ac:dyDescent="0.25">
      <c r="A283" s="52" t="s">
        <v>23</v>
      </c>
      <c r="B283" s="53"/>
      <c r="C283" s="54">
        <f>9691+90+2883+90+4091+1430+12153</f>
        <v>30428</v>
      </c>
      <c r="D283" s="54">
        <v>25145</v>
      </c>
      <c r="E283" s="50">
        <f>10473+10132+210+3273+2870+6040+31.82</f>
        <v>33029.82</v>
      </c>
      <c r="F283" s="50">
        <v>24028</v>
      </c>
      <c r="G283" s="50">
        <v>25029</v>
      </c>
      <c r="H283" s="50">
        <v>26000</v>
      </c>
      <c r="I283" s="54">
        <f t="shared" si="187"/>
        <v>26597.999999999996</v>
      </c>
      <c r="J283" s="54">
        <f t="shared" si="188"/>
        <v>27236.351999999995</v>
      </c>
      <c r="K283" s="54">
        <f t="shared" si="188"/>
        <v>27890.024447999996</v>
      </c>
      <c r="L283" s="54">
        <f t="shared" si="189"/>
        <v>28531.495010303996</v>
      </c>
      <c r="M283" s="54">
        <f t="shared" si="190"/>
        <v>29159.187900530684</v>
      </c>
      <c r="N283" s="54">
        <f t="shared" si="191"/>
        <v>29829.849222242887</v>
      </c>
      <c r="O283" s="54">
        <f t="shared" si="192"/>
        <v>30575.595452798956</v>
      </c>
      <c r="P283" s="54">
        <f t="shared" si="192"/>
        <v>31339.985339118928</v>
      </c>
      <c r="Q283" s="54">
        <f t="shared" si="193"/>
        <v>32092.144987257783</v>
      </c>
      <c r="R283" s="54">
        <f t="shared" si="193"/>
        <v>32862.356466951969</v>
      </c>
    </row>
    <row r="284" spans="1:18" x14ac:dyDescent="0.25">
      <c r="A284" s="52" t="s">
        <v>209</v>
      </c>
      <c r="B284" s="53"/>
      <c r="C284" s="54">
        <f>11851+8208</f>
        <v>20059</v>
      </c>
      <c r="D284" s="54">
        <v>13835</v>
      </c>
      <c r="E284" s="50">
        <f>4280+8407-337.5</f>
        <v>12349.5</v>
      </c>
      <c r="F284" s="50">
        <v>9505</v>
      </c>
      <c r="G284" s="50">
        <v>13446</v>
      </c>
      <c r="H284" s="50">
        <v>13300</v>
      </c>
      <c r="I284" s="54">
        <f t="shared" si="187"/>
        <v>13605.9</v>
      </c>
      <c r="J284" s="54">
        <f t="shared" si="188"/>
        <v>13932.4416</v>
      </c>
      <c r="K284" s="54">
        <f t="shared" si="188"/>
        <v>14266.820198400001</v>
      </c>
      <c r="L284" s="54">
        <f t="shared" si="189"/>
        <v>14594.9570629632</v>
      </c>
      <c r="M284" s="54">
        <f t="shared" si="190"/>
        <v>14916.046118348391</v>
      </c>
      <c r="N284" s="54">
        <f t="shared" si="191"/>
        <v>15259.115179070403</v>
      </c>
      <c r="O284" s="54">
        <f t="shared" si="192"/>
        <v>15640.593058547161</v>
      </c>
      <c r="P284" s="54">
        <f t="shared" si="192"/>
        <v>16031.607885010839</v>
      </c>
      <c r="Q284" s="54">
        <f t="shared" si="193"/>
        <v>16416.366474251099</v>
      </c>
      <c r="R284" s="54">
        <f t="shared" si="193"/>
        <v>16810.359269633125</v>
      </c>
    </row>
    <row r="285" spans="1:18" x14ac:dyDescent="0.25">
      <c r="A285" s="52" t="s">
        <v>210</v>
      </c>
      <c r="B285" s="53"/>
      <c r="C285" s="54">
        <v>2041</v>
      </c>
      <c r="D285" s="54">
        <v>1246</v>
      </c>
      <c r="E285" s="43">
        <v>2506</v>
      </c>
      <c r="F285" s="50">
        <v>741</v>
      </c>
      <c r="G285" s="50">
        <v>0</v>
      </c>
      <c r="H285" s="50">
        <v>2000</v>
      </c>
      <c r="I285" s="54">
        <f t="shared" si="187"/>
        <v>2045.9999999999998</v>
      </c>
      <c r="J285" s="54">
        <f t="shared" si="188"/>
        <v>2095.1039999999998</v>
      </c>
      <c r="K285" s="54">
        <f t="shared" si="188"/>
        <v>2145.3864960000001</v>
      </c>
      <c r="L285" s="54">
        <f t="shared" si="189"/>
        <v>2194.7303854080001</v>
      </c>
      <c r="M285" s="54">
        <f t="shared" si="190"/>
        <v>2243.0144538869763</v>
      </c>
      <c r="N285" s="54">
        <f t="shared" si="191"/>
        <v>2294.6037863263764</v>
      </c>
      <c r="O285" s="54">
        <f t="shared" si="192"/>
        <v>2351.9688809845356</v>
      </c>
      <c r="P285" s="54">
        <f t="shared" si="192"/>
        <v>2410.7681030091489</v>
      </c>
      <c r="Q285" s="54">
        <f t="shared" si="193"/>
        <v>2468.6265374813684</v>
      </c>
      <c r="R285" s="54">
        <f t="shared" si="193"/>
        <v>2527.8735743809211</v>
      </c>
    </row>
    <row r="286" spans="1:18" x14ac:dyDescent="0.25">
      <c r="A286" s="52" t="s">
        <v>211</v>
      </c>
      <c r="B286" s="53"/>
      <c r="C286" s="54">
        <v>2230</v>
      </c>
      <c r="D286" s="50">
        <f>2250+370+18</f>
        <v>2638</v>
      </c>
      <c r="E286" s="43">
        <v>2595</v>
      </c>
      <c r="F286" s="50">
        <v>5627</v>
      </c>
      <c r="G286" s="50">
        <v>1220</v>
      </c>
      <c r="H286" s="50">
        <v>4100</v>
      </c>
      <c r="I286" s="54">
        <f t="shared" si="187"/>
        <v>4194.2999999999993</v>
      </c>
      <c r="J286" s="54">
        <f t="shared" si="188"/>
        <v>4294.9631999999992</v>
      </c>
      <c r="K286" s="54">
        <f t="shared" si="188"/>
        <v>4398.0423167999998</v>
      </c>
      <c r="L286" s="54">
        <f t="shared" si="189"/>
        <v>4499.1972900863993</v>
      </c>
      <c r="M286" s="54">
        <f t="shared" si="190"/>
        <v>4598.1796304683003</v>
      </c>
      <c r="N286" s="54">
        <f t="shared" si="191"/>
        <v>4703.9377619690704</v>
      </c>
      <c r="O286" s="54">
        <f t="shared" si="192"/>
        <v>4821.536206018297</v>
      </c>
      <c r="P286" s="54">
        <f t="shared" si="192"/>
        <v>4942.074611168754</v>
      </c>
      <c r="Q286" s="54">
        <f t="shared" si="193"/>
        <v>5060.6844018368038</v>
      </c>
      <c r="R286" s="54">
        <f t="shared" si="193"/>
        <v>5182.1408274808873</v>
      </c>
    </row>
    <row r="287" spans="1:18" x14ac:dyDescent="0.25">
      <c r="A287" s="52" t="s">
        <v>212</v>
      </c>
      <c r="B287" s="53"/>
      <c r="C287" s="54">
        <v>3808</v>
      </c>
      <c r="D287" s="54">
        <v>1250</v>
      </c>
      <c r="E287" s="43">
        <v>5749</v>
      </c>
      <c r="F287" s="50">
        <v>6438</v>
      </c>
      <c r="G287" s="50">
        <v>8640</v>
      </c>
      <c r="H287" s="50">
        <v>5500</v>
      </c>
      <c r="I287" s="54">
        <f t="shared" si="187"/>
        <v>5626.4999999999991</v>
      </c>
      <c r="J287" s="54">
        <f t="shared" si="188"/>
        <v>5761.5359999999991</v>
      </c>
      <c r="K287" s="54">
        <f t="shared" si="188"/>
        <v>5899.8128639999995</v>
      </c>
      <c r="L287" s="54">
        <f t="shared" si="189"/>
        <v>6035.5085598719988</v>
      </c>
      <c r="M287" s="54">
        <f t="shared" si="190"/>
        <v>6168.2897481891832</v>
      </c>
      <c r="N287" s="54">
        <f t="shared" si="191"/>
        <v>6310.1604123975339</v>
      </c>
      <c r="O287" s="54">
        <f t="shared" si="192"/>
        <v>6467.9144227074721</v>
      </c>
      <c r="P287" s="54">
        <f t="shared" si="192"/>
        <v>6629.612283275158</v>
      </c>
      <c r="Q287" s="54">
        <f t="shared" si="193"/>
        <v>6788.7229780737616</v>
      </c>
      <c r="R287" s="54">
        <f t="shared" si="193"/>
        <v>6951.6523295475317</v>
      </c>
    </row>
    <row r="288" spans="1:18" x14ac:dyDescent="0.25">
      <c r="A288" s="52" t="s">
        <v>213</v>
      </c>
      <c r="B288" s="53"/>
      <c r="C288" s="54">
        <v>8164</v>
      </c>
      <c r="D288" s="54">
        <v>936</v>
      </c>
      <c r="E288" s="50">
        <f>3712-321.75</f>
        <v>3390.25</v>
      </c>
      <c r="F288" s="50">
        <v>227</v>
      </c>
      <c r="G288" s="50">
        <v>221</v>
      </c>
      <c r="H288" s="50">
        <v>500</v>
      </c>
      <c r="I288" s="54">
        <f t="shared" si="187"/>
        <v>511.49999999999994</v>
      </c>
      <c r="J288" s="54">
        <f t="shared" si="188"/>
        <v>523.77599999999995</v>
      </c>
      <c r="K288" s="54">
        <f t="shared" si="188"/>
        <v>536.34662400000002</v>
      </c>
      <c r="L288" s="54">
        <f t="shared" si="189"/>
        <v>548.68259635200002</v>
      </c>
      <c r="M288" s="54">
        <f t="shared" si="190"/>
        <v>560.75361347174407</v>
      </c>
      <c r="N288" s="54">
        <f t="shared" si="191"/>
        <v>573.6509465815941</v>
      </c>
      <c r="O288" s="54">
        <f t="shared" si="192"/>
        <v>587.99222024613391</v>
      </c>
      <c r="P288" s="54">
        <f t="shared" si="192"/>
        <v>602.69202575228724</v>
      </c>
      <c r="Q288" s="54">
        <f t="shared" si="193"/>
        <v>617.15663437034209</v>
      </c>
      <c r="R288" s="54">
        <f t="shared" si="193"/>
        <v>631.96839359523028</v>
      </c>
    </row>
    <row r="289" spans="1:18" x14ac:dyDescent="0.25">
      <c r="A289" s="52" t="s">
        <v>214</v>
      </c>
      <c r="B289" s="53"/>
      <c r="C289" s="54">
        <v>1242</v>
      </c>
      <c r="D289" s="54">
        <v>1314</v>
      </c>
      <c r="E289" s="43">
        <f>882+72</f>
        <v>954</v>
      </c>
      <c r="F289" s="50">
        <v>972</v>
      </c>
      <c r="G289" s="50">
        <v>1206</v>
      </c>
      <c r="H289" s="50">
        <v>1200</v>
      </c>
      <c r="I289" s="54">
        <f t="shared" si="187"/>
        <v>1227.5999999999999</v>
      </c>
      <c r="J289" s="54">
        <f t="shared" si="188"/>
        <v>1257.0624</v>
      </c>
      <c r="K289" s="54">
        <f t="shared" si="188"/>
        <v>1287.2318976000001</v>
      </c>
      <c r="L289" s="54">
        <f t="shared" si="189"/>
        <v>1316.8382312448</v>
      </c>
      <c r="M289" s="54">
        <f t="shared" si="190"/>
        <v>1345.8086723321856</v>
      </c>
      <c r="N289" s="54">
        <f t="shared" si="191"/>
        <v>1376.7622717958257</v>
      </c>
      <c r="O289" s="54">
        <f t="shared" si="192"/>
        <v>1411.1813285907213</v>
      </c>
      <c r="P289" s="54">
        <f t="shared" si="192"/>
        <v>1446.4608618054892</v>
      </c>
      <c r="Q289" s="54">
        <f t="shared" si="193"/>
        <v>1481.175922488821</v>
      </c>
      <c r="R289" s="54">
        <f t="shared" si="193"/>
        <v>1516.7241446285527</v>
      </c>
    </row>
    <row r="290" spans="1:18" x14ac:dyDescent="0.25">
      <c r="A290" s="52" t="s">
        <v>215</v>
      </c>
      <c r="B290" s="53"/>
      <c r="C290" s="54"/>
      <c r="D290" s="50">
        <v>2000</v>
      </c>
      <c r="E290" s="50">
        <v>0</v>
      </c>
      <c r="F290" s="50">
        <v>0</v>
      </c>
      <c r="G290" s="50">
        <v>0</v>
      </c>
      <c r="H290" s="50">
        <v>0</v>
      </c>
      <c r="I290" s="54">
        <f t="shared" si="187"/>
        <v>0</v>
      </c>
      <c r="J290" s="54">
        <f t="shared" si="188"/>
        <v>0</v>
      </c>
      <c r="K290" s="54">
        <f t="shared" si="188"/>
        <v>0</v>
      </c>
      <c r="L290" s="54">
        <f t="shared" si="189"/>
        <v>0</v>
      </c>
      <c r="M290" s="54">
        <f t="shared" si="190"/>
        <v>0</v>
      </c>
      <c r="N290" s="54">
        <f t="shared" si="191"/>
        <v>0</v>
      </c>
      <c r="O290" s="54">
        <f t="shared" si="192"/>
        <v>0</v>
      </c>
      <c r="P290" s="54">
        <f t="shared" si="192"/>
        <v>0</v>
      </c>
      <c r="Q290" s="54">
        <f t="shared" si="193"/>
        <v>0</v>
      </c>
      <c r="R290" s="54">
        <f t="shared" si="193"/>
        <v>0</v>
      </c>
    </row>
    <row r="291" spans="1:18" x14ac:dyDescent="0.25">
      <c r="A291" s="41"/>
      <c r="B291" s="44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</row>
    <row r="292" spans="1:18" x14ac:dyDescent="0.25">
      <c r="A292" s="41" t="s">
        <v>216</v>
      </c>
      <c r="B292" s="44"/>
      <c r="C292" s="51">
        <f t="shared" ref="C292:Q292" si="194">SUM(C277:C291)</f>
        <v>311544</v>
      </c>
      <c r="D292" s="51">
        <f t="shared" si="194"/>
        <v>286624</v>
      </c>
      <c r="E292" s="51">
        <f t="shared" si="194"/>
        <v>321098.75</v>
      </c>
      <c r="F292" s="51">
        <f t="shared" ref="F292:G292" si="195">SUM(F277:F291)</f>
        <v>354885</v>
      </c>
      <c r="G292" s="51">
        <f t="shared" si="195"/>
        <v>352236</v>
      </c>
      <c r="H292" s="51">
        <f t="shared" si="194"/>
        <v>377000</v>
      </c>
      <c r="I292" s="51">
        <f t="shared" si="194"/>
        <v>385670.99999999994</v>
      </c>
      <c r="J292" s="51">
        <f t="shared" si="194"/>
        <v>394927.10400000011</v>
      </c>
      <c r="K292" s="51">
        <f t="shared" si="194"/>
        <v>404405.35449599993</v>
      </c>
      <c r="L292" s="51">
        <f t="shared" si="194"/>
        <v>413706.67764940794</v>
      </c>
      <c r="M292" s="51">
        <f t="shared" si="194"/>
        <v>422808.22455769486</v>
      </c>
      <c r="N292" s="51">
        <f t="shared" si="194"/>
        <v>432532.81372252188</v>
      </c>
      <c r="O292" s="51">
        <f t="shared" si="194"/>
        <v>443346.13406558486</v>
      </c>
      <c r="P292" s="51">
        <f t="shared" si="194"/>
        <v>454429.78741722455</v>
      </c>
      <c r="Q292" s="51">
        <f t="shared" si="194"/>
        <v>465336.10231523786</v>
      </c>
      <c r="R292" s="51">
        <f t="shared" ref="R292" si="196">SUM(R277:R291)</f>
        <v>476504.16877080366</v>
      </c>
    </row>
    <row r="293" spans="1:18" x14ac:dyDescent="0.25">
      <c r="C293" s="50"/>
      <c r="D293" s="50"/>
      <c r="E293" s="50"/>
      <c r="F293" s="50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</row>
    <row r="294" spans="1:18" x14ac:dyDescent="0.25">
      <c r="A294" s="41" t="s">
        <v>165</v>
      </c>
      <c r="B294" s="44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</row>
    <row r="295" spans="1:18" x14ac:dyDescent="0.25">
      <c r="C295" s="50"/>
      <c r="D295" s="50"/>
      <c r="E295" s="56"/>
      <c r="F295" s="56"/>
      <c r="G295" s="56"/>
      <c r="H295" s="56"/>
      <c r="I295" s="50"/>
      <c r="J295" s="50"/>
      <c r="K295" s="50"/>
      <c r="L295" s="50"/>
      <c r="M295" s="50"/>
      <c r="N295" s="50"/>
      <c r="O295" s="50"/>
      <c r="P295" s="50"/>
      <c r="Q295" s="50"/>
      <c r="R295" s="50"/>
    </row>
    <row r="296" spans="1:18" x14ac:dyDescent="0.25">
      <c r="A296" s="43" t="s">
        <v>217</v>
      </c>
      <c r="C296" s="54">
        <f>433291+39852</f>
        <v>473143</v>
      </c>
      <c r="D296" s="54">
        <f>461082+16151</f>
        <v>477233</v>
      </c>
      <c r="E296" s="50">
        <f>451852+5022.08-1320-1380-1460-1461.76+862.06+574.71+862.06</f>
        <v>453551.15</v>
      </c>
      <c r="F296" s="43">
        <v>429350</v>
      </c>
      <c r="G296" s="43">
        <v>502442</v>
      </c>
      <c r="H296" s="43">
        <v>552800</v>
      </c>
      <c r="I296" s="50">
        <f>H296*1.025</f>
        <v>566620</v>
      </c>
      <c r="J296" s="50">
        <f>I296*1.029</f>
        <v>583051.98</v>
      </c>
      <c r="K296" s="54">
        <f>J296*1.031</f>
        <v>601126.59137999988</v>
      </c>
      <c r="L296" s="54">
        <f>K296*1.033</f>
        <v>620963.7688955398</v>
      </c>
      <c r="M296" s="54">
        <f>L296*1.032</f>
        <v>640834.60950019711</v>
      </c>
      <c r="N296" s="54">
        <f>M296*1.03</f>
        <v>660059.64778520307</v>
      </c>
      <c r="O296" s="54">
        <f>N296*1.032</f>
        <v>681181.55651432963</v>
      </c>
      <c r="P296" s="54">
        <f>O296*1.034</f>
        <v>704341.72943581687</v>
      </c>
      <c r="Q296" s="54">
        <f>P296*1.034</f>
        <v>728289.34823663463</v>
      </c>
      <c r="R296" s="54">
        <f>Q296*1.034</f>
        <v>753051.1860766802</v>
      </c>
    </row>
    <row r="297" spans="1:18" x14ac:dyDescent="0.25">
      <c r="A297" s="43" t="s">
        <v>218</v>
      </c>
      <c r="C297" s="54"/>
      <c r="D297" s="54"/>
      <c r="E297" s="50"/>
      <c r="F297" s="43">
        <v>68971</v>
      </c>
      <c r="G297" s="43">
        <v>0</v>
      </c>
      <c r="I297" s="50"/>
      <c r="J297" s="50"/>
      <c r="K297" s="54"/>
      <c r="L297" s="54"/>
      <c r="M297" s="54"/>
      <c r="N297" s="54"/>
      <c r="O297" s="54"/>
      <c r="P297" s="54"/>
      <c r="Q297" s="54"/>
      <c r="R297" s="54"/>
    </row>
    <row r="298" spans="1:18" x14ac:dyDescent="0.25">
      <c r="A298" s="43" t="s">
        <v>219</v>
      </c>
      <c r="C298" s="54">
        <v>19030</v>
      </c>
      <c r="D298" s="50">
        <v>22079</v>
      </c>
      <c r="E298" s="43">
        <v>16318</v>
      </c>
      <c r="F298" s="50">
        <v>17902</v>
      </c>
      <c r="G298" s="50">
        <v>15525</v>
      </c>
      <c r="H298" s="50">
        <v>15200</v>
      </c>
      <c r="I298" s="54">
        <f t="shared" ref="I298" si="197">H298*1.023</f>
        <v>15549.599999999999</v>
      </c>
      <c r="J298" s="54">
        <f t="shared" ref="J298:K298" si="198">I298*1.024</f>
        <v>15922.790399999998</v>
      </c>
      <c r="K298" s="54">
        <f t="shared" si="198"/>
        <v>16304.937369599998</v>
      </c>
      <c r="L298" s="54">
        <f t="shared" ref="L298" si="199">K298*1.023</f>
        <v>16679.950929100796</v>
      </c>
      <c r="M298" s="54">
        <f t="shared" ref="M298" si="200">L298*1.022</f>
        <v>17046.909849541014</v>
      </c>
      <c r="N298" s="54">
        <f t="shared" ref="N298" si="201">M298*1.023</f>
        <v>17438.988776080456</v>
      </c>
      <c r="O298" s="54">
        <f t="shared" ref="O298:P298" si="202">N298*1.025</f>
        <v>17874.963495482465</v>
      </c>
      <c r="P298" s="54">
        <f t="shared" si="202"/>
        <v>18321.837582869524</v>
      </c>
      <c r="Q298" s="54">
        <f t="shared" ref="Q298:R298" si="203">P298*1.024</f>
        <v>18761.561684858392</v>
      </c>
      <c r="R298" s="54">
        <f t="shared" si="203"/>
        <v>19211.839165294994</v>
      </c>
    </row>
    <row r="299" spans="1:18" x14ac:dyDescent="0.25">
      <c r="A299" s="43" t="s">
        <v>220</v>
      </c>
      <c r="C299" s="50">
        <v>45226</v>
      </c>
      <c r="D299" s="50">
        <v>57080</v>
      </c>
      <c r="E299" s="50">
        <v>64651.77</v>
      </c>
      <c r="F299" s="50">
        <v>51001</v>
      </c>
      <c r="G299" s="50">
        <v>53523</v>
      </c>
      <c r="H299" s="50">
        <v>68500</v>
      </c>
      <c r="I299" s="50">
        <f>H299*1.025</f>
        <v>70212.5</v>
      </c>
      <c r="J299" s="50">
        <f>I299*1.029</f>
        <v>72248.662499999991</v>
      </c>
      <c r="K299" s="54">
        <f>J299*1.031</f>
        <v>74488.371037499979</v>
      </c>
      <c r="L299" s="54">
        <f>K299*1.033</f>
        <v>76946.487281737471</v>
      </c>
      <c r="M299" s="54">
        <f>L299*1.032</f>
        <v>79408.774874753071</v>
      </c>
      <c r="N299" s="54">
        <f>M299*1.03</f>
        <v>81791.038120995669</v>
      </c>
      <c r="O299" s="54">
        <f>N299*1.032</f>
        <v>84408.351340867535</v>
      </c>
      <c r="P299" s="54">
        <f>O299*1.034</f>
        <v>87278.235286457028</v>
      </c>
      <c r="Q299" s="54">
        <f>P299*1.034</f>
        <v>90245.695286196569</v>
      </c>
      <c r="R299" s="54">
        <f>Q299*1.034</f>
        <v>93314.048925927258</v>
      </c>
    </row>
    <row r="300" spans="1:18" x14ac:dyDescent="0.25">
      <c r="A300" s="43" t="s">
        <v>220</v>
      </c>
      <c r="B300" s="53"/>
      <c r="C300" s="52"/>
      <c r="D300" s="50"/>
      <c r="E300" s="50"/>
      <c r="F300" s="50"/>
      <c r="G300" s="50">
        <v>0</v>
      </c>
      <c r="H300" s="50"/>
      <c r="I300" s="54"/>
      <c r="J300" s="54"/>
      <c r="K300" s="54"/>
      <c r="L300" s="54"/>
      <c r="M300" s="54"/>
      <c r="N300" s="54"/>
      <c r="O300" s="54"/>
      <c r="P300" s="54"/>
      <c r="Q300" s="54"/>
      <c r="R300" s="54"/>
    </row>
    <row r="301" spans="1:18" x14ac:dyDescent="0.25">
      <c r="A301" s="43" t="s">
        <v>221</v>
      </c>
      <c r="C301" s="57">
        <v>18273</v>
      </c>
      <c r="D301" s="57">
        <v>14739</v>
      </c>
      <c r="E301" s="58">
        <v>19246.77</v>
      </c>
      <c r="F301" s="57">
        <v>15474</v>
      </c>
      <c r="G301" s="57">
        <v>16078</v>
      </c>
      <c r="H301" s="57">
        <v>16370</v>
      </c>
      <c r="I301" s="57">
        <v>16580</v>
      </c>
      <c r="J301" s="57">
        <v>17480</v>
      </c>
      <c r="K301" s="57">
        <v>18140</v>
      </c>
      <c r="L301" s="57">
        <v>18350</v>
      </c>
      <c r="M301" s="57">
        <v>19850</v>
      </c>
      <c r="N301" s="57">
        <v>19420</v>
      </c>
      <c r="O301" s="57">
        <v>19630</v>
      </c>
      <c r="P301" s="57">
        <v>21290</v>
      </c>
      <c r="Q301" s="57">
        <v>21140</v>
      </c>
      <c r="R301" s="57">
        <v>21140</v>
      </c>
    </row>
    <row r="302" spans="1:18" x14ac:dyDescent="0.25">
      <c r="A302" s="43" t="s">
        <v>222</v>
      </c>
      <c r="C302" s="54">
        <v>53024</v>
      </c>
      <c r="D302" s="50">
        <v>54032</v>
      </c>
      <c r="E302" s="43">
        <v>55382</v>
      </c>
      <c r="F302" s="50">
        <v>56905</v>
      </c>
      <c r="G302" s="50">
        <v>58186</v>
      </c>
      <c r="H302" s="50">
        <v>59600</v>
      </c>
      <c r="I302" s="54">
        <f t="shared" ref="I302:I309" si="204">H302*1.023</f>
        <v>60970.799999999996</v>
      </c>
      <c r="J302" s="54">
        <f t="shared" ref="J302:K304" si="205">I302*1.024</f>
        <v>62434.099199999997</v>
      </c>
      <c r="K302" s="54">
        <f t="shared" si="205"/>
        <v>63932.517580799999</v>
      </c>
      <c r="L302" s="54">
        <f t="shared" ref="L302:L309" si="206">K302*1.023</f>
        <v>65402.965485158391</v>
      </c>
      <c r="M302" s="54">
        <f t="shared" ref="M302:M309" si="207">L302*1.022</f>
        <v>66841.830725831882</v>
      </c>
      <c r="N302" s="54">
        <f t="shared" ref="N302:N309" si="208">M302*1.023</f>
        <v>68379.192832526009</v>
      </c>
      <c r="O302" s="54">
        <f t="shared" ref="O302:P309" si="209">N302*1.025</f>
        <v>70088.672653339148</v>
      </c>
      <c r="P302" s="54">
        <f t="shared" si="209"/>
        <v>71840.88946967262</v>
      </c>
      <c r="Q302" s="54">
        <f t="shared" ref="Q302:R309" si="210">P302*1.024</f>
        <v>73565.070816944761</v>
      </c>
      <c r="R302" s="54">
        <f t="shared" si="210"/>
        <v>75330.632516551443</v>
      </c>
    </row>
    <row r="303" spans="1:18" x14ac:dyDescent="0.25">
      <c r="A303" s="43" t="s">
        <v>223</v>
      </c>
      <c r="C303" s="54">
        <v>53260</v>
      </c>
      <c r="D303" s="50">
        <v>23226</v>
      </c>
      <c r="E303" s="50">
        <f>43429+2357.25</f>
        <v>45786.25</v>
      </c>
      <c r="F303" s="50">
        <v>25965</v>
      </c>
      <c r="G303" s="50">
        <v>56302</v>
      </c>
      <c r="H303" s="50">
        <v>50000</v>
      </c>
      <c r="I303" s="54">
        <f t="shared" si="204"/>
        <v>51149.999999999993</v>
      </c>
      <c r="J303" s="54">
        <f t="shared" si="205"/>
        <v>52377.599999999991</v>
      </c>
      <c r="K303" s="54">
        <f t="shared" si="205"/>
        <v>53634.662399999994</v>
      </c>
      <c r="L303" s="54">
        <f t="shared" si="206"/>
        <v>54868.259635199989</v>
      </c>
      <c r="M303" s="54">
        <f t="shared" si="207"/>
        <v>56075.361347174388</v>
      </c>
      <c r="N303" s="54">
        <f t="shared" si="208"/>
        <v>57365.094658159396</v>
      </c>
      <c r="O303" s="54">
        <f t="shared" si="209"/>
        <v>58799.222024613373</v>
      </c>
      <c r="P303" s="54">
        <f t="shared" si="209"/>
        <v>60269.202575228701</v>
      </c>
      <c r="Q303" s="54">
        <f t="shared" si="210"/>
        <v>61715.663437034193</v>
      </c>
      <c r="R303" s="54">
        <f t="shared" si="210"/>
        <v>63196.839359523015</v>
      </c>
    </row>
    <row r="304" spans="1:18" x14ac:dyDescent="0.25">
      <c r="A304" s="52" t="s">
        <v>224</v>
      </c>
      <c r="B304" s="53"/>
      <c r="C304" s="52"/>
      <c r="D304" s="50">
        <v>19053</v>
      </c>
      <c r="E304" s="43">
        <f>36591+21280</f>
        <v>57871</v>
      </c>
      <c r="F304" s="50">
        <v>0</v>
      </c>
      <c r="G304" s="50">
        <v>15988</v>
      </c>
      <c r="H304" s="50">
        <v>30000</v>
      </c>
      <c r="I304" s="54">
        <v>0</v>
      </c>
      <c r="J304" s="54">
        <v>0</v>
      </c>
      <c r="K304" s="54">
        <f t="shared" si="205"/>
        <v>0</v>
      </c>
      <c r="L304" s="54">
        <f t="shared" si="206"/>
        <v>0</v>
      </c>
      <c r="M304" s="54">
        <f t="shared" si="207"/>
        <v>0</v>
      </c>
      <c r="N304" s="54">
        <f t="shared" si="208"/>
        <v>0</v>
      </c>
      <c r="O304" s="54">
        <f t="shared" si="209"/>
        <v>0</v>
      </c>
      <c r="P304" s="54">
        <f t="shared" si="209"/>
        <v>0</v>
      </c>
      <c r="Q304" s="54">
        <f t="shared" si="210"/>
        <v>0</v>
      </c>
      <c r="R304" s="54">
        <f t="shared" si="210"/>
        <v>0</v>
      </c>
    </row>
    <row r="305" spans="1:18" x14ac:dyDescent="0.25">
      <c r="A305" s="52" t="s">
        <v>225</v>
      </c>
      <c r="B305" s="53"/>
      <c r="C305" s="54">
        <v>4800</v>
      </c>
      <c r="D305" s="54">
        <v>6600</v>
      </c>
      <c r="E305" s="43">
        <f>1700+1700+1700+1700</f>
        <v>6800</v>
      </c>
      <c r="F305" s="50">
        <v>7000</v>
      </c>
      <c r="G305" s="50">
        <v>7000</v>
      </c>
      <c r="H305" s="50">
        <v>7200</v>
      </c>
      <c r="I305" s="54">
        <f t="shared" si="204"/>
        <v>7365.5999999999995</v>
      </c>
      <c r="J305" s="54">
        <f t="shared" ref="J305:K309" si="211">I305*1.024</f>
        <v>7542.3743999999997</v>
      </c>
      <c r="K305" s="54">
        <f t="shared" si="211"/>
        <v>7723.3913855999999</v>
      </c>
      <c r="L305" s="54">
        <f t="shared" si="206"/>
        <v>7901.0293874687995</v>
      </c>
      <c r="M305" s="54">
        <f t="shared" si="207"/>
        <v>8074.8520339931129</v>
      </c>
      <c r="N305" s="54">
        <f t="shared" si="208"/>
        <v>8260.5736307749539</v>
      </c>
      <c r="O305" s="54">
        <f t="shared" si="209"/>
        <v>8467.0879715443261</v>
      </c>
      <c r="P305" s="54">
        <f t="shared" si="209"/>
        <v>8678.765170832934</v>
      </c>
      <c r="Q305" s="54">
        <f t="shared" si="210"/>
        <v>8887.0555349329243</v>
      </c>
      <c r="R305" s="54">
        <f t="shared" si="210"/>
        <v>9100.344867771315</v>
      </c>
    </row>
    <row r="306" spans="1:18" x14ac:dyDescent="0.25">
      <c r="A306" s="52" t="s">
        <v>226</v>
      </c>
      <c r="B306" s="53"/>
      <c r="C306" s="54">
        <v>6013</v>
      </c>
      <c r="D306" s="54">
        <v>8075</v>
      </c>
      <c r="E306" s="50">
        <f>6784+150.45</f>
        <v>6934.45</v>
      </c>
      <c r="F306" s="50">
        <f>5018-755</f>
        <v>4263</v>
      </c>
      <c r="G306" s="50">
        <v>6219</v>
      </c>
      <c r="H306" s="50">
        <v>7000</v>
      </c>
      <c r="I306" s="54">
        <f t="shared" si="204"/>
        <v>7160.9999999999991</v>
      </c>
      <c r="J306" s="54">
        <f t="shared" si="211"/>
        <v>7332.8639999999996</v>
      </c>
      <c r="K306" s="54">
        <f t="shared" si="211"/>
        <v>7508.8527359999998</v>
      </c>
      <c r="L306" s="54">
        <f t="shared" si="206"/>
        <v>7681.5563489279994</v>
      </c>
      <c r="M306" s="54">
        <f t="shared" si="207"/>
        <v>7850.5505886044157</v>
      </c>
      <c r="N306" s="54">
        <f t="shared" si="208"/>
        <v>8031.1132521423169</v>
      </c>
      <c r="O306" s="54">
        <f t="shared" si="209"/>
        <v>8231.8910834458748</v>
      </c>
      <c r="P306" s="54">
        <f t="shared" si="209"/>
        <v>8437.6883605320218</v>
      </c>
      <c r="Q306" s="54">
        <f t="shared" si="210"/>
        <v>8640.1928811847902</v>
      </c>
      <c r="R306" s="54">
        <f t="shared" si="210"/>
        <v>8847.5575103332249</v>
      </c>
    </row>
    <row r="307" spans="1:18" x14ac:dyDescent="0.25">
      <c r="A307" s="52" t="s">
        <v>227</v>
      </c>
      <c r="C307" s="54">
        <v>2400</v>
      </c>
      <c r="D307" s="54">
        <v>0</v>
      </c>
      <c r="E307" s="43">
        <v>0</v>
      </c>
      <c r="F307" s="50">
        <v>1241</v>
      </c>
      <c r="G307" s="50">
        <v>0</v>
      </c>
      <c r="H307" s="50">
        <v>5000</v>
      </c>
      <c r="I307" s="54">
        <f t="shared" si="204"/>
        <v>5115</v>
      </c>
      <c r="J307" s="54">
        <f t="shared" si="211"/>
        <v>5237.76</v>
      </c>
      <c r="K307" s="54">
        <f t="shared" si="211"/>
        <v>5363.4662400000007</v>
      </c>
      <c r="L307" s="54">
        <f t="shared" si="206"/>
        <v>5486.8259635200002</v>
      </c>
      <c r="M307" s="54">
        <f t="shared" si="207"/>
        <v>5607.5361347174403</v>
      </c>
      <c r="N307" s="54">
        <f t="shared" si="208"/>
        <v>5736.5094658159405</v>
      </c>
      <c r="O307" s="54">
        <f t="shared" si="209"/>
        <v>5879.9222024613382</v>
      </c>
      <c r="P307" s="54">
        <f t="shared" si="209"/>
        <v>6026.920257522871</v>
      </c>
      <c r="Q307" s="54">
        <f t="shared" si="210"/>
        <v>6171.56634370342</v>
      </c>
      <c r="R307" s="54">
        <f t="shared" si="210"/>
        <v>6319.6839359523019</v>
      </c>
    </row>
    <row r="308" spans="1:18" x14ac:dyDescent="0.25">
      <c r="A308" s="52" t="s">
        <v>228</v>
      </c>
      <c r="C308" s="54"/>
      <c r="D308" s="54"/>
      <c r="F308" s="50"/>
      <c r="G308" s="50"/>
      <c r="H308" s="50">
        <v>46400</v>
      </c>
      <c r="I308" s="54">
        <f t="shared" si="204"/>
        <v>47467.199999999997</v>
      </c>
      <c r="J308" s="54">
        <f t="shared" si="211"/>
        <v>48606.412799999998</v>
      </c>
      <c r="K308" s="54">
        <f t="shared" si="211"/>
        <v>49772.966707200001</v>
      </c>
      <c r="L308" s="54">
        <f t="shared" si="206"/>
        <v>50917.744941465593</v>
      </c>
      <c r="M308" s="54">
        <f t="shared" si="207"/>
        <v>52037.935330177839</v>
      </c>
      <c r="N308" s="54">
        <f t="shared" si="208"/>
        <v>53234.807842771923</v>
      </c>
      <c r="O308" s="54">
        <f t="shared" si="209"/>
        <v>54565.678038841215</v>
      </c>
      <c r="P308" s="54">
        <f t="shared" si="209"/>
        <v>55929.81998981224</v>
      </c>
      <c r="Q308" s="54">
        <f t="shared" si="210"/>
        <v>57272.135669567739</v>
      </c>
      <c r="R308" s="54">
        <f t="shared" si="210"/>
        <v>58646.666925637364</v>
      </c>
    </row>
    <row r="309" spans="1:18" x14ac:dyDescent="0.25">
      <c r="A309" s="52" t="s">
        <v>229</v>
      </c>
      <c r="B309" s="53"/>
      <c r="C309" s="54">
        <v>222043</v>
      </c>
      <c r="D309" s="54">
        <v>231851</v>
      </c>
      <c r="E309" s="43">
        <v>458679</v>
      </c>
      <c r="F309" s="50">
        <v>853040</v>
      </c>
      <c r="G309" s="50">
        <v>449017</v>
      </c>
      <c r="H309" s="50">
        <v>250000</v>
      </c>
      <c r="I309" s="54">
        <f t="shared" si="204"/>
        <v>255749.99999999997</v>
      </c>
      <c r="J309" s="54">
        <f t="shared" si="211"/>
        <v>261887.99999999997</v>
      </c>
      <c r="K309" s="54">
        <f t="shared" si="211"/>
        <v>268173.31199999998</v>
      </c>
      <c r="L309" s="54">
        <f t="shared" si="206"/>
        <v>274341.29817599995</v>
      </c>
      <c r="M309" s="54">
        <f t="shared" si="207"/>
        <v>280376.80673587194</v>
      </c>
      <c r="N309" s="54">
        <f t="shared" si="208"/>
        <v>286825.47329079697</v>
      </c>
      <c r="O309" s="54">
        <f t="shared" si="209"/>
        <v>293996.11012306687</v>
      </c>
      <c r="P309" s="54">
        <f t="shared" si="209"/>
        <v>301346.0128761435</v>
      </c>
      <c r="Q309" s="54">
        <f t="shared" si="210"/>
        <v>308578.31718517095</v>
      </c>
      <c r="R309" s="54">
        <f t="shared" si="210"/>
        <v>315984.19679761503</v>
      </c>
    </row>
    <row r="310" spans="1:18" x14ac:dyDescent="0.25">
      <c r="A310" s="52"/>
      <c r="B310" s="53"/>
      <c r="C310" s="54"/>
      <c r="D310" s="50"/>
      <c r="E310" s="50"/>
      <c r="F310" s="50"/>
      <c r="G310" s="50"/>
      <c r="H310" s="50"/>
      <c r="I310" s="54"/>
      <c r="J310" s="54"/>
      <c r="K310" s="54"/>
      <c r="L310" s="54"/>
      <c r="M310" s="54"/>
      <c r="N310" s="54"/>
      <c r="O310" s="54"/>
      <c r="P310" s="54"/>
      <c r="Q310" s="54"/>
      <c r="R310" s="54"/>
    </row>
    <row r="311" spans="1:18" x14ac:dyDescent="0.25">
      <c r="C311" s="50"/>
      <c r="D311" s="50"/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</row>
    <row r="312" spans="1:18" x14ac:dyDescent="0.25">
      <c r="A312" s="41" t="s">
        <v>230</v>
      </c>
      <c r="B312" s="44"/>
      <c r="C312" s="51">
        <f t="shared" ref="C312:Q312" si="212">SUM(C296:C311)</f>
        <v>897212</v>
      </c>
      <c r="D312" s="51">
        <f t="shared" si="212"/>
        <v>913968</v>
      </c>
      <c r="E312" s="51">
        <f t="shared" si="212"/>
        <v>1185220.3900000001</v>
      </c>
      <c r="F312" s="51">
        <f t="shared" si="212"/>
        <v>1531112</v>
      </c>
      <c r="G312" s="51">
        <f t="shared" si="212"/>
        <v>1180280</v>
      </c>
      <c r="H312" s="51">
        <f>SUM(H296:H311)</f>
        <v>1108070</v>
      </c>
      <c r="I312" s="51">
        <f t="shared" si="212"/>
        <v>1103941.7</v>
      </c>
      <c r="J312" s="51">
        <f t="shared" si="212"/>
        <v>1134122.5432999998</v>
      </c>
      <c r="K312" s="51">
        <f t="shared" si="212"/>
        <v>1166169.0688366999</v>
      </c>
      <c r="L312" s="51">
        <f t="shared" si="212"/>
        <v>1199539.8870441187</v>
      </c>
      <c r="M312" s="51">
        <f t="shared" si="212"/>
        <v>1234005.1671208623</v>
      </c>
      <c r="N312" s="51">
        <f t="shared" si="212"/>
        <v>1266542.4396552667</v>
      </c>
      <c r="O312" s="51">
        <f t="shared" si="212"/>
        <v>1303123.4554479918</v>
      </c>
      <c r="P312" s="51">
        <f t="shared" si="212"/>
        <v>1343761.1010048883</v>
      </c>
      <c r="Q312" s="51">
        <f t="shared" si="212"/>
        <v>1383266.6070762284</v>
      </c>
      <c r="R312" s="51">
        <f t="shared" ref="R312" si="213">SUM(R296:R311)</f>
        <v>1424142.9960812861</v>
      </c>
    </row>
    <row r="313" spans="1:18" x14ac:dyDescent="0.25"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</row>
    <row r="314" spans="1:18" x14ac:dyDescent="0.25">
      <c r="A314" s="41" t="s">
        <v>231</v>
      </c>
      <c r="B314" s="44"/>
      <c r="C314" s="51">
        <f t="shared" ref="C314:R314" si="214">C312-C292</f>
        <v>585668</v>
      </c>
      <c r="D314" s="51">
        <f t="shared" si="214"/>
        <v>627344</v>
      </c>
      <c r="E314" s="51">
        <f t="shared" si="214"/>
        <v>864121.64000000013</v>
      </c>
      <c r="F314" s="51">
        <f t="shared" si="214"/>
        <v>1176227</v>
      </c>
      <c r="G314" s="51">
        <f t="shared" si="214"/>
        <v>828044</v>
      </c>
      <c r="H314" s="51">
        <f t="shared" si="214"/>
        <v>731070</v>
      </c>
      <c r="I314" s="51">
        <f t="shared" si="214"/>
        <v>718270.7</v>
      </c>
      <c r="J314" s="51">
        <f t="shared" si="214"/>
        <v>739195.43929999974</v>
      </c>
      <c r="K314" s="51">
        <f t="shared" si="214"/>
        <v>761763.71434070007</v>
      </c>
      <c r="L314" s="51">
        <f t="shared" si="214"/>
        <v>785833.20939471084</v>
      </c>
      <c r="M314" s="51">
        <f t="shared" si="214"/>
        <v>811196.94256316742</v>
      </c>
      <c r="N314" s="51">
        <f t="shared" si="214"/>
        <v>834009.62593274482</v>
      </c>
      <c r="O314" s="51">
        <f t="shared" si="214"/>
        <v>859777.32138240698</v>
      </c>
      <c r="P314" s="51">
        <f t="shared" si="214"/>
        <v>889331.3135876637</v>
      </c>
      <c r="Q314" s="51">
        <f t="shared" si="214"/>
        <v>917930.5047609905</v>
      </c>
      <c r="R314" s="51">
        <f t="shared" si="214"/>
        <v>947638.82731048251</v>
      </c>
    </row>
    <row r="315" spans="1:18" x14ac:dyDescent="0.25">
      <c r="A315" s="41"/>
      <c r="B315" s="44"/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</row>
    <row r="316" spans="1:18" x14ac:dyDescent="0.25">
      <c r="A316" s="41"/>
      <c r="B316" s="44"/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</row>
    <row r="317" spans="1:18" x14ac:dyDescent="0.25">
      <c r="A317" s="41" t="s">
        <v>232</v>
      </c>
      <c r="B317" s="44"/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</row>
    <row r="318" spans="1:18" x14ac:dyDescent="0.25"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</row>
    <row r="319" spans="1:18" x14ac:dyDescent="0.25">
      <c r="A319" s="41" t="s">
        <v>202</v>
      </c>
      <c r="B319" s="44"/>
      <c r="C319" s="50"/>
      <c r="D319" s="50"/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</row>
    <row r="320" spans="1:18" x14ac:dyDescent="0.25">
      <c r="C320" s="50"/>
      <c r="D320" s="50"/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</row>
    <row r="321" spans="1:18" x14ac:dyDescent="0.25">
      <c r="A321" s="52" t="s">
        <v>233</v>
      </c>
      <c r="B321" s="53"/>
      <c r="C321" s="59">
        <v>82</v>
      </c>
      <c r="D321" s="54">
        <v>0</v>
      </c>
      <c r="E321" s="54">
        <v>0</v>
      </c>
      <c r="F321" s="54">
        <v>0</v>
      </c>
      <c r="G321" s="54">
        <v>0</v>
      </c>
      <c r="H321" s="54">
        <v>200</v>
      </c>
      <c r="I321" s="54">
        <f t="shared" ref="I321" si="215">H321*1.023</f>
        <v>204.6</v>
      </c>
      <c r="J321" s="54">
        <f t="shared" ref="J321:K321" si="216">I321*1.024</f>
        <v>209.5104</v>
      </c>
      <c r="K321" s="54">
        <f t="shared" si="216"/>
        <v>214.53864960000001</v>
      </c>
      <c r="L321" s="54">
        <f t="shared" ref="L321" si="217">K321*1.023</f>
        <v>219.47303854079999</v>
      </c>
      <c r="M321" s="54">
        <f t="shared" ref="M321" si="218">L321*1.022</f>
        <v>224.3014453886976</v>
      </c>
      <c r="N321" s="54">
        <f t="shared" ref="N321" si="219">M321*1.023</f>
        <v>229.46037863263763</v>
      </c>
      <c r="O321" s="54">
        <f t="shared" ref="O321:P321" si="220">N321*1.025</f>
        <v>235.19688809845354</v>
      </c>
      <c r="P321" s="54">
        <f t="shared" si="220"/>
        <v>241.07681030091487</v>
      </c>
      <c r="Q321" s="54">
        <f t="shared" ref="Q321:R321" si="221">P321*1.024</f>
        <v>246.86265374813684</v>
      </c>
      <c r="R321" s="54">
        <f t="shared" si="221"/>
        <v>252.78735743809213</v>
      </c>
    </row>
    <row r="322" spans="1:18" x14ac:dyDescent="0.25">
      <c r="A322" s="41"/>
      <c r="B322" s="44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</row>
    <row r="323" spans="1:18" x14ac:dyDescent="0.25">
      <c r="A323" s="41" t="s">
        <v>216</v>
      </c>
      <c r="B323" s="44"/>
      <c r="C323" s="51">
        <f t="shared" ref="C323" si="222">SUM(C321:C322)</f>
        <v>82</v>
      </c>
      <c r="D323" s="51">
        <f t="shared" ref="D323:R323" si="223">SUM(D321:D322)</f>
        <v>0</v>
      </c>
      <c r="E323" s="51">
        <f t="shared" si="223"/>
        <v>0</v>
      </c>
      <c r="F323" s="51">
        <f t="shared" si="223"/>
        <v>0</v>
      </c>
      <c r="G323" s="51">
        <f t="shared" si="223"/>
        <v>0</v>
      </c>
      <c r="H323" s="51">
        <f t="shared" si="223"/>
        <v>200</v>
      </c>
      <c r="I323" s="51">
        <f t="shared" si="223"/>
        <v>204.6</v>
      </c>
      <c r="J323" s="51">
        <f t="shared" si="223"/>
        <v>209.5104</v>
      </c>
      <c r="K323" s="51">
        <f t="shared" si="223"/>
        <v>214.53864960000001</v>
      </c>
      <c r="L323" s="51">
        <f t="shared" si="223"/>
        <v>219.47303854079999</v>
      </c>
      <c r="M323" s="51">
        <f t="shared" si="223"/>
        <v>224.3014453886976</v>
      </c>
      <c r="N323" s="51">
        <f t="shared" si="223"/>
        <v>229.46037863263763</v>
      </c>
      <c r="O323" s="51">
        <f t="shared" si="223"/>
        <v>235.19688809845354</v>
      </c>
      <c r="P323" s="51">
        <f t="shared" si="223"/>
        <v>241.07681030091487</v>
      </c>
      <c r="Q323" s="51">
        <f t="shared" si="223"/>
        <v>246.86265374813684</v>
      </c>
      <c r="R323" s="51">
        <f t="shared" si="223"/>
        <v>252.78735743809213</v>
      </c>
    </row>
    <row r="324" spans="1:18" x14ac:dyDescent="0.25">
      <c r="C324" s="50"/>
      <c r="D324" s="50"/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</row>
    <row r="325" spans="1:18" x14ac:dyDescent="0.25">
      <c r="A325" s="41" t="s">
        <v>165</v>
      </c>
      <c r="B325" s="44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</row>
    <row r="326" spans="1:18" x14ac:dyDescent="0.25"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</row>
    <row r="327" spans="1:18" x14ac:dyDescent="0.25">
      <c r="A327" s="43" t="s">
        <v>217</v>
      </c>
      <c r="C327" s="54">
        <v>10115</v>
      </c>
      <c r="D327" s="54">
        <v>11181</v>
      </c>
      <c r="E327" s="50">
        <f>10346-24.03</f>
        <v>10321.969999999999</v>
      </c>
      <c r="F327" s="50">
        <v>7704</v>
      </c>
      <c r="G327" s="50">
        <v>11263</v>
      </c>
      <c r="H327" s="50">
        <v>10000</v>
      </c>
      <c r="I327" s="50">
        <f t="shared" ref="I327:I328" si="224">H327*1.025</f>
        <v>10250</v>
      </c>
      <c r="J327" s="50">
        <f t="shared" ref="J327:J328" si="225">I327*1.029</f>
        <v>10547.25</v>
      </c>
      <c r="K327" s="54">
        <f t="shared" ref="K327:K328" si="226">J327*1.031</f>
        <v>10874.214749999999</v>
      </c>
      <c r="L327" s="54">
        <f t="shared" ref="L327:L328" si="227">K327*1.033</f>
        <v>11233.063836749998</v>
      </c>
      <c r="M327" s="54">
        <f t="shared" ref="M327:M328" si="228">L327*1.032</f>
        <v>11592.521879525999</v>
      </c>
      <c r="N327" s="54">
        <f t="shared" ref="N327:N328" si="229">M327*1.03</f>
        <v>11940.297535911779</v>
      </c>
      <c r="O327" s="54">
        <f t="shared" ref="O327:O328" si="230">N327*1.032</f>
        <v>12322.387057060956</v>
      </c>
      <c r="P327" s="54">
        <f t="shared" ref="P327:R328" si="231">O327*1.034</f>
        <v>12741.348217001028</v>
      </c>
      <c r="Q327" s="54">
        <f t="shared" si="231"/>
        <v>13174.554056379064</v>
      </c>
      <c r="R327" s="54">
        <f t="shared" si="231"/>
        <v>13622.488894295951</v>
      </c>
    </row>
    <row r="328" spans="1:18" x14ac:dyDescent="0.25">
      <c r="A328" s="43" t="s">
        <v>220</v>
      </c>
      <c r="C328" s="50">
        <v>569</v>
      </c>
      <c r="D328" s="50">
        <v>941</v>
      </c>
      <c r="E328" s="43">
        <v>1511</v>
      </c>
      <c r="F328" s="50">
        <v>814</v>
      </c>
      <c r="G328" s="50">
        <v>653</v>
      </c>
      <c r="H328" s="50">
        <v>1100</v>
      </c>
      <c r="I328" s="50">
        <f t="shared" si="224"/>
        <v>1127.5</v>
      </c>
      <c r="J328" s="50">
        <f t="shared" si="225"/>
        <v>1160.1975</v>
      </c>
      <c r="K328" s="54">
        <f t="shared" si="226"/>
        <v>1196.1636225</v>
      </c>
      <c r="L328" s="54">
        <f t="shared" si="227"/>
        <v>1235.6370220424999</v>
      </c>
      <c r="M328" s="54">
        <f t="shared" si="228"/>
        <v>1275.17740674786</v>
      </c>
      <c r="N328" s="54">
        <f t="shared" si="229"/>
        <v>1313.4327289502958</v>
      </c>
      <c r="O328" s="54">
        <f t="shared" si="230"/>
        <v>1355.4625762767052</v>
      </c>
      <c r="P328" s="54">
        <f t="shared" si="231"/>
        <v>1401.5483038701132</v>
      </c>
      <c r="Q328" s="54">
        <f t="shared" si="231"/>
        <v>1449.200946201697</v>
      </c>
      <c r="R328" s="54">
        <f t="shared" si="231"/>
        <v>1498.4737783725548</v>
      </c>
    </row>
    <row r="329" spans="1:18" x14ac:dyDescent="0.25">
      <c r="A329" s="52" t="s">
        <v>234</v>
      </c>
      <c r="B329" s="53"/>
      <c r="C329" s="54">
        <v>32216</v>
      </c>
      <c r="D329" s="50">
        <v>29809</v>
      </c>
      <c r="E329" s="50">
        <f>25514+3122.73</f>
        <v>28636.73</v>
      </c>
      <c r="F329" s="50">
        <v>35085</v>
      </c>
      <c r="G329" s="50">
        <v>35569</v>
      </c>
      <c r="H329" s="50">
        <v>35000</v>
      </c>
      <c r="I329" s="54">
        <f t="shared" ref="I329:I330" si="232">H329*1.023</f>
        <v>35805</v>
      </c>
      <c r="J329" s="54">
        <f t="shared" ref="J329:K330" si="233">I329*1.024</f>
        <v>36664.32</v>
      </c>
      <c r="K329" s="54">
        <f t="shared" si="233"/>
        <v>37544.263680000004</v>
      </c>
      <c r="L329" s="54">
        <f t="shared" ref="L329:L330" si="234">K329*1.023</f>
        <v>38407.78174464</v>
      </c>
      <c r="M329" s="54">
        <f t="shared" ref="M329:M330" si="235">L329*1.022</f>
        <v>39252.752943022082</v>
      </c>
      <c r="N329" s="54">
        <f t="shared" ref="N329:N330" si="236">M329*1.023</f>
        <v>40155.566260711588</v>
      </c>
      <c r="O329" s="54">
        <f t="shared" ref="O329:P330" si="237">N329*1.025</f>
        <v>41159.455417229372</v>
      </c>
      <c r="P329" s="54">
        <f t="shared" si="237"/>
        <v>42188.441802660105</v>
      </c>
      <c r="Q329" s="54">
        <f t="shared" ref="Q329:R330" si="238">P329*1.024</f>
        <v>43200.964405923951</v>
      </c>
      <c r="R329" s="54">
        <f t="shared" si="238"/>
        <v>44237.78755166613</v>
      </c>
    </row>
    <row r="330" spans="1:18" x14ac:dyDescent="0.25">
      <c r="A330" s="52" t="s">
        <v>226</v>
      </c>
      <c r="B330" s="53"/>
      <c r="C330" s="54">
        <v>1771</v>
      </c>
      <c r="D330" s="54">
        <v>2432</v>
      </c>
      <c r="E330" s="43">
        <v>2158</v>
      </c>
      <c r="F330" s="54">
        <v>1882</v>
      </c>
      <c r="G330" s="54">
        <v>1901</v>
      </c>
      <c r="H330" s="54">
        <v>2300</v>
      </c>
      <c r="I330" s="54">
        <f t="shared" si="232"/>
        <v>2352.8999999999996</v>
      </c>
      <c r="J330" s="54">
        <f t="shared" si="233"/>
        <v>2409.3695999999995</v>
      </c>
      <c r="K330" s="54">
        <f t="shared" si="233"/>
        <v>2467.1944703999998</v>
      </c>
      <c r="L330" s="54">
        <f t="shared" si="234"/>
        <v>2523.9399432191994</v>
      </c>
      <c r="M330" s="54">
        <f t="shared" si="235"/>
        <v>2579.4666219700221</v>
      </c>
      <c r="N330" s="54">
        <f t="shared" si="236"/>
        <v>2638.7943542753324</v>
      </c>
      <c r="O330" s="54">
        <f t="shared" si="237"/>
        <v>2704.7642131322154</v>
      </c>
      <c r="P330" s="54">
        <f t="shared" si="237"/>
        <v>2772.3833184605205</v>
      </c>
      <c r="Q330" s="54">
        <f t="shared" si="238"/>
        <v>2838.9205181035732</v>
      </c>
      <c r="R330" s="54">
        <f t="shared" si="238"/>
        <v>2907.054610538059</v>
      </c>
    </row>
    <row r="331" spans="1:18" x14ac:dyDescent="0.25"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</row>
    <row r="332" spans="1:18" x14ac:dyDescent="0.25">
      <c r="A332" s="41" t="s">
        <v>230</v>
      </c>
      <c r="B332" s="44"/>
      <c r="C332" s="51">
        <f t="shared" ref="C332:Q332" si="239">SUM(C327:C331)</f>
        <v>44671</v>
      </c>
      <c r="D332" s="51">
        <f t="shared" si="239"/>
        <v>44363</v>
      </c>
      <c r="E332" s="51">
        <f t="shared" si="239"/>
        <v>42627.7</v>
      </c>
      <c r="F332" s="51">
        <f t="shared" ref="F332:G332" si="240">SUM(F327:F331)</f>
        <v>45485</v>
      </c>
      <c r="G332" s="51">
        <f t="shared" si="240"/>
        <v>49386</v>
      </c>
      <c r="H332" s="51">
        <f t="shared" si="239"/>
        <v>48400</v>
      </c>
      <c r="I332" s="51">
        <f t="shared" si="239"/>
        <v>49535.4</v>
      </c>
      <c r="J332" s="51">
        <f t="shared" si="239"/>
        <v>50781.1371</v>
      </c>
      <c r="K332" s="51">
        <f t="shared" si="239"/>
        <v>52081.836522899997</v>
      </c>
      <c r="L332" s="51">
        <f t="shared" si="239"/>
        <v>53400.422546651695</v>
      </c>
      <c r="M332" s="51">
        <f t="shared" si="239"/>
        <v>54699.918851265968</v>
      </c>
      <c r="N332" s="51">
        <f t="shared" si="239"/>
        <v>56048.090879848998</v>
      </c>
      <c r="O332" s="51">
        <f t="shared" si="239"/>
        <v>57542.069263699246</v>
      </c>
      <c r="P332" s="51">
        <f t="shared" si="239"/>
        <v>59103.721641991768</v>
      </c>
      <c r="Q332" s="51">
        <f t="shared" si="239"/>
        <v>60663.639926608281</v>
      </c>
      <c r="R332" s="51">
        <f t="shared" ref="R332" si="241">SUM(R327:R331)</f>
        <v>62265.804834872695</v>
      </c>
    </row>
    <row r="333" spans="1:18" x14ac:dyDescent="0.25"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</row>
    <row r="334" spans="1:18" x14ac:dyDescent="0.25">
      <c r="A334" s="41" t="s">
        <v>235</v>
      </c>
      <c r="B334" s="44"/>
      <c r="C334" s="51">
        <f t="shared" ref="C334:R334" si="242">C332-C323</f>
        <v>44589</v>
      </c>
      <c r="D334" s="51">
        <f t="shared" si="242"/>
        <v>44363</v>
      </c>
      <c r="E334" s="51">
        <f t="shared" si="242"/>
        <v>42627.7</v>
      </c>
      <c r="F334" s="51">
        <f t="shared" si="242"/>
        <v>45485</v>
      </c>
      <c r="G334" s="51">
        <f t="shared" si="242"/>
        <v>49386</v>
      </c>
      <c r="H334" s="51">
        <f t="shared" si="242"/>
        <v>48200</v>
      </c>
      <c r="I334" s="51">
        <f t="shared" si="242"/>
        <v>49330.8</v>
      </c>
      <c r="J334" s="51">
        <f t="shared" si="242"/>
        <v>50571.626700000001</v>
      </c>
      <c r="K334" s="51">
        <f t="shared" si="242"/>
        <v>51867.297873299998</v>
      </c>
      <c r="L334" s="51">
        <f t="shared" si="242"/>
        <v>53180.949508110898</v>
      </c>
      <c r="M334" s="51">
        <f t="shared" si="242"/>
        <v>54475.617405877267</v>
      </c>
      <c r="N334" s="51">
        <f t="shared" si="242"/>
        <v>55818.630501216358</v>
      </c>
      <c r="O334" s="51">
        <f t="shared" si="242"/>
        <v>57306.872375600789</v>
      </c>
      <c r="P334" s="51">
        <f t="shared" si="242"/>
        <v>58862.64483169085</v>
      </c>
      <c r="Q334" s="51">
        <f t="shared" si="242"/>
        <v>60416.777272860141</v>
      </c>
      <c r="R334" s="51">
        <f t="shared" si="242"/>
        <v>62013.017477434601</v>
      </c>
    </row>
    <row r="335" spans="1:18" x14ac:dyDescent="0.25"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</row>
    <row r="336" spans="1:18" x14ac:dyDescent="0.25"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</row>
    <row r="337" spans="1:18" x14ac:dyDescent="0.25">
      <c r="A337" s="41" t="s">
        <v>236</v>
      </c>
      <c r="B337" s="44"/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</row>
    <row r="338" spans="1:18" x14ac:dyDescent="0.25">
      <c r="C338" s="50"/>
      <c r="D338" s="50"/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</row>
    <row r="339" spans="1:18" x14ac:dyDescent="0.25">
      <c r="A339" s="41" t="s">
        <v>202</v>
      </c>
      <c r="B339" s="44"/>
      <c r="C339" s="50"/>
      <c r="D339" s="50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</row>
    <row r="340" spans="1:18" x14ac:dyDescent="0.25">
      <c r="A340" s="52" t="s">
        <v>237</v>
      </c>
      <c r="B340" s="44"/>
      <c r="C340" s="50"/>
      <c r="D340" s="50"/>
      <c r="E340" s="50">
        <v>50000</v>
      </c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</row>
    <row r="341" spans="1:18" x14ac:dyDescent="0.25">
      <c r="A341" s="52" t="s">
        <v>238</v>
      </c>
      <c r="B341" s="53"/>
      <c r="C341" s="59">
        <v>0</v>
      </c>
      <c r="D341" s="54">
        <v>0</v>
      </c>
      <c r="E341" s="54">
        <v>0</v>
      </c>
      <c r="F341" s="54"/>
      <c r="G341" s="54">
        <v>20000</v>
      </c>
      <c r="H341" s="54">
        <v>5000</v>
      </c>
      <c r="I341" s="54">
        <f t="shared" ref="I341" si="243">H341*1.023</f>
        <v>5115</v>
      </c>
      <c r="J341" s="54">
        <f t="shared" ref="J341:K341" si="244">I341*1.024</f>
        <v>5237.76</v>
      </c>
      <c r="K341" s="54">
        <f t="shared" si="244"/>
        <v>5363.4662400000007</v>
      </c>
      <c r="L341" s="54">
        <f t="shared" ref="L341" si="245">K341*1.023</f>
        <v>5486.8259635200002</v>
      </c>
      <c r="M341" s="54">
        <f t="shared" ref="M341" si="246">L341*1.022</f>
        <v>5607.5361347174403</v>
      </c>
      <c r="N341" s="54">
        <f t="shared" ref="N341" si="247">M341*1.023</f>
        <v>5736.5094658159405</v>
      </c>
      <c r="O341" s="54">
        <f t="shared" ref="O341:P341" si="248">N341*1.025</f>
        <v>5879.9222024613382</v>
      </c>
      <c r="P341" s="54">
        <f t="shared" si="248"/>
        <v>6026.920257522871</v>
      </c>
      <c r="Q341" s="54">
        <f t="shared" ref="Q341:R341" si="249">P341*1.024</f>
        <v>6171.56634370342</v>
      </c>
      <c r="R341" s="54">
        <f t="shared" si="249"/>
        <v>6319.6839359523019</v>
      </c>
    </row>
    <row r="342" spans="1:18" x14ac:dyDescent="0.25">
      <c r="A342" s="52" t="s">
        <v>239</v>
      </c>
      <c r="B342" s="53"/>
      <c r="C342" s="59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</row>
    <row r="343" spans="1:18" x14ac:dyDescent="0.25">
      <c r="A343" s="52" t="s">
        <v>240</v>
      </c>
      <c r="B343" s="53"/>
      <c r="C343" s="59"/>
      <c r="D343" s="54"/>
      <c r="E343" s="54"/>
      <c r="F343" s="50">
        <v>4500</v>
      </c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</row>
    <row r="344" spans="1:18" x14ac:dyDescent="0.25"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</row>
    <row r="345" spans="1:18" x14ac:dyDescent="0.25">
      <c r="A345" s="41" t="s">
        <v>216</v>
      </c>
      <c r="B345" s="44"/>
      <c r="C345" s="51">
        <f t="shared" ref="C345" si="250">SUM(C341:C344)</f>
        <v>0</v>
      </c>
      <c r="D345" s="51">
        <f t="shared" ref="D345" si="251">SUM(D341:D344)</f>
        <v>0</v>
      </c>
      <c r="E345" s="51">
        <f>SUM(E340:E344)</f>
        <v>50000</v>
      </c>
      <c r="F345" s="51">
        <f t="shared" ref="F345:R345" si="252">SUM(F341:F344)</f>
        <v>4500</v>
      </c>
      <c r="G345" s="51">
        <f t="shared" si="252"/>
        <v>20000</v>
      </c>
      <c r="H345" s="51">
        <f t="shared" si="252"/>
        <v>5000</v>
      </c>
      <c r="I345" s="51">
        <f t="shared" si="252"/>
        <v>5115</v>
      </c>
      <c r="J345" s="51">
        <f t="shared" si="252"/>
        <v>5237.76</v>
      </c>
      <c r="K345" s="51">
        <f t="shared" si="252"/>
        <v>5363.4662400000007</v>
      </c>
      <c r="L345" s="51">
        <f t="shared" si="252"/>
        <v>5486.8259635200002</v>
      </c>
      <c r="M345" s="51">
        <f t="shared" si="252"/>
        <v>5607.5361347174403</v>
      </c>
      <c r="N345" s="51">
        <f t="shared" si="252"/>
        <v>5736.5094658159405</v>
      </c>
      <c r="O345" s="51">
        <f t="shared" si="252"/>
        <v>5879.9222024613382</v>
      </c>
      <c r="P345" s="51">
        <f t="shared" si="252"/>
        <v>6026.920257522871</v>
      </c>
      <c r="Q345" s="51">
        <f t="shared" si="252"/>
        <v>6171.56634370342</v>
      </c>
      <c r="R345" s="51">
        <f t="shared" si="252"/>
        <v>6319.6839359523019</v>
      </c>
    </row>
    <row r="346" spans="1:18" x14ac:dyDescent="0.25">
      <c r="C346" s="50"/>
      <c r="D346" s="50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</row>
    <row r="347" spans="1:18" x14ac:dyDescent="0.25">
      <c r="A347" s="41" t="s">
        <v>165</v>
      </c>
      <c r="B347" s="44"/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</row>
    <row r="348" spans="1:18" x14ac:dyDescent="0.25">
      <c r="C348" s="50"/>
      <c r="D348" s="50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</row>
    <row r="349" spans="1:18" x14ac:dyDescent="0.25">
      <c r="A349" s="43" t="s">
        <v>217</v>
      </c>
      <c r="C349" s="54">
        <v>19757</v>
      </c>
      <c r="D349" s="54">
        <v>20485</v>
      </c>
      <c r="E349" s="50">
        <f>21960-84.19</f>
        <v>21875.81</v>
      </c>
      <c r="F349" s="50">
        <v>21113</v>
      </c>
      <c r="G349" s="50">
        <v>23644</v>
      </c>
      <c r="H349" s="50">
        <v>23300</v>
      </c>
      <c r="I349" s="50">
        <f t="shared" ref="I349" si="253">H349*1.025</f>
        <v>23882.499999999996</v>
      </c>
      <c r="J349" s="50">
        <f t="shared" ref="J349" si="254">I349*1.029</f>
        <v>24575.092499999995</v>
      </c>
      <c r="K349" s="54">
        <f t="shared" ref="K349" si="255">J349*1.031</f>
        <v>25336.920367499992</v>
      </c>
      <c r="L349" s="54">
        <f t="shared" ref="L349" si="256">K349*1.033</f>
        <v>26173.038739627489</v>
      </c>
      <c r="M349" s="54">
        <f t="shared" ref="M349" si="257">L349*1.032</f>
        <v>27010.575979295569</v>
      </c>
      <c r="N349" s="54">
        <f t="shared" ref="N349" si="258">M349*1.03</f>
        <v>27820.893258674438</v>
      </c>
      <c r="O349" s="54">
        <f t="shared" ref="O349" si="259">N349*1.032</f>
        <v>28711.16184295202</v>
      </c>
      <c r="P349" s="54">
        <f t="shared" ref="P349:R349" si="260">O349*1.034</f>
        <v>29687.341345612389</v>
      </c>
      <c r="Q349" s="54">
        <f t="shared" si="260"/>
        <v>30696.710951363209</v>
      </c>
      <c r="R349" s="54">
        <f t="shared" si="260"/>
        <v>31740.399123709558</v>
      </c>
    </row>
    <row r="350" spans="1:18" x14ac:dyDescent="0.25">
      <c r="A350" s="43" t="s">
        <v>219</v>
      </c>
      <c r="C350" s="54">
        <v>1324</v>
      </c>
      <c r="D350" s="54">
        <v>1300</v>
      </c>
      <c r="E350" s="50">
        <v>1126</v>
      </c>
      <c r="F350" s="50">
        <v>1406</v>
      </c>
      <c r="G350" s="50">
        <v>1001</v>
      </c>
      <c r="H350" s="50">
        <v>1100</v>
      </c>
      <c r="I350" s="54">
        <f t="shared" ref="I350" si="261">H350*1.023</f>
        <v>1125.3</v>
      </c>
      <c r="J350" s="54">
        <f t="shared" ref="J350:K350" si="262">I350*1.024</f>
        <v>1152.3072</v>
      </c>
      <c r="K350" s="54">
        <f t="shared" si="262"/>
        <v>1179.9625728000001</v>
      </c>
      <c r="L350" s="54">
        <f t="shared" ref="L350" si="263">K350*1.023</f>
        <v>1207.1017119743999</v>
      </c>
      <c r="M350" s="54">
        <f t="shared" ref="M350" si="264">L350*1.022</f>
        <v>1233.6579496378367</v>
      </c>
      <c r="N350" s="54">
        <f t="shared" ref="N350" si="265">M350*1.023</f>
        <v>1262.0320824795069</v>
      </c>
      <c r="O350" s="54">
        <f t="shared" ref="O350:P350" si="266">N350*1.025</f>
        <v>1293.5828845414944</v>
      </c>
      <c r="P350" s="54">
        <f t="shared" si="266"/>
        <v>1325.9224566550317</v>
      </c>
      <c r="Q350" s="54">
        <f t="shared" ref="Q350:R350" si="267">P350*1.024</f>
        <v>1357.7445956147526</v>
      </c>
      <c r="R350" s="54">
        <f t="shared" si="267"/>
        <v>1390.3304659095068</v>
      </c>
    </row>
    <row r="351" spans="1:18" x14ac:dyDescent="0.25">
      <c r="A351" s="43" t="s">
        <v>220</v>
      </c>
      <c r="C351" s="50">
        <v>2701</v>
      </c>
      <c r="D351" s="50">
        <v>3277</v>
      </c>
      <c r="E351" s="43">
        <v>3596</v>
      </c>
      <c r="F351" s="50">
        <v>2438</v>
      </c>
      <c r="G351" s="50">
        <v>3089</v>
      </c>
      <c r="H351" s="50">
        <v>3400</v>
      </c>
      <c r="I351" s="50">
        <f t="shared" ref="I351" si="268">H351*1.025</f>
        <v>3484.9999999999995</v>
      </c>
      <c r="J351" s="50">
        <f t="shared" ref="J351" si="269">I351*1.029</f>
        <v>3586.0649999999991</v>
      </c>
      <c r="K351" s="54">
        <f t="shared" ref="K351" si="270">J351*1.031</f>
        <v>3697.2330149999989</v>
      </c>
      <c r="L351" s="54">
        <f t="shared" ref="L351" si="271">K351*1.033</f>
        <v>3819.2417044949984</v>
      </c>
      <c r="M351" s="54">
        <f t="shared" ref="M351" si="272">L351*1.032</f>
        <v>3941.4574390388384</v>
      </c>
      <c r="N351" s="54">
        <f t="shared" ref="N351" si="273">M351*1.03</f>
        <v>4059.7011622100035</v>
      </c>
      <c r="O351" s="54">
        <f t="shared" ref="O351" si="274">N351*1.032</f>
        <v>4189.6115994007241</v>
      </c>
      <c r="P351" s="54">
        <f t="shared" ref="P351:R351" si="275">O351*1.034</f>
        <v>4332.0583937803485</v>
      </c>
      <c r="Q351" s="54">
        <f t="shared" si="275"/>
        <v>4479.3483791688805</v>
      </c>
      <c r="R351" s="54">
        <f t="shared" si="275"/>
        <v>4631.6462240606224</v>
      </c>
    </row>
    <row r="352" spans="1:18" x14ac:dyDescent="0.25">
      <c r="A352" s="43" t="s">
        <v>221</v>
      </c>
      <c r="C352" s="57">
        <v>1240</v>
      </c>
      <c r="D352" s="57">
        <v>837</v>
      </c>
      <c r="E352" s="60">
        <v>1590</v>
      </c>
      <c r="F352" s="57">
        <v>1140</v>
      </c>
      <c r="G352" s="57">
        <v>1140</v>
      </c>
      <c r="H352" s="57">
        <v>1170</v>
      </c>
      <c r="I352" s="57">
        <v>1170</v>
      </c>
      <c r="J352" s="57">
        <v>1170</v>
      </c>
      <c r="K352" s="57">
        <v>1250</v>
      </c>
      <c r="L352" s="57">
        <v>1250</v>
      </c>
      <c r="M352" s="57">
        <v>1380</v>
      </c>
      <c r="N352" s="57">
        <v>1330</v>
      </c>
      <c r="O352" s="57">
        <v>1330</v>
      </c>
      <c r="P352" s="57">
        <v>1480</v>
      </c>
      <c r="Q352" s="57">
        <v>1430</v>
      </c>
      <c r="R352" s="57">
        <v>1430</v>
      </c>
    </row>
    <row r="353" spans="1:18" x14ac:dyDescent="0.25">
      <c r="A353" s="52" t="s">
        <v>241</v>
      </c>
      <c r="B353" s="53"/>
      <c r="C353" s="54">
        <v>0</v>
      </c>
      <c r="D353" s="54">
        <v>0</v>
      </c>
      <c r="E353" s="43">
        <v>0</v>
      </c>
      <c r="F353" s="54">
        <v>0</v>
      </c>
      <c r="G353" s="54">
        <v>0</v>
      </c>
      <c r="H353" s="54">
        <v>5000</v>
      </c>
      <c r="I353" s="54">
        <f t="shared" ref="I353:I354" si="276">H353*1.023</f>
        <v>5115</v>
      </c>
      <c r="J353" s="54">
        <f t="shared" ref="J353:K354" si="277">I353*1.024</f>
        <v>5237.76</v>
      </c>
      <c r="K353" s="54">
        <f t="shared" si="277"/>
        <v>5363.4662400000007</v>
      </c>
      <c r="L353" s="54">
        <f t="shared" ref="L353:L354" si="278">K353*1.023</f>
        <v>5486.8259635200002</v>
      </c>
      <c r="M353" s="54">
        <f t="shared" ref="M353:M354" si="279">L353*1.022</f>
        <v>5607.5361347174403</v>
      </c>
      <c r="N353" s="54">
        <f t="shared" ref="N353:N354" si="280">M353*1.023</f>
        <v>5736.5094658159405</v>
      </c>
      <c r="O353" s="54">
        <f t="shared" ref="O353:P354" si="281">N353*1.025</f>
        <v>5879.9222024613382</v>
      </c>
      <c r="P353" s="54">
        <f t="shared" si="281"/>
        <v>6026.920257522871</v>
      </c>
      <c r="Q353" s="54">
        <f t="shared" ref="Q353:R354" si="282">P353*1.024</f>
        <v>6171.56634370342</v>
      </c>
      <c r="R353" s="54">
        <f t="shared" si="282"/>
        <v>6319.6839359523019</v>
      </c>
    </row>
    <row r="354" spans="1:18" x14ac:dyDescent="0.25">
      <c r="A354" s="52" t="s">
        <v>226</v>
      </c>
      <c r="B354" s="53"/>
      <c r="C354" s="54">
        <v>102</v>
      </c>
      <c r="D354" s="54">
        <v>205</v>
      </c>
      <c r="E354" s="43">
        <v>227</v>
      </c>
      <c r="F354" s="54">
        <v>195</v>
      </c>
      <c r="G354" s="54">
        <v>207</v>
      </c>
      <c r="H354" s="54">
        <v>300</v>
      </c>
      <c r="I354" s="54">
        <f t="shared" si="276"/>
        <v>306.89999999999998</v>
      </c>
      <c r="J354" s="54">
        <f t="shared" si="277"/>
        <v>314.26560000000001</v>
      </c>
      <c r="K354" s="54">
        <f t="shared" si="277"/>
        <v>321.80797440000003</v>
      </c>
      <c r="L354" s="54">
        <f t="shared" si="278"/>
        <v>329.2095578112</v>
      </c>
      <c r="M354" s="54">
        <f t="shared" si="279"/>
        <v>336.45216808304639</v>
      </c>
      <c r="N354" s="54">
        <f t="shared" si="280"/>
        <v>344.19056794895641</v>
      </c>
      <c r="O354" s="54">
        <f t="shared" si="281"/>
        <v>352.79533214768031</v>
      </c>
      <c r="P354" s="54">
        <f t="shared" si="281"/>
        <v>361.61521545137231</v>
      </c>
      <c r="Q354" s="54">
        <f t="shared" si="282"/>
        <v>370.29398062220525</v>
      </c>
      <c r="R354" s="54">
        <f t="shared" si="282"/>
        <v>379.18103615713818</v>
      </c>
    </row>
    <row r="355" spans="1:18" x14ac:dyDescent="0.25">
      <c r="A355" s="52" t="s">
        <v>242</v>
      </c>
      <c r="B355" s="53"/>
      <c r="C355" s="54">
        <v>2200</v>
      </c>
      <c r="D355" s="50">
        <v>11636</v>
      </c>
      <c r="E355" s="43">
        <v>0</v>
      </c>
      <c r="F355" s="50"/>
      <c r="G355" s="50">
        <v>0</v>
      </c>
      <c r="H355" s="50"/>
      <c r="I355" s="54"/>
      <c r="J355" s="54"/>
      <c r="K355" s="54"/>
      <c r="L355" s="54"/>
      <c r="M355" s="54"/>
      <c r="N355" s="54"/>
      <c r="O355" s="54"/>
      <c r="P355" s="54"/>
      <c r="Q355" s="54"/>
      <c r="R355" s="54"/>
    </row>
    <row r="356" spans="1:18" x14ac:dyDescent="0.25">
      <c r="A356" s="52" t="s">
        <v>243</v>
      </c>
      <c r="B356" s="53"/>
      <c r="C356" s="54">
        <v>10735</v>
      </c>
      <c r="D356" s="50">
        <v>15476</v>
      </c>
      <c r="E356" s="43">
        <v>0</v>
      </c>
      <c r="F356" s="50">
        <v>0</v>
      </c>
      <c r="G356" s="54">
        <v>0</v>
      </c>
      <c r="H356" s="50">
        <v>20000</v>
      </c>
      <c r="I356" s="54">
        <v>0</v>
      </c>
      <c r="J356" s="54">
        <v>0</v>
      </c>
      <c r="K356" s="54">
        <v>0</v>
      </c>
      <c r="L356" s="54">
        <v>0</v>
      </c>
      <c r="M356" s="54">
        <v>23000</v>
      </c>
      <c r="N356" s="54">
        <v>0</v>
      </c>
      <c r="O356" s="54">
        <v>0</v>
      </c>
      <c r="P356" s="54">
        <v>0</v>
      </c>
      <c r="Q356" s="54">
        <v>0</v>
      </c>
      <c r="R356" s="54">
        <v>26000</v>
      </c>
    </row>
    <row r="357" spans="1:18" x14ac:dyDescent="0.25">
      <c r="A357" s="61" t="s">
        <v>244</v>
      </c>
      <c r="B357" s="62" t="s">
        <v>245</v>
      </c>
      <c r="C357" s="50">
        <v>0</v>
      </c>
      <c r="D357" s="63">
        <v>98804</v>
      </c>
      <c r="E357" s="64">
        <v>12176</v>
      </c>
      <c r="F357" s="50">
        <v>0</v>
      </c>
      <c r="G357" s="54">
        <v>0</v>
      </c>
      <c r="H357" s="50">
        <v>20000</v>
      </c>
      <c r="I357" s="54">
        <v>0</v>
      </c>
      <c r="J357" s="54">
        <v>0</v>
      </c>
      <c r="K357" s="54">
        <v>0</v>
      </c>
      <c r="L357" s="54">
        <v>0</v>
      </c>
      <c r="M357" s="54">
        <v>23000</v>
      </c>
      <c r="N357" s="54">
        <v>0</v>
      </c>
      <c r="O357" s="54">
        <v>0</v>
      </c>
      <c r="P357" s="54">
        <v>0</v>
      </c>
      <c r="Q357" s="54">
        <v>0</v>
      </c>
      <c r="R357" s="54">
        <v>26000</v>
      </c>
    </row>
    <row r="358" spans="1:18" x14ac:dyDescent="0.25">
      <c r="A358" s="61" t="s">
        <v>246</v>
      </c>
      <c r="B358" s="62"/>
      <c r="C358" s="50"/>
      <c r="D358" s="63"/>
      <c r="E358" s="64"/>
      <c r="F358" s="50"/>
      <c r="G358" s="65">
        <v>7935</v>
      </c>
      <c r="H358" s="50"/>
      <c r="I358" s="54"/>
      <c r="J358" s="54"/>
      <c r="K358" s="54"/>
      <c r="L358" s="54"/>
      <c r="M358" s="54"/>
      <c r="N358" s="54"/>
      <c r="O358" s="54"/>
      <c r="P358" s="54"/>
      <c r="Q358" s="54"/>
      <c r="R358" s="54"/>
    </row>
    <row r="359" spans="1:18" x14ac:dyDescent="0.25">
      <c r="A359" s="52" t="s">
        <v>247</v>
      </c>
      <c r="B359" s="53"/>
      <c r="C359" s="50"/>
      <c r="D359" s="54">
        <v>0</v>
      </c>
      <c r="E359" s="43">
        <v>1740</v>
      </c>
      <c r="F359" s="54"/>
      <c r="G359" s="54"/>
      <c r="H359" s="50"/>
      <c r="I359" s="54"/>
      <c r="J359" s="54"/>
      <c r="K359" s="54"/>
      <c r="L359" s="54"/>
      <c r="M359" s="54"/>
      <c r="N359" s="54"/>
      <c r="O359" s="54"/>
      <c r="P359" s="54"/>
      <c r="Q359" s="54"/>
      <c r="R359" s="54"/>
    </row>
    <row r="360" spans="1:18" x14ac:dyDescent="0.25">
      <c r="A360" s="52" t="s">
        <v>248</v>
      </c>
      <c r="B360" s="53"/>
      <c r="C360" s="50"/>
      <c r="D360" s="54"/>
      <c r="E360" s="43">
        <v>4113</v>
      </c>
      <c r="F360" s="54"/>
      <c r="G360" s="54"/>
      <c r="H360" s="50"/>
      <c r="I360" s="54"/>
      <c r="J360" s="54"/>
      <c r="K360" s="54"/>
      <c r="L360" s="54"/>
      <c r="M360" s="54"/>
      <c r="N360" s="54"/>
      <c r="O360" s="54"/>
      <c r="P360" s="54"/>
      <c r="Q360" s="54"/>
      <c r="R360" s="54"/>
    </row>
    <row r="361" spans="1:18" x14ac:dyDescent="0.25">
      <c r="A361" s="52" t="s">
        <v>249</v>
      </c>
      <c r="B361" s="53"/>
      <c r="C361" s="54">
        <v>378</v>
      </c>
      <c r="D361" s="54">
        <v>316</v>
      </c>
      <c r="E361" s="43">
        <v>0</v>
      </c>
      <c r="F361" s="50">
        <v>2187</v>
      </c>
      <c r="G361" s="50">
        <v>0</v>
      </c>
      <c r="H361" s="50">
        <v>0</v>
      </c>
      <c r="I361" s="50">
        <v>0</v>
      </c>
      <c r="J361" s="50">
        <v>0</v>
      </c>
      <c r="K361" s="50">
        <v>0</v>
      </c>
      <c r="L361" s="50">
        <v>0</v>
      </c>
      <c r="M361" s="50">
        <v>0</v>
      </c>
      <c r="N361" s="50">
        <v>0</v>
      </c>
      <c r="O361" s="50">
        <v>0</v>
      </c>
      <c r="P361" s="50">
        <v>0</v>
      </c>
      <c r="Q361" s="50">
        <v>0</v>
      </c>
      <c r="R361" s="50">
        <v>0</v>
      </c>
    </row>
    <row r="362" spans="1:18" x14ac:dyDescent="0.25">
      <c r="A362" s="52" t="s">
        <v>250</v>
      </c>
      <c r="B362" s="53"/>
      <c r="C362" s="54"/>
      <c r="D362" s="54"/>
      <c r="F362" s="50"/>
      <c r="G362" s="50"/>
      <c r="H362" s="50">
        <v>80000</v>
      </c>
      <c r="I362" s="54">
        <v>0</v>
      </c>
      <c r="J362" s="54">
        <v>0</v>
      </c>
      <c r="K362" s="54">
        <v>0</v>
      </c>
      <c r="L362" s="54">
        <v>0</v>
      </c>
      <c r="M362" s="54">
        <v>0</v>
      </c>
      <c r="N362" s="54">
        <v>0</v>
      </c>
      <c r="O362" s="54">
        <v>0</v>
      </c>
      <c r="P362" s="54">
        <v>0</v>
      </c>
      <c r="Q362" s="54">
        <v>0</v>
      </c>
      <c r="R362" s="54">
        <v>0</v>
      </c>
    </row>
    <row r="363" spans="1:18" x14ac:dyDescent="0.25">
      <c r="A363" s="41"/>
      <c r="B363" s="44"/>
      <c r="C363" s="50"/>
      <c r="D363" s="50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</row>
    <row r="364" spans="1:18" x14ac:dyDescent="0.25">
      <c r="A364" s="41" t="s">
        <v>230</v>
      </c>
      <c r="B364" s="44"/>
      <c r="C364" s="51">
        <f t="shared" ref="C364:Q364" si="283">SUM(C349:C363)</f>
        <v>38437</v>
      </c>
      <c r="D364" s="51">
        <f t="shared" si="283"/>
        <v>152336</v>
      </c>
      <c r="E364" s="51">
        <f t="shared" si="283"/>
        <v>46443.81</v>
      </c>
      <c r="F364" s="51">
        <f t="shared" ref="F364:G364" si="284">SUM(F349:F363)</f>
        <v>28479</v>
      </c>
      <c r="G364" s="51">
        <f t="shared" si="284"/>
        <v>37016</v>
      </c>
      <c r="H364" s="51">
        <f t="shared" si="283"/>
        <v>154270</v>
      </c>
      <c r="I364" s="51">
        <f t="shared" si="283"/>
        <v>35084.699999999997</v>
      </c>
      <c r="J364" s="51">
        <f t="shared" si="283"/>
        <v>36035.49029999999</v>
      </c>
      <c r="K364" s="51">
        <f t="shared" si="283"/>
        <v>37149.390169699989</v>
      </c>
      <c r="L364" s="51">
        <f t="shared" si="283"/>
        <v>38265.417677428086</v>
      </c>
      <c r="M364" s="51">
        <f t="shared" si="283"/>
        <v>85509.679670772719</v>
      </c>
      <c r="N364" s="51">
        <f t="shared" si="283"/>
        <v>40553.326537128851</v>
      </c>
      <c r="O364" s="51">
        <f t="shared" si="283"/>
        <v>41757.073861503261</v>
      </c>
      <c r="P364" s="51">
        <f t="shared" si="283"/>
        <v>43213.857669022007</v>
      </c>
      <c r="Q364" s="51">
        <f t="shared" si="283"/>
        <v>44505.664250472466</v>
      </c>
      <c r="R364" s="51">
        <f t="shared" ref="R364" si="285">SUM(R349:R363)</f>
        <v>97891.240785789123</v>
      </c>
    </row>
    <row r="365" spans="1:18" x14ac:dyDescent="0.25">
      <c r="C365" s="50"/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</row>
    <row r="366" spans="1:18" x14ac:dyDescent="0.25">
      <c r="A366" s="41" t="s">
        <v>251</v>
      </c>
      <c r="B366" s="44"/>
      <c r="C366" s="50"/>
      <c r="D366" s="50"/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</row>
    <row r="367" spans="1:18" x14ac:dyDescent="0.25">
      <c r="C367" s="50"/>
      <c r="D367" s="50"/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</row>
    <row r="368" spans="1:18" x14ac:dyDescent="0.25">
      <c r="A368" s="61" t="s">
        <v>252</v>
      </c>
      <c r="B368" s="62" t="s">
        <v>245</v>
      </c>
      <c r="C368" s="54">
        <v>10735</v>
      </c>
      <c r="D368" s="63">
        <v>98804</v>
      </c>
      <c r="E368" s="63">
        <v>12176</v>
      </c>
      <c r="F368" s="50"/>
      <c r="G368" s="50">
        <v>0</v>
      </c>
      <c r="H368" s="50"/>
      <c r="I368" s="54"/>
      <c r="J368" s="54"/>
      <c r="K368" s="54"/>
      <c r="L368" s="54"/>
      <c r="M368" s="54"/>
      <c r="N368" s="54"/>
      <c r="O368" s="54"/>
      <c r="P368" s="54"/>
      <c r="Q368" s="54"/>
      <c r="R368" s="54"/>
    </row>
    <row r="369" spans="1:18" x14ac:dyDescent="0.25">
      <c r="A369" s="61" t="s">
        <v>253</v>
      </c>
      <c r="B369" s="62" t="s">
        <v>245</v>
      </c>
      <c r="C369" s="54"/>
      <c r="D369" s="63">
        <v>50000</v>
      </c>
      <c r="E369" s="50"/>
      <c r="F369" s="50"/>
      <c r="G369" s="50">
        <v>0</v>
      </c>
      <c r="H369" s="50"/>
      <c r="I369" s="54"/>
      <c r="J369" s="54"/>
      <c r="K369" s="54"/>
      <c r="L369" s="54"/>
      <c r="M369" s="54"/>
      <c r="N369" s="54"/>
      <c r="O369" s="54"/>
      <c r="P369" s="54"/>
      <c r="Q369" s="54"/>
      <c r="R369" s="54"/>
    </row>
    <row r="370" spans="1:18" x14ac:dyDescent="0.25"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</row>
    <row r="371" spans="1:18" x14ac:dyDescent="0.25">
      <c r="A371" s="41" t="s">
        <v>254</v>
      </c>
      <c r="B371" s="44"/>
      <c r="C371" s="51">
        <f>SUM(C368:C370)</f>
        <v>10735</v>
      </c>
      <c r="D371" s="51">
        <f>SUM(D368:D370)</f>
        <v>148804</v>
      </c>
      <c r="E371" s="51">
        <f>SUM(E368:E370)</f>
        <v>12176</v>
      </c>
      <c r="F371" s="51">
        <v>0</v>
      </c>
      <c r="G371" s="51">
        <v>0</v>
      </c>
      <c r="H371" s="51">
        <v>0</v>
      </c>
      <c r="I371" s="51">
        <v>0</v>
      </c>
      <c r="J371" s="51">
        <v>0</v>
      </c>
      <c r="K371" s="51">
        <v>0</v>
      </c>
      <c r="L371" s="51">
        <v>0</v>
      </c>
      <c r="M371" s="51">
        <v>0</v>
      </c>
      <c r="N371" s="51">
        <v>0</v>
      </c>
      <c r="O371" s="51">
        <v>0</v>
      </c>
      <c r="P371" s="51">
        <v>0</v>
      </c>
      <c r="Q371" s="51">
        <f>SUM(Q368:Q370)</f>
        <v>0</v>
      </c>
      <c r="R371" s="51">
        <f>SUM(R368:R370)</f>
        <v>0</v>
      </c>
    </row>
    <row r="372" spans="1:18" x14ac:dyDescent="0.25">
      <c r="C372" s="50"/>
      <c r="D372" s="50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</row>
    <row r="373" spans="1:18" x14ac:dyDescent="0.25">
      <c r="A373" s="41" t="s">
        <v>255</v>
      </c>
      <c r="B373" s="44"/>
      <c r="C373" s="51">
        <f t="shared" ref="C373:R373" si="286">C364-C345-C371</f>
        <v>27702</v>
      </c>
      <c r="D373" s="51">
        <f t="shared" si="286"/>
        <v>3532</v>
      </c>
      <c r="E373" s="51">
        <f t="shared" si="286"/>
        <v>-15732.190000000002</v>
      </c>
      <c r="F373" s="51">
        <f t="shared" si="286"/>
        <v>23979</v>
      </c>
      <c r="G373" s="51">
        <f t="shared" si="286"/>
        <v>17016</v>
      </c>
      <c r="H373" s="51">
        <f t="shared" si="286"/>
        <v>149270</v>
      </c>
      <c r="I373" s="51">
        <f t="shared" si="286"/>
        <v>29969.699999999997</v>
      </c>
      <c r="J373" s="51">
        <f t="shared" si="286"/>
        <v>30797.730299999988</v>
      </c>
      <c r="K373" s="51">
        <f t="shared" si="286"/>
        <v>31785.923929699988</v>
      </c>
      <c r="L373" s="51">
        <f t="shared" si="286"/>
        <v>32778.591713908085</v>
      </c>
      <c r="M373" s="51">
        <f t="shared" si="286"/>
        <v>79902.143536055286</v>
      </c>
      <c r="N373" s="51">
        <f t="shared" si="286"/>
        <v>34816.817071312908</v>
      </c>
      <c r="O373" s="51">
        <f t="shared" si="286"/>
        <v>35877.15165904192</v>
      </c>
      <c r="P373" s="51">
        <f t="shared" si="286"/>
        <v>37186.937411499137</v>
      </c>
      <c r="Q373" s="51">
        <f t="shared" si="286"/>
        <v>38334.09790676905</v>
      </c>
      <c r="R373" s="51">
        <f t="shared" si="286"/>
        <v>91571.556849836823</v>
      </c>
    </row>
    <row r="374" spans="1:18" x14ac:dyDescent="0.25"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</row>
    <row r="375" spans="1:18" x14ac:dyDescent="0.25">
      <c r="A375" s="41" t="s">
        <v>256</v>
      </c>
      <c r="B375" s="44"/>
      <c r="C375" s="51">
        <f t="shared" ref="C375:R375" si="287">C314+C334+C373</f>
        <v>657959</v>
      </c>
      <c r="D375" s="51">
        <f t="shared" si="287"/>
        <v>675239</v>
      </c>
      <c r="E375" s="51">
        <f t="shared" si="287"/>
        <v>891017.15000000014</v>
      </c>
      <c r="F375" s="51">
        <f t="shared" si="287"/>
        <v>1245691</v>
      </c>
      <c r="G375" s="51">
        <f t="shared" si="287"/>
        <v>894446</v>
      </c>
      <c r="H375" s="51">
        <f t="shared" si="287"/>
        <v>928540</v>
      </c>
      <c r="I375" s="51">
        <f t="shared" si="287"/>
        <v>797571.2</v>
      </c>
      <c r="J375" s="51">
        <f t="shared" si="287"/>
        <v>820564.7962999997</v>
      </c>
      <c r="K375" s="51">
        <f t="shared" si="287"/>
        <v>845416.93614370003</v>
      </c>
      <c r="L375" s="51">
        <f t="shared" si="287"/>
        <v>871792.75061672984</v>
      </c>
      <c r="M375" s="51">
        <f t="shared" si="287"/>
        <v>945574.70350509998</v>
      </c>
      <c r="N375" s="51">
        <f t="shared" si="287"/>
        <v>924645.07350527414</v>
      </c>
      <c r="O375" s="51">
        <f t="shared" si="287"/>
        <v>952961.3454170496</v>
      </c>
      <c r="P375" s="51">
        <f t="shared" si="287"/>
        <v>985380.89583085361</v>
      </c>
      <c r="Q375" s="51">
        <f t="shared" si="287"/>
        <v>1016681.3799406197</v>
      </c>
      <c r="R375" s="51">
        <f t="shared" si="287"/>
        <v>1101223.4016377539</v>
      </c>
    </row>
    <row r="376" spans="1:18" x14ac:dyDescent="0.25"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</row>
    <row r="377" spans="1:18" x14ac:dyDescent="0.25"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</row>
    <row r="378" spans="1:18" x14ac:dyDescent="0.25">
      <c r="A378" s="48" t="s">
        <v>160</v>
      </c>
      <c r="B378" s="44"/>
      <c r="C378" s="50"/>
      <c r="D378" s="50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</row>
    <row r="379" spans="1:18" x14ac:dyDescent="0.25"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</row>
    <row r="380" spans="1:18" x14ac:dyDescent="0.25">
      <c r="A380" s="41" t="s">
        <v>257</v>
      </c>
      <c r="C380" s="50"/>
      <c r="D380" s="50"/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</row>
    <row r="381" spans="1:18" x14ac:dyDescent="0.25"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</row>
    <row r="382" spans="1:18" x14ac:dyDescent="0.25">
      <c r="A382" s="41" t="s">
        <v>202</v>
      </c>
      <c r="B382" s="44"/>
      <c r="C382" s="50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</row>
    <row r="383" spans="1:18" x14ac:dyDescent="0.25">
      <c r="C383" s="50"/>
      <c r="D383" s="50"/>
      <c r="E383" s="50"/>
      <c r="F383" s="50"/>
      <c r="G383" s="50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</row>
    <row r="384" spans="1:18" x14ac:dyDescent="0.25">
      <c r="A384" s="43" t="s">
        <v>258</v>
      </c>
      <c r="C384" s="54">
        <v>17847</v>
      </c>
      <c r="D384" s="54">
        <v>18275</v>
      </c>
      <c r="E384" s="43">
        <v>18732</v>
      </c>
      <c r="F384" s="54">
        <v>19182</v>
      </c>
      <c r="G384" s="54">
        <v>19633</v>
      </c>
      <c r="H384" s="54">
        <v>19633</v>
      </c>
      <c r="I384" s="54">
        <v>19633</v>
      </c>
      <c r="J384" s="54">
        <f t="shared" ref="J384:K384" si="288">I384*1.024</f>
        <v>20104.191999999999</v>
      </c>
      <c r="K384" s="54">
        <f t="shared" si="288"/>
        <v>20586.692608000001</v>
      </c>
      <c r="L384" s="54">
        <f t="shared" ref="L384:L392" si="289">K384*1.023</f>
        <v>21060.186537983998</v>
      </c>
      <c r="M384" s="54">
        <f t="shared" ref="M384:M392" si="290">L384*1.022</f>
        <v>21523.510641819648</v>
      </c>
      <c r="N384" s="54">
        <f t="shared" ref="N384:N392" si="291">M384*1.023</f>
        <v>22018.551386581497</v>
      </c>
      <c r="O384" s="54">
        <f t="shared" ref="O384:P384" si="292">N384*1.025</f>
        <v>22569.015171246032</v>
      </c>
      <c r="P384" s="54">
        <f t="shared" si="292"/>
        <v>23133.240550527182</v>
      </c>
      <c r="Q384" s="54">
        <f t="shared" ref="Q384:R392" si="293">P384*1.024</f>
        <v>23688.438323739836</v>
      </c>
      <c r="R384" s="54">
        <f t="shared" si="293"/>
        <v>24256.960843509594</v>
      </c>
    </row>
    <row r="385" spans="1:18" x14ac:dyDescent="0.25">
      <c r="A385" s="52" t="s">
        <v>259</v>
      </c>
      <c r="B385" s="53"/>
      <c r="C385" s="54">
        <v>65045</v>
      </c>
      <c r="D385" s="54">
        <f>93115+334</f>
        <v>93449</v>
      </c>
      <c r="E385" s="50">
        <f>99550+409.09+327.27+23.42</f>
        <v>100309.78</v>
      </c>
      <c r="F385" s="50">
        <f>106292+258</f>
        <v>106550</v>
      </c>
      <c r="G385" s="50">
        <v>115920</v>
      </c>
      <c r="H385" s="50">
        <v>110240</v>
      </c>
      <c r="I385" s="54">
        <v>112780</v>
      </c>
      <c r="J385" s="54">
        <v>115530.72</v>
      </c>
      <c r="K385" s="54">
        <v>118306.25727999999</v>
      </c>
      <c r="L385" s="54">
        <v>121000.17119744</v>
      </c>
      <c r="M385" s="54">
        <v>123635.79496378367</v>
      </c>
      <c r="N385" s="54">
        <v>126513.20824795069</v>
      </c>
      <c r="O385" s="54">
        <v>129708.28845414944</v>
      </c>
      <c r="P385" s="54">
        <v>132952.2456655032</v>
      </c>
      <c r="Q385" s="54">
        <v>136114.45956147526</v>
      </c>
      <c r="R385" s="54">
        <v>139373.04659095066</v>
      </c>
    </row>
    <row r="386" spans="1:18" x14ac:dyDescent="0.25">
      <c r="A386" s="52" t="s">
        <v>260</v>
      </c>
      <c r="B386" s="53"/>
      <c r="C386" s="54">
        <v>0</v>
      </c>
      <c r="D386" s="54">
        <v>0</v>
      </c>
      <c r="E386" s="43">
        <v>0</v>
      </c>
      <c r="F386" s="50">
        <v>0</v>
      </c>
      <c r="G386" s="50">
        <v>0</v>
      </c>
      <c r="H386" s="50">
        <v>0</v>
      </c>
      <c r="I386" s="54">
        <f t="shared" ref="I386:I392" si="294">H386*1.023</f>
        <v>0</v>
      </c>
      <c r="J386" s="54">
        <f t="shared" ref="J386:K392" si="295">I386*1.024</f>
        <v>0</v>
      </c>
      <c r="K386" s="54">
        <f t="shared" si="295"/>
        <v>0</v>
      </c>
      <c r="L386" s="54">
        <f t="shared" si="289"/>
        <v>0</v>
      </c>
      <c r="M386" s="54">
        <f t="shared" si="290"/>
        <v>0</v>
      </c>
      <c r="N386" s="54">
        <f t="shared" si="291"/>
        <v>0</v>
      </c>
      <c r="O386" s="54">
        <f t="shared" ref="O386:P392" si="296">N386*1.025</f>
        <v>0</v>
      </c>
      <c r="P386" s="54">
        <f t="shared" si="296"/>
        <v>0</v>
      </c>
      <c r="Q386" s="54">
        <f t="shared" si="293"/>
        <v>0</v>
      </c>
      <c r="R386" s="54">
        <f t="shared" si="293"/>
        <v>0</v>
      </c>
    </row>
    <row r="387" spans="1:18" x14ac:dyDescent="0.25">
      <c r="A387" s="52" t="s">
        <v>261</v>
      </c>
      <c r="B387" s="53"/>
      <c r="C387" s="54">
        <f>56984+152</f>
        <v>57136</v>
      </c>
      <c r="D387" s="54">
        <v>65290</v>
      </c>
      <c r="E387" s="50">
        <f>64021-799</f>
        <v>63222</v>
      </c>
      <c r="F387" s="50">
        <v>66703</v>
      </c>
      <c r="G387" s="50">
        <v>59118</v>
      </c>
      <c r="H387" s="50">
        <v>70500</v>
      </c>
      <c r="I387" s="54">
        <f t="shared" si="294"/>
        <v>72121.5</v>
      </c>
      <c r="J387" s="54">
        <f t="shared" si="295"/>
        <v>73852.415999999997</v>
      </c>
      <c r="K387" s="54">
        <f t="shared" si="295"/>
        <v>75624.873984000005</v>
      </c>
      <c r="L387" s="54">
        <f t="shared" si="289"/>
        <v>77364.246085631996</v>
      </c>
      <c r="M387" s="54">
        <f t="shared" si="290"/>
        <v>79066.259499515902</v>
      </c>
      <c r="N387" s="54">
        <f t="shared" si="291"/>
        <v>80884.783468004767</v>
      </c>
      <c r="O387" s="54">
        <f t="shared" si="296"/>
        <v>82906.903054704875</v>
      </c>
      <c r="P387" s="54">
        <f t="shared" si="296"/>
        <v>84979.575631072483</v>
      </c>
      <c r="Q387" s="54">
        <f t="shared" si="293"/>
        <v>87019.085446218218</v>
      </c>
      <c r="R387" s="54">
        <f t="shared" si="293"/>
        <v>89107.54349692745</v>
      </c>
    </row>
    <row r="388" spans="1:18" x14ac:dyDescent="0.25">
      <c r="A388" s="52" t="s">
        <v>262</v>
      </c>
      <c r="B388" s="53"/>
      <c r="C388" s="54">
        <v>0</v>
      </c>
      <c r="D388" s="54">
        <f>C388*1.024</f>
        <v>0</v>
      </c>
      <c r="E388" s="43">
        <v>0</v>
      </c>
      <c r="F388" s="54">
        <v>0</v>
      </c>
      <c r="G388" s="54">
        <v>0</v>
      </c>
      <c r="H388" s="54">
        <v>0</v>
      </c>
      <c r="I388" s="54">
        <f t="shared" si="294"/>
        <v>0</v>
      </c>
      <c r="J388" s="54">
        <f t="shared" si="295"/>
        <v>0</v>
      </c>
      <c r="K388" s="54">
        <f t="shared" si="295"/>
        <v>0</v>
      </c>
      <c r="L388" s="54">
        <f t="shared" si="289"/>
        <v>0</v>
      </c>
      <c r="M388" s="54">
        <f t="shared" si="290"/>
        <v>0</v>
      </c>
      <c r="N388" s="54">
        <f t="shared" si="291"/>
        <v>0</v>
      </c>
      <c r="O388" s="54">
        <f t="shared" si="296"/>
        <v>0</v>
      </c>
      <c r="P388" s="54">
        <f t="shared" si="296"/>
        <v>0</v>
      </c>
      <c r="Q388" s="54">
        <f t="shared" si="293"/>
        <v>0</v>
      </c>
      <c r="R388" s="54">
        <f t="shared" si="293"/>
        <v>0</v>
      </c>
    </row>
    <row r="389" spans="1:18" x14ac:dyDescent="0.25">
      <c r="A389" s="52" t="s">
        <v>263</v>
      </c>
      <c r="B389" s="53"/>
      <c r="C389" s="54">
        <f>5352-152</f>
        <v>5200</v>
      </c>
      <c r="D389" s="54">
        <v>5004</v>
      </c>
      <c r="E389" s="43">
        <v>7204</v>
      </c>
      <c r="F389" s="54">
        <v>4650</v>
      </c>
      <c r="G389" s="54">
        <v>4420</v>
      </c>
      <c r="H389" s="54">
        <v>4500</v>
      </c>
      <c r="I389" s="54">
        <f t="shared" si="294"/>
        <v>4603.5</v>
      </c>
      <c r="J389" s="54">
        <f t="shared" si="295"/>
        <v>4713.9840000000004</v>
      </c>
      <c r="K389" s="54">
        <f t="shared" si="295"/>
        <v>4827.1196160000009</v>
      </c>
      <c r="L389" s="54">
        <f t="shared" si="289"/>
        <v>4938.1433671680006</v>
      </c>
      <c r="M389" s="54">
        <f t="shared" si="290"/>
        <v>5046.7825212456964</v>
      </c>
      <c r="N389" s="54">
        <f t="shared" si="291"/>
        <v>5162.8585192343471</v>
      </c>
      <c r="O389" s="54">
        <f t="shared" si="296"/>
        <v>5291.9299822152052</v>
      </c>
      <c r="P389" s="54">
        <f t="shared" si="296"/>
        <v>5424.2282317705849</v>
      </c>
      <c r="Q389" s="54">
        <f t="shared" si="293"/>
        <v>5554.4097093330793</v>
      </c>
      <c r="R389" s="54">
        <f t="shared" si="293"/>
        <v>5687.715542357073</v>
      </c>
    </row>
    <row r="390" spans="1:18" x14ac:dyDescent="0.25">
      <c r="A390" s="52" t="s">
        <v>264</v>
      </c>
      <c r="B390" s="53"/>
      <c r="C390" s="54">
        <v>4096</v>
      </c>
      <c r="D390" s="54">
        <v>5163</v>
      </c>
      <c r="E390" s="50">
        <v>5283</v>
      </c>
      <c r="F390" s="54">
        <v>5135</v>
      </c>
      <c r="G390" s="54">
        <v>4810</v>
      </c>
      <c r="H390" s="54">
        <v>5000</v>
      </c>
      <c r="I390" s="54">
        <f t="shared" si="294"/>
        <v>5115</v>
      </c>
      <c r="J390" s="54">
        <f t="shared" si="295"/>
        <v>5237.76</v>
      </c>
      <c r="K390" s="54">
        <f t="shared" si="295"/>
        <v>5363.4662400000007</v>
      </c>
      <c r="L390" s="54">
        <f t="shared" si="289"/>
        <v>5486.8259635200002</v>
      </c>
      <c r="M390" s="54">
        <f t="shared" si="290"/>
        <v>5607.5361347174403</v>
      </c>
      <c r="N390" s="54">
        <f t="shared" si="291"/>
        <v>5736.5094658159405</v>
      </c>
      <c r="O390" s="54">
        <f t="shared" si="296"/>
        <v>5879.9222024613382</v>
      </c>
      <c r="P390" s="54">
        <f t="shared" si="296"/>
        <v>6026.920257522871</v>
      </c>
      <c r="Q390" s="54">
        <f t="shared" si="293"/>
        <v>6171.56634370342</v>
      </c>
      <c r="R390" s="54">
        <f t="shared" si="293"/>
        <v>6319.6839359523019</v>
      </c>
    </row>
    <row r="391" spans="1:18" x14ac:dyDescent="0.25">
      <c r="A391" s="59" t="s">
        <v>265</v>
      </c>
      <c r="B391" s="66"/>
      <c r="C391" s="54">
        <v>0</v>
      </c>
      <c r="D391" s="54">
        <v>1095</v>
      </c>
      <c r="E391" s="43">
        <v>0</v>
      </c>
      <c r="F391" s="54">
        <v>0</v>
      </c>
      <c r="G391" s="54">
        <v>0</v>
      </c>
      <c r="H391" s="54">
        <v>0</v>
      </c>
      <c r="I391" s="54">
        <f t="shared" si="294"/>
        <v>0</v>
      </c>
      <c r="J391" s="54">
        <f t="shared" si="295"/>
        <v>0</v>
      </c>
      <c r="K391" s="54">
        <f t="shared" si="295"/>
        <v>0</v>
      </c>
      <c r="L391" s="54">
        <f t="shared" si="289"/>
        <v>0</v>
      </c>
      <c r="M391" s="54">
        <f t="shared" si="290"/>
        <v>0</v>
      </c>
      <c r="N391" s="54">
        <f t="shared" si="291"/>
        <v>0</v>
      </c>
      <c r="O391" s="54">
        <f t="shared" si="296"/>
        <v>0</v>
      </c>
      <c r="P391" s="54">
        <f t="shared" si="296"/>
        <v>0</v>
      </c>
      <c r="Q391" s="54">
        <f t="shared" si="293"/>
        <v>0</v>
      </c>
      <c r="R391" s="54">
        <f t="shared" si="293"/>
        <v>0</v>
      </c>
    </row>
    <row r="392" spans="1:18" x14ac:dyDescent="0.25">
      <c r="A392" s="52" t="s">
        <v>266</v>
      </c>
      <c r="B392" s="53"/>
      <c r="C392" s="54">
        <v>745</v>
      </c>
      <c r="D392" s="54">
        <v>624</v>
      </c>
      <c r="E392" s="50">
        <f>1259+50+86.25</f>
        <v>1395.25</v>
      </c>
      <c r="F392" s="54">
        <v>570</v>
      </c>
      <c r="G392" s="54">
        <v>674</v>
      </c>
      <c r="H392" s="54">
        <v>1000</v>
      </c>
      <c r="I392" s="54">
        <f t="shared" si="294"/>
        <v>1022.9999999999999</v>
      </c>
      <c r="J392" s="54">
        <f t="shared" si="295"/>
        <v>1047.5519999999999</v>
      </c>
      <c r="K392" s="54">
        <f t="shared" si="295"/>
        <v>1072.693248</v>
      </c>
      <c r="L392" s="54">
        <f t="shared" si="289"/>
        <v>1097.365192704</v>
      </c>
      <c r="M392" s="54">
        <f t="shared" si="290"/>
        <v>1121.5072269434881</v>
      </c>
      <c r="N392" s="54">
        <f t="shared" si="291"/>
        <v>1147.3018931631882</v>
      </c>
      <c r="O392" s="54">
        <f t="shared" si="296"/>
        <v>1175.9844404922678</v>
      </c>
      <c r="P392" s="54">
        <f t="shared" si="296"/>
        <v>1205.3840515045745</v>
      </c>
      <c r="Q392" s="54">
        <f t="shared" si="293"/>
        <v>1234.3132687406842</v>
      </c>
      <c r="R392" s="54">
        <f t="shared" si="293"/>
        <v>1263.9367871904606</v>
      </c>
    </row>
    <row r="393" spans="1:18" x14ac:dyDescent="0.25">
      <c r="A393" s="52" t="s">
        <v>267</v>
      </c>
      <c r="B393" s="53"/>
      <c r="C393" s="54"/>
      <c r="D393" s="54">
        <v>14780</v>
      </c>
      <c r="E393" s="43">
        <v>0</v>
      </c>
      <c r="F393" s="59">
        <v>21827</v>
      </c>
      <c r="G393" s="50">
        <v>0</v>
      </c>
      <c r="H393" s="50">
        <v>33000</v>
      </c>
      <c r="I393" s="50">
        <v>0</v>
      </c>
      <c r="J393" s="50">
        <v>34600</v>
      </c>
      <c r="K393" s="50">
        <v>0</v>
      </c>
      <c r="L393" s="50">
        <v>36200</v>
      </c>
      <c r="M393" s="50">
        <v>0</v>
      </c>
      <c r="N393" s="50">
        <v>37800</v>
      </c>
      <c r="O393" s="50">
        <v>0</v>
      </c>
      <c r="P393" s="50">
        <v>38800</v>
      </c>
      <c r="Q393" s="50">
        <v>0</v>
      </c>
      <c r="R393" s="50">
        <v>40800</v>
      </c>
    </row>
    <row r="394" spans="1:18" x14ac:dyDescent="0.25">
      <c r="A394" s="52" t="s">
        <v>268</v>
      </c>
      <c r="B394" s="53"/>
      <c r="C394" s="54">
        <v>0</v>
      </c>
      <c r="D394" s="54">
        <f>C394*1.024</f>
        <v>0</v>
      </c>
      <c r="E394" s="43">
        <v>0</v>
      </c>
      <c r="F394" s="54">
        <v>0</v>
      </c>
      <c r="G394" s="54">
        <v>0</v>
      </c>
      <c r="H394" s="54">
        <v>0</v>
      </c>
      <c r="I394" s="54">
        <f t="shared" ref="I394:I396" si="297">H394*1.02</f>
        <v>0</v>
      </c>
      <c r="J394" s="54">
        <f t="shared" ref="J394:J396" si="298">I394*1.021</f>
        <v>0</v>
      </c>
      <c r="K394" s="54">
        <f t="shared" ref="K394:K396" si="299">J394*1.023</f>
        <v>0</v>
      </c>
      <c r="L394" s="54">
        <f t="shared" ref="L394:L396" si="300">K394*1.024</f>
        <v>0</v>
      </c>
      <c r="M394" s="54">
        <f t="shared" ref="M394:M396" si="301">L394*1.023</f>
        <v>0</v>
      </c>
      <c r="N394" s="54">
        <f t="shared" ref="N394:N396" si="302">M394*1.021</f>
        <v>0</v>
      </c>
      <c r="O394" s="54">
        <f t="shared" ref="O394:O396" si="303">N394*1.022</f>
        <v>0</v>
      </c>
      <c r="P394" s="54">
        <f t="shared" ref="P394:R396" si="304">O394*1.025</f>
        <v>0</v>
      </c>
      <c r="Q394" s="54">
        <f t="shared" si="304"/>
        <v>0</v>
      </c>
      <c r="R394" s="54">
        <f t="shared" si="304"/>
        <v>0</v>
      </c>
    </row>
    <row r="395" spans="1:18" x14ac:dyDescent="0.25">
      <c r="A395" s="52" t="s">
        <v>269</v>
      </c>
      <c r="B395" s="53"/>
      <c r="C395" s="54">
        <v>11711</v>
      </c>
      <c r="D395" s="54">
        <v>0</v>
      </c>
      <c r="E395" s="43">
        <v>0</v>
      </c>
      <c r="F395" s="54">
        <v>0</v>
      </c>
      <c r="G395" s="54">
        <v>0</v>
      </c>
      <c r="H395" s="54">
        <v>0</v>
      </c>
      <c r="I395" s="54">
        <f t="shared" si="297"/>
        <v>0</v>
      </c>
      <c r="J395" s="54">
        <f t="shared" si="298"/>
        <v>0</v>
      </c>
      <c r="K395" s="54">
        <f t="shared" si="299"/>
        <v>0</v>
      </c>
      <c r="L395" s="54">
        <f t="shared" si="300"/>
        <v>0</v>
      </c>
      <c r="M395" s="54">
        <f t="shared" si="301"/>
        <v>0</v>
      </c>
      <c r="N395" s="54">
        <f t="shared" si="302"/>
        <v>0</v>
      </c>
      <c r="O395" s="54">
        <f t="shared" si="303"/>
        <v>0</v>
      </c>
      <c r="P395" s="54">
        <f t="shared" si="304"/>
        <v>0</v>
      </c>
      <c r="Q395" s="54">
        <f t="shared" si="304"/>
        <v>0</v>
      </c>
      <c r="R395" s="54">
        <f t="shared" si="304"/>
        <v>0</v>
      </c>
    </row>
    <row r="396" spans="1:18" x14ac:dyDescent="0.25">
      <c r="A396" s="52" t="s">
        <v>270</v>
      </c>
      <c r="B396" s="53"/>
      <c r="C396" s="54">
        <v>54676</v>
      </c>
      <c r="D396" s="54">
        <v>0</v>
      </c>
      <c r="E396" s="43">
        <v>0</v>
      </c>
      <c r="F396" s="54">
        <v>0</v>
      </c>
      <c r="G396" s="54">
        <v>0</v>
      </c>
      <c r="H396" s="54">
        <v>0</v>
      </c>
      <c r="I396" s="54">
        <f t="shared" si="297"/>
        <v>0</v>
      </c>
      <c r="J396" s="54">
        <f t="shared" si="298"/>
        <v>0</v>
      </c>
      <c r="K396" s="54">
        <f t="shared" si="299"/>
        <v>0</v>
      </c>
      <c r="L396" s="54">
        <f t="shared" si="300"/>
        <v>0</v>
      </c>
      <c r="M396" s="54">
        <f t="shared" si="301"/>
        <v>0</v>
      </c>
      <c r="N396" s="54">
        <f t="shared" si="302"/>
        <v>0</v>
      </c>
      <c r="O396" s="54">
        <f t="shared" si="303"/>
        <v>0</v>
      </c>
      <c r="P396" s="54">
        <f t="shared" si="304"/>
        <v>0</v>
      </c>
      <c r="Q396" s="54">
        <f t="shared" si="304"/>
        <v>0</v>
      </c>
      <c r="R396" s="54">
        <f t="shared" si="304"/>
        <v>0</v>
      </c>
    </row>
    <row r="397" spans="1:18" x14ac:dyDescent="0.25">
      <c r="A397" s="52" t="s">
        <v>271</v>
      </c>
      <c r="B397" s="53"/>
      <c r="C397" s="54"/>
      <c r="D397" s="54"/>
      <c r="E397" s="43">
        <v>7800</v>
      </c>
      <c r="F397" s="54">
        <v>8800</v>
      </c>
      <c r="G397" s="50">
        <v>0</v>
      </c>
      <c r="H397" s="50">
        <v>0</v>
      </c>
      <c r="I397" s="50">
        <v>14000</v>
      </c>
      <c r="J397" s="50">
        <v>0</v>
      </c>
      <c r="K397" s="50">
        <v>14700</v>
      </c>
      <c r="L397" s="50">
        <v>0</v>
      </c>
      <c r="M397" s="50">
        <v>15400</v>
      </c>
      <c r="N397" s="50">
        <v>0</v>
      </c>
      <c r="O397" s="50">
        <v>16200</v>
      </c>
      <c r="P397" s="50">
        <v>0</v>
      </c>
      <c r="Q397" s="50">
        <v>17000</v>
      </c>
      <c r="R397" s="50">
        <v>0</v>
      </c>
    </row>
    <row r="398" spans="1:18" x14ac:dyDescent="0.25">
      <c r="C398" s="50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</row>
    <row r="399" spans="1:18" x14ac:dyDescent="0.25">
      <c r="A399" s="41" t="s">
        <v>216</v>
      </c>
      <c r="B399" s="44"/>
      <c r="C399" s="51">
        <f t="shared" ref="C399" si="305">SUM(C384:C398)</f>
        <v>216456</v>
      </c>
      <c r="D399" s="51">
        <f t="shared" ref="D399:R399" si="306">SUM(D384:D398)</f>
        <v>203680</v>
      </c>
      <c r="E399" s="51">
        <f t="shared" si="306"/>
        <v>203946.03</v>
      </c>
      <c r="F399" s="51">
        <f t="shared" si="306"/>
        <v>233417</v>
      </c>
      <c r="G399" s="51">
        <f t="shared" si="306"/>
        <v>204575</v>
      </c>
      <c r="H399" s="51">
        <f t="shared" si="306"/>
        <v>243873</v>
      </c>
      <c r="I399" s="51">
        <f t="shared" si="306"/>
        <v>229276</v>
      </c>
      <c r="J399" s="51">
        <f t="shared" si="306"/>
        <v>255086.62400000001</v>
      </c>
      <c r="K399" s="51">
        <f t="shared" si="306"/>
        <v>240481.10297600002</v>
      </c>
      <c r="L399" s="51">
        <f t="shared" si="306"/>
        <v>267146.93834444799</v>
      </c>
      <c r="M399" s="51">
        <f t="shared" si="306"/>
        <v>251401.39098802584</v>
      </c>
      <c r="N399" s="51">
        <f t="shared" si="306"/>
        <v>279263.21298075037</v>
      </c>
      <c r="O399" s="51">
        <f t="shared" si="306"/>
        <v>263732.04330526915</v>
      </c>
      <c r="P399" s="51">
        <f t="shared" si="306"/>
        <v>292521.5943879009</v>
      </c>
      <c r="Q399" s="51">
        <f t="shared" si="306"/>
        <v>276782.27265321056</v>
      </c>
      <c r="R399" s="51">
        <f t="shared" si="306"/>
        <v>306808.88719688752</v>
      </c>
    </row>
    <row r="400" spans="1:18" x14ac:dyDescent="0.25"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</row>
    <row r="401" spans="1:18" x14ac:dyDescent="0.25">
      <c r="A401" s="41" t="s">
        <v>165</v>
      </c>
      <c r="B401" s="44"/>
      <c r="C401" s="50"/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</row>
    <row r="402" spans="1:18" x14ac:dyDescent="0.25">
      <c r="C402" s="50"/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</row>
    <row r="403" spans="1:18" x14ac:dyDescent="0.25">
      <c r="A403" s="43" t="s">
        <v>217</v>
      </c>
      <c r="C403" s="52">
        <f>248133+833</f>
        <v>248966</v>
      </c>
      <c r="D403" s="54">
        <v>203294</v>
      </c>
      <c r="E403" s="50">
        <f>195514-792.42</f>
        <v>194721.58</v>
      </c>
      <c r="F403" s="43">
        <v>200056</v>
      </c>
      <c r="G403" s="43">
        <v>195053</v>
      </c>
      <c r="H403" s="43">
        <v>235600</v>
      </c>
      <c r="I403" s="50">
        <f>H403*1.025</f>
        <v>241489.99999999997</v>
      </c>
      <c r="J403" s="50">
        <f>I403*1.029</f>
        <v>248493.20999999996</v>
      </c>
      <c r="K403" s="54">
        <f>J403*1.031</f>
        <v>256196.49950999994</v>
      </c>
      <c r="L403" s="54">
        <f>K403*1.033</f>
        <v>264650.98399382993</v>
      </c>
      <c r="M403" s="54">
        <f>L403*1.032</f>
        <v>273119.81548163248</v>
      </c>
      <c r="N403" s="54">
        <f>M403*1.03</f>
        <v>281313.40994608146</v>
      </c>
      <c r="O403" s="54">
        <f>N403*1.032</f>
        <v>290315.43906435609</v>
      </c>
      <c r="P403" s="54">
        <f>O403*1.034</f>
        <v>300186.16399254423</v>
      </c>
      <c r="Q403" s="54">
        <f>P403*1.034</f>
        <v>310392.49356829072</v>
      </c>
      <c r="R403" s="54">
        <f>Q403*1.034</f>
        <v>320945.8383496126</v>
      </c>
    </row>
    <row r="404" spans="1:18" x14ac:dyDescent="0.25">
      <c r="A404" s="43" t="s">
        <v>219</v>
      </c>
      <c r="C404" s="52">
        <v>358</v>
      </c>
      <c r="D404" s="50">
        <v>2765</v>
      </c>
      <c r="E404" s="43">
        <v>1507</v>
      </c>
      <c r="F404" s="50">
        <v>777</v>
      </c>
      <c r="G404" s="50">
        <v>1733</v>
      </c>
      <c r="H404" s="50">
        <v>1500</v>
      </c>
      <c r="I404" s="54">
        <f t="shared" ref="I404" si="307">H404*1.023</f>
        <v>1534.4999999999998</v>
      </c>
      <c r="J404" s="54">
        <f t="shared" ref="J404:K404" si="308">I404*1.024</f>
        <v>1571.3279999999997</v>
      </c>
      <c r="K404" s="54">
        <f t="shared" si="308"/>
        <v>1609.0398719999998</v>
      </c>
      <c r="L404" s="54">
        <f t="shared" ref="L404" si="309">K404*1.023</f>
        <v>1646.0477890559996</v>
      </c>
      <c r="M404" s="54">
        <f t="shared" ref="M404" si="310">L404*1.022</f>
        <v>1682.2608404152315</v>
      </c>
      <c r="N404" s="54">
        <f t="shared" ref="N404" si="311">M404*1.023</f>
        <v>1720.9528397447816</v>
      </c>
      <c r="O404" s="54">
        <f t="shared" ref="O404:P404" si="312">N404*1.025</f>
        <v>1763.9766607384011</v>
      </c>
      <c r="P404" s="54">
        <f t="shared" si="312"/>
        <v>1808.076077256861</v>
      </c>
      <c r="Q404" s="54">
        <f t="shared" ref="Q404:R404" si="313">P404*1.024</f>
        <v>1851.4699031110258</v>
      </c>
      <c r="R404" s="54">
        <f t="shared" si="313"/>
        <v>1895.9051807856904</v>
      </c>
    </row>
    <row r="405" spans="1:18" x14ac:dyDescent="0.25">
      <c r="A405" s="43" t="s">
        <v>220</v>
      </c>
      <c r="C405" s="52">
        <v>20583</v>
      </c>
      <c r="D405" s="50">
        <v>22723</v>
      </c>
      <c r="E405" s="43">
        <v>32042</v>
      </c>
      <c r="F405" s="50">
        <v>30079</v>
      </c>
      <c r="G405" s="50">
        <v>12716</v>
      </c>
      <c r="H405" s="50">
        <v>27800</v>
      </c>
      <c r="I405" s="50">
        <f>H405*1.025</f>
        <v>28494.999999999996</v>
      </c>
      <c r="J405" s="50">
        <f>I405*1.029</f>
        <v>29321.354999999992</v>
      </c>
      <c r="K405" s="54">
        <f>J405*1.031</f>
        <v>30230.31700499999</v>
      </c>
      <c r="L405" s="54">
        <f>K405*1.033</f>
        <v>31227.917466164989</v>
      </c>
      <c r="M405" s="54">
        <f>L405*1.032</f>
        <v>32227.210825082268</v>
      </c>
      <c r="N405" s="54">
        <f>M405*1.03</f>
        <v>33194.027149834736</v>
      </c>
      <c r="O405" s="54">
        <f>N405*1.032</f>
        <v>34256.236018629446</v>
      </c>
      <c r="P405" s="54">
        <f>O405*1.034</f>
        <v>35420.948043262848</v>
      </c>
      <c r="Q405" s="54">
        <f>P405*1.034</f>
        <v>36625.260276733788</v>
      </c>
      <c r="R405" s="54">
        <f>Q405*1.034</f>
        <v>37870.519126142739</v>
      </c>
    </row>
    <row r="406" spans="1:18" x14ac:dyDescent="0.25">
      <c r="A406" t="s">
        <v>221</v>
      </c>
      <c r="C406" s="60">
        <v>0</v>
      </c>
      <c r="D406" s="57">
        <v>1102</v>
      </c>
      <c r="E406" s="60">
        <v>620</v>
      </c>
      <c r="F406" s="57">
        <v>0</v>
      </c>
      <c r="G406" s="57">
        <v>277</v>
      </c>
      <c r="H406" s="60">
        <v>930</v>
      </c>
      <c r="I406" s="60">
        <v>930</v>
      </c>
      <c r="J406" s="60">
        <v>930</v>
      </c>
      <c r="K406" s="60">
        <v>930</v>
      </c>
      <c r="L406" s="60">
        <v>1050</v>
      </c>
      <c r="M406" s="60">
        <v>1050</v>
      </c>
      <c r="N406" s="60">
        <v>1050</v>
      </c>
      <c r="O406" s="60">
        <v>1050</v>
      </c>
      <c r="P406" s="60">
        <v>1050</v>
      </c>
      <c r="Q406" s="60">
        <v>1170</v>
      </c>
      <c r="R406" s="60">
        <v>1170</v>
      </c>
    </row>
    <row r="407" spans="1:18" x14ac:dyDescent="0.25">
      <c r="A407" s="52" t="s">
        <v>226</v>
      </c>
      <c r="B407" s="53"/>
      <c r="C407" s="52">
        <v>3171</v>
      </c>
      <c r="D407" s="50">
        <v>3775</v>
      </c>
      <c r="E407" s="43">
        <v>3156</v>
      </c>
      <c r="F407" s="50">
        <v>2301</v>
      </c>
      <c r="G407" s="50">
        <v>4018</v>
      </c>
      <c r="H407" s="50">
        <v>3600</v>
      </c>
      <c r="I407" s="54">
        <f t="shared" ref="I407:I410" si="314">H407*1.023</f>
        <v>3682.7999999999997</v>
      </c>
      <c r="J407" s="54">
        <f t="shared" ref="J407:K407" si="315">I407*1.024</f>
        <v>3771.1871999999998</v>
      </c>
      <c r="K407" s="54">
        <f t="shared" si="315"/>
        <v>3861.6956928</v>
      </c>
      <c r="L407" s="54">
        <f t="shared" ref="L407:L410" si="316">K407*1.023</f>
        <v>3950.5146937343998</v>
      </c>
      <c r="M407" s="54">
        <f t="shared" ref="M407:M410" si="317">L407*1.022</f>
        <v>4037.4260169965564</v>
      </c>
      <c r="N407" s="54">
        <f t="shared" ref="N407:N410" si="318">M407*1.023</f>
        <v>4130.286815387477</v>
      </c>
      <c r="O407" s="54">
        <f t="shared" ref="O407:P407" si="319">N407*1.025</f>
        <v>4233.5439857721631</v>
      </c>
      <c r="P407" s="54">
        <f t="shared" si="319"/>
        <v>4339.382585416467</v>
      </c>
      <c r="Q407" s="54">
        <f t="shared" ref="Q407:R410" si="320">P407*1.024</f>
        <v>4443.5277674664621</v>
      </c>
      <c r="R407" s="54">
        <f t="shared" si="320"/>
        <v>4550.1724338856575</v>
      </c>
    </row>
    <row r="408" spans="1:18" x14ac:dyDescent="0.25">
      <c r="A408" s="52" t="s">
        <v>272</v>
      </c>
      <c r="B408" s="53"/>
      <c r="C408" s="52">
        <v>0</v>
      </c>
      <c r="D408" s="54"/>
      <c r="E408" s="43">
        <v>0</v>
      </c>
      <c r="F408" s="50"/>
      <c r="G408" s="50">
        <v>0</v>
      </c>
      <c r="H408" s="50"/>
      <c r="I408" s="54"/>
      <c r="J408" s="54"/>
      <c r="K408" s="54"/>
      <c r="L408" s="54"/>
      <c r="M408" s="54"/>
      <c r="N408" s="54"/>
      <c r="O408" s="54"/>
      <c r="P408" s="54"/>
      <c r="Q408" s="54"/>
      <c r="R408" s="54"/>
    </row>
    <row r="409" spans="1:18" x14ac:dyDescent="0.25">
      <c r="A409" s="52" t="s">
        <v>273</v>
      </c>
      <c r="B409" s="53"/>
      <c r="C409" s="52">
        <v>1359</v>
      </c>
      <c r="D409" s="50">
        <v>1076</v>
      </c>
      <c r="E409" s="43">
        <v>1194</v>
      </c>
      <c r="F409" s="50">
        <v>620</v>
      </c>
      <c r="G409" s="50">
        <v>1055</v>
      </c>
      <c r="H409" s="50">
        <v>800</v>
      </c>
      <c r="I409" s="54">
        <f t="shared" si="314"/>
        <v>818.4</v>
      </c>
      <c r="J409" s="54">
        <f t="shared" ref="J409:K410" si="321">I409*1.024</f>
        <v>838.04160000000002</v>
      </c>
      <c r="K409" s="54">
        <f t="shared" si="321"/>
        <v>858.15459840000005</v>
      </c>
      <c r="L409" s="54">
        <f t="shared" si="316"/>
        <v>877.89215416319996</v>
      </c>
      <c r="M409" s="54">
        <f t="shared" si="317"/>
        <v>897.20578155479041</v>
      </c>
      <c r="N409" s="54">
        <f t="shared" si="318"/>
        <v>917.84151453055051</v>
      </c>
      <c r="O409" s="54">
        <f t="shared" ref="O409:P410" si="322">N409*1.025</f>
        <v>940.78755239381417</v>
      </c>
      <c r="P409" s="54">
        <f t="shared" si="322"/>
        <v>964.30724120365949</v>
      </c>
      <c r="Q409" s="54">
        <f t="shared" si="320"/>
        <v>987.45061499254734</v>
      </c>
      <c r="R409" s="54">
        <f t="shared" si="320"/>
        <v>1011.1494297523685</v>
      </c>
    </row>
    <row r="410" spans="1:18" x14ac:dyDescent="0.25">
      <c r="A410" s="52" t="s">
        <v>274</v>
      </c>
      <c r="B410" s="53"/>
      <c r="C410" s="52"/>
      <c r="D410" s="50"/>
      <c r="F410" s="50"/>
      <c r="G410" s="50">
        <v>0</v>
      </c>
      <c r="H410" s="50">
        <v>0</v>
      </c>
      <c r="I410" s="54">
        <f t="shared" si="314"/>
        <v>0</v>
      </c>
      <c r="J410" s="54">
        <f t="shared" si="321"/>
        <v>0</v>
      </c>
      <c r="K410" s="54">
        <f t="shared" si="321"/>
        <v>0</v>
      </c>
      <c r="L410" s="54">
        <f t="shared" si="316"/>
        <v>0</v>
      </c>
      <c r="M410" s="54">
        <f t="shared" si="317"/>
        <v>0</v>
      </c>
      <c r="N410" s="54">
        <f t="shared" si="318"/>
        <v>0</v>
      </c>
      <c r="O410" s="54">
        <f t="shared" si="322"/>
        <v>0</v>
      </c>
      <c r="P410" s="54">
        <f t="shared" si="322"/>
        <v>0</v>
      </c>
      <c r="Q410" s="54">
        <f t="shared" si="320"/>
        <v>0</v>
      </c>
      <c r="R410" s="54">
        <f t="shared" si="320"/>
        <v>0</v>
      </c>
    </row>
    <row r="411" spans="1:18" x14ac:dyDescent="0.25">
      <c r="A411" s="52" t="s">
        <v>275</v>
      </c>
      <c r="B411" s="53"/>
      <c r="C411" s="52"/>
      <c r="D411" s="50"/>
      <c r="F411" s="50"/>
      <c r="G411" s="50">
        <v>0</v>
      </c>
      <c r="H411" s="50">
        <v>0</v>
      </c>
      <c r="I411" s="54">
        <v>0</v>
      </c>
      <c r="J411" s="54">
        <v>0</v>
      </c>
      <c r="K411" s="54">
        <v>0</v>
      </c>
      <c r="L411" s="54">
        <v>0</v>
      </c>
      <c r="M411" s="54">
        <v>0</v>
      </c>
      <c r="N411" s="54">
        <v>0</v>
      </c>
      <c r="O411" s="54">
        <v>0</v>
      </c>
      <c r="P411" s="54">
        <v>0</v>
      </c>
      <c r="Q411" s="54">
        <v>0</v>
      </c>
      <c r="R411" s="54">
        <v>0</v>
      </c>
    </row>
    <row r="412" spans="1:18" x14ac:dyDescent="0.25">
      <c r="A412" s="52" t="s">
        <v>276</v>
      </c>
      <c r="B412" s="53"/>
      <c r="C412" s="67">
        <v>57820</v>
      </c>
      <c r="D412" s="54">
        <v>83759</v>
      </c>
      <c r="E412" s="50">
        <f>91212+56.59+7048.3+88.64</f>
        <v>98405.53</v>
      </c>
      <c r="F412" s="54">
        <f>95802-1430</f>
        <v>94372</v>
      </c>
      <c r="G412" s="54">
        <v>138521</v>
      </c>
      <c r="H412" s="54">
        <v>105800</v>
      </c>
      <c r="I412" s="54">
        <v>108252.59999999999</v>
      </c>
      <c r="J412" s="54">
        <v>110899.86239999998</v>
      </c>
      <c r="K412" s="54">
        <v>113632.33661759998</v>
      </c>
      <c r="L412" s="54">
        <v>116350.27282140478</v>
      </c>
      <c r="M412" s="54">
        <v>119017.81623630848</v>
      </c>
      <c r="N412" s="54">
        <v>121833.12775677396</v>
      </c>
      <c r="O412" s="54">
        <v>124959.19475013463</v>
      </c>
      <c r="P412" s="54">
        <v>128189.64004306101</v>
      </c>
      <c r="Q412" s="54">
        <v>131388.50834697767</v>
      </c>
      <c r="R412" s="54">
        <v>134668.3082662464</v>
      </c>
    </row>
    <row r="413" spans="1:18" x14ac:dyDescent="0.25">
      <c r="A413" s="52" t="s">
        <v>277</v>
      </c>
      <c r="B413" s="53"/>
      <c r="C413" s="52">
        <v>4677</v>
      </c>
      <c r="D413" s="54">
        <v>4666</v>
      </c>
      <c r="E413" s="43">
        <v>4977</v>
      </c>
      <c r="F413" s="54">
        <v>5821</v>
      </c>
      <c r="G413" s="54">
        <v>6039</v>
      </c>
      <c r="H413" s="54">
        <v>6800</v>
      </c>
      <c r="I413" s="54">
        <v>6957.7999999999993</v>
      </c>
      <c r="J413" s="54">
        <v>7128.3746999999994</v>
      </c>
      <c r="K413" s="54">
        <v>7304.6238452999996</v>
      </c>
      <c r="L413" s="54">
        <v>7480.2421440668986</v>
      </c>
      <c r="M413" s="54">
        <v>7652.6706159220957</v>
      </c>
      <c r="N413" s="54">
        <v>7834.3623758092717</v>
      </c>
      <c r="O413" s="54">
        <v>8036.0721809971001</v>
      </c>
      <c r="P413" s="54">
        <v>8244.7370893679763</v>
      </c>
      <c r="Q413" s="54">
        <v>8451.5297232647081</v>
      </c>
      <c r="R413" s="54">
        <v>8663.5886244625272</v>
      </c>
    </row>
    <row r="414" spans="1:18" x14ac:dyDescent="0.25">
      <c r="A414" s="52" t="s">
        <v>278</v>
      </c>
      <c r="B414" s="53"/>
      <c r="C414" s="52">
        <v>0</v>
      </c>
      <c r="D414" s="54">
        <v>33</v>
      </c>
      <c r="E414" s="43">
        <v>45</v>
      </c>
      <c r="F414" s="54">
        <v>0</v>
      </c>
      <c r="G414" s="54">
        <v>0</v>
      </c>
      <c r="H414" s="54">
        <v>100</v>
      </c>
      <c r="I414" s="54">
        <f t="shared" ref="I414" si="323">H414*1.023</f>
        <v>102.3</v>
      </c>
      <c r="J414" s="54">
        <f t="shared" ref="J414:K414" si="324">I414*1.024</f>
        <v>104.7552</v>
      </c>
      <c r="K414" s="54">
        <f t="shared" si="324"/>
        <v>107.26932480000001</v>
      </c>
      <c r="L414" s="54">
        <f t="shared" ref="L414" si="325">K414*1.023</f>
        <v>109.7365192704</v>
      </c>
      <c r="M414" s="54">
        <f t="shared" ref="M414" si="326">L414*1.022</f>
        <v>112.1507226943488</v>
      </c>
      <c r="N414" s="54">
        <f t="shared" ref="N414" si="327">M414*1.023</f>
        <v>114.73018931631881</v>
      </c>
      <c r="O414" s="54">
        <f t="shared" ref="O414:P414" si="328">N414*1.025</f>
        <v>117.59844404922677</v>
      </c>
      <c r="P414" s="54">
        <f t="shared" si="328"/>
        <v>120.53840515045744</v>
      </c>
      <c r="Q414" s="54">
        <f t="shared" ref="Q414:R414" si="329">P414*1.024</f>
        <v>123.43132687406842</v>
      </c>
      <c r="R414" s="54">
        <f t="shared" si="329"/>
        <v>126.39367871904606</v>
      </c>
    </row>
    <row r="415" spans="1:18" x14ac:dyDescent="0.25">
      <c r="A415" s="52" t="s">
        <v>261</v>
      </c>
      <c r="B415" s="53"/>
      <c r="C415" s="52">
        <v>61269</v>
      </c>
      <c r="D415" s="54">
        <v>69907</v>
      </c>
      <c r="E415" s="50">
        <f>72582-552.2+168.39</f>
        <v>72198.19</v>
      </c>
      <c r="F415" s="54">
        <v>91751</v>
      </c>
      <c r="G415" s="54">
        <v>67153</v>
      </c>
      <c r="H415" s="54">
        <v>75700</v>
      </c>
      <c r="I415" s="54">
        <v>77458.899999999994</v>
      </c>
      <c r="J415" s="54">
        <v>79363.526100000003</v>
      </c>
      <c r="K415" s="54">
        <v>81333.960093900008</v>
      </c>
      <c r="L415" s="54">
        <v>83301.421687334703</v>
      </c>
      <c r="M415" s="54">
        <v>85234.027232603141</v>
      </c>
      <c r="N415" s="54">
        <v>87266.631270262456</v>
      </c>
      <c r="O415" s="54">
        <v>89522.685105667741</v>
      </c>
      <c r="P415" s="54">
        <v>91859.454553636489</v>
      </c>
      <c r="Q415" s="54">
        <v>94177.479462055082</v>
      </c>
      <c r="R415" s="54">
        <v>96554.992500246168</v>
      </c>
    </row>
    <row r="416" spans="1:18" x14ac:dyDescent="0.25">
      <c r="A416" s="52" t="s">
        <v>262</v>
      </c>
      <c r="B416" s="53"/>
      <c r="C416" s="67">
        <v>1796</v>
      </c>
      <c r="D416" s="54">
        <v>1198</v>
      </c>
      <c r="E416" s="50">
        <f>2935-65+200-2775.37</f>
        <v>294.63000000000011</v>
      </c>
      <c r="F416" s="54">
        <v>633</v>
      </c>
      <c r="G416" s="54">
        <v>118</v>
      </c>
      <c r="H416" s="54">
        <v>1000</v>
      </c>
      <c r="I416" s="54">
        <v>1023.5999999999999</v>
      </c>
      <c r="J416" s="54">
        <v>1049.7039</v>
      </c>
      <c r="K416" s="54">
        <v>1077.1117161</v>
      </c>
      <c r="L416" s="54">
        <v>1105.1475499953001</v>
      </c>
      <c r="M416" s="54">
        <v>1132.8307152462214</v>
      </c>
      <c r="N416" s="54">
        <v>1161.3202512915848</v>
      </c>
      <c r="O416" s="54">
        <v>1192.8607200564161</v>
      </c>
      <c r="P416" s="54">
        <v>1226.009282563233</v>
      </c>
      <c r="Q416" s="54">
        <v>1259.2559098098509</v>
      </c>
      <c r="R416" s="54">
        <v>1293.430417862201</v>
      </c>
    </row>
    <row r="417" spans="1:18" x14ac:dyDescent="0.25">
      <c r="A417" s="52" t="s">
        <v>279</v>
      </c>
      <c r="B417" s="53"/>
      <c r="C417" s="52">
        <v>13662</v>
      </c>
      <c r="D417" s="50">
        <v>15010</v>
      </c>
      <c r="E417" s="50">
        <f>21966-2145.45+87.32</f>
        <v>19907.87</v>
      </c>
      <c r="F417" s="50">
        <v>19074</v>
      </c>
      <c r="G417" s="50">
        <v>16243</v>
      </c>
      <c r="H417" s="50">
        <v>19800</v>
      </c>
      <c r="I417" s="50">
        <v>20263.399999999998</v>
      </c>
      <c r="J417" s="50">
        <v>20770.221599999997</v>
      </c>
      <c r="K417" s="50">
        <v>21298.239218399998</v>
      </c>
      <c r="L417" s="50">
        <v>21831.595579423196</v>
      </c>
      <c r="M417" s="50">
        <v>22356.822937517507</v>
      </c>
      <c r="N417" s="50">
        <v>22903.488926343078</v>
      </c>
      <c r="O417" s="50">
        <v>23509.508982602209</v>
      </c>
      <c r="P417" s="50">
        <v>24141.607300572679</v>
      </c>
      <c r="Q417" s="50">
        <v>24771.971268654426</v>
      </c>
      <c r="R417" s="68">
        <v>25419.196795327654</v>
      </c>
    </row>
    <row r="418" spans="1:18" x14ac:dyDescent="0.25">
      <c r="A418" s="52" t="s">
        <v>265</v>
      </c>
      <c r="B418" s="53"/>
      <c r="C418" s="67">
        <v>6461</v>
      </c>
      <c r="D418" s="50">
        <v>15326</v>
      </c>
      <c r="E418" s="50">
        <f>250+2775.37+812.75</f>
        <v>3838.12</v>
      </c>
      <c r="F418" s="50">
        <v>3974</v>
      </c>
      <c r="G418" s="50">
        <v>5854</v>
      </c>
      <c r="H418" s="50">
        <v>4400</v>
      </c>
      <c r="I418" s="50">
        <v>4503</v>
      </c>
      <c r="J418" s="50">
        <v>4615.6844999999994</v>
      </c>
      <c r="K418" s="50">
        <v>4733.1056954999995</v>
      </c>
      <c r="L418" s="50">
        <v>4851.7539197714996</v>
      </c>
      <c r="M418" s="50">
        <v>4968.6022634595465</v>
      </c>
      <c r="N418" s="50">
        <v>5090.1834043032177</v>
      </c>
      <c r="O418" s="50">
        <v>5224.960376858422</v>
      </c>
      <c r="P418" s="50">
        <v>5365.5655197961014</v>
      </c>
      <c r="Q418" s="50">
        <v>5505.8063056665096</v>
      </c>
      <c r="R418" s="50">
        <v>5649.802755653247</v>
      </c>
    </row>
    <row r="419" spans="1:18" x14ac:dyDescent="0.25">
      <c r="A419" s="52" t="s">
        <v>267</v>
      </c>
      <c r="B419" s="53"/>
      <c r="C419" s="67"/>
      <c r="D419" s="50">
        <v>16227</v>
      </c>
      <c r="E419" s="43">
        <v>2493</v>
      </c>
      <c r="F419" s="50">
        <v>35446</v>
      </c>
      <c r="G419" s="50">
        <v>0</v>
      </c>
      <c r="H419" s="50">
        <v>33000</v>
      </c>
      <c r="I419" s="50">
        <v>0</v>
      </c>
      <c r="J419" s="50">
        <v>34600</v>
      </c>
      <c r="K419" s="50">
        <v>0</v>
      </c>
      <c r="L419" s="50">
        <v>36200</v>
      </c>
      <c r="M419" s="50">
        <v>0</v>
      </c>
      <c r="N419" s="50">
        <v>37800</v>
      </c>
      <c r="O419" s="50">
        <v>0</v>
      </c>
      <c r="P419" s="50">
        <v>38800</v>
      </c>
      <c r="Q419" s="50">
        <v>0</v>
      </c>
      <c r="R419" s="50">
        <v>40800</v>
      </c>
    </row>
    <row r="420" spans="1:18" x14ac:dyDescent="0.25">
      <c r="A420" s="52" t="s">
        <v>280</v>
      </c>
      <c r="B420" s="53"/>
      <c r="C420" s="59">
        <v>402</v>
      </c>
      <c r="D420" s="54">
        <v>1640</v>
      </c>
      <c r="E420" s="50">
        <v>459</v>
      </c>
      <c r="F420" s="54">
        <v>1082</v>
      </c>
      <c r="G420" s="54">
        <v>1138</v>
      </c>
      <c r="H420" s="54">
        <v>1800</v>
      </c>
      <c r="I420" s="54">
        <f t="shared" ref="I420:I421" si="330">H420*1.023</f>
        <v>1841.3999999999999</v>
      </c>
      <c r="J420" s="54">
        <f t="shared" ref="J420:K421" si="331">I420*1.024</f>
        <v>1885.5935999999999</v>
      </c>
      <c r="K420" s="54">
        <f t="shared" si="331"/>
        <v>1930.8478464</v>
      </c>
      <c r="L420" s="54">
        <f t="shared" ref="L420:L421" si="332">K420*1.023</f>
        <v>1975.2573468671999</v>
      </c>
      <c r="M420" s="54">
        <f t="shared" ref="M420:M421" si="333">L420*1.022</f>
        <v>2018.7130084982782</v>
      </c>
      <c r="N420" s="54">
        <f t="shared" ref="N420:N421" si="334">M420*1.023</f>
        <v>2065.1434076937385</v>
      </c>
      <c r="O420" s="54">
        <f t="shared" ref="O420:P421" si="335">N420*1.025</f>
        <v>2116.7719928860815</v>
      </c>
      <c r="P420" s="54">
        <f t="shared" si="335"/>
        <v>2169.6912927082335</v>
      </c>
      <c r="Q420" s="54">
        <f t="shared" ref="Q420:R421" si="336">P420*1.024</f>
        <v>2221.7638837332311</v>
      </c>
      <c r="R420" s="54">
        <f t="shared" si="336"/>
        <v>2275.0862169428287</v>
      </c>
    </row>
    <row r="421" spans="1:18" x14ac:dyDescent="0.25">
      <c r="A421" s="52" t="s">
        <v>281</v>
      </c>
      <c r="B421" s="53"/>
      <c r="C421" s="59">
        <v>1218</v>
      </c>
      <c r="D421" s="54">
        <v>953</v>
      </c>
      <c r="E421" s="50">
        <f>1927+40.3</f>
        <v>1967.3</v>
      </c>
      <c r="F421" s="54">
        <v>1584</v>
      </c>
      <c r="G421" s="54">
        <v>1210</v>
      </c>
      <c r="H421" s="54">
        <v>2000</v>
      </c>
      <c r="I421" s="54">
        <f t="shared" si="330"/>
        <v>2045.9999999999998</v>
      </c>
      <c r="J421" s="54">
        <f t="shared" si="331"/>
        <v>2095.1039999999998</v>
      </c>
      <c r="K421" s="54">
        <f t="shared" si="331"/>
        <v>2145.3864960000001</v>
      </c>
      <c r="L421" s="54">
        <f t="shared" si="332"/>
        <v>2194.7303854080001</v>
      </c>
      <c r="M421" s="54">
        <f t="shared" si="333"/>
        <v>2243.0144538869763</v>
      </c>
      <c r="N421" s="54">
        <f t="shared" si="334"/>
        <v>2294.6037863263764</v>
      </c>
      <c r="O421" s="54">
        <f t="shared" si="335"/>
        <v>2351.9688809845356</v>
      </c>
      <c r="P421" s="54">
        <f t="shared" si="335"/>
        <v>2410.7681030091489</v>
      </c>
      <c r="Q421" s="54">
        <f t="shared" si="336"/>
        <v>2468.6265374813684</v>
      </c>
      <c r="R421" s="54">
        <f t="shared" si="336"/>
        <v>2527.8735743809211</v>
      </c>
    </row>
    <row r="422" spans="1:18" x14ac:dyDescent="0.25">
      <c r="A422" s="52" t="s">
        <v>264</v>
      </c>
      <c r="B422" s="53"/>
      <c r="C422" s="59">
        <v>18541</v>
      </c>
      <c r="D422" s="50">
        <v>20305</v>
      </c>
      <c r="E422" s="50">
        <f>23069-40.3+280.66</f>
        <v>23309.360000000001</v>
      </c>
      <c r="F422" s="50">
        <v>25335</v>
      </c>
      <c r="G422" s="50">
        <v>21851</v>
      </c>
      <c r="H422" s="50">
        <v>23700</v>
      </c>
      <c r="I422" s="50">
        <v>24251.099999999995</v>
      </c>
      <c r="J422" s="50">
        <v>24848.501399999994</v>
      </c>
      <c r="K422" s="50">
        <v>25467.014658599994</v>
      </c>
      <c r="L422" s="50">
        <v>26085.378639997794</v>
      </c>
      <c r="M422" s="50">
        <v>26692.956161587994</v>
      </c>
      <c r="N422" s="50">
        <v>27331.238449251523</v>
      </c>
      <c r="O422" s="50">
        <v>28039.594035308222</v>
      </c>
      <c r="P422" s="50">
        <v>28773.854331244987</v>
      </c>
      <c r="Q422" s="50">
        <v>29502.650879845871</v>
      </c>
      <c r="R422" s="50">
        <v>30250.238163131311</v>
      </c>
    </row>
    <row r="423" spans="1:18" x14ac:dyDescent="0.25">
      <c r="A423" s="52" t="s">
        <v>268</v>
      </c>
      <c r="B423" s="53"/>
      <c r="C423" s="59">
        <v>13073</v>
      </c>
      <c r="D423" s="50">
        <v>11899</v>
      </c>
      <c r="E423" s="50">
        <f>11387+8.57</f>
        <v>11395.57</v>
      </c>
      <c r="F423" s="50">
        <v>10585</v>
      </c>
      <c r="G423" s="50">
        <v>6637</v>
      </c>
      <c r="H423" s="50">
        <v>8000</v>
      </c>
      <c r="I423" s="50">
        <v>8184.9999999999991</v>
      </c>
      <c r="J423" s="50">
        <v>8384.0024999999987</v>
      </c>
      <c r="K423" s="50">
        <v>8588.9100975000001</v>
      </c>
      <c r="L423" s="50">
        <v>8791.8921371174984</v>
      </c>
      <c r="M423" s="50">
        <v>8990.9302960524583</v>
      </c>
      <c r="N423" s="50">
        <v>9201.7790755194965</v>
      </c>
      <c r="O423" s="50">
        <v>9436.0026565450535</v>
      </c>
      <c r="P423" s="50">
        <v>9677.4477971343567</v>
      </c>
      <c r="Q423" s="50">
        <v>9916.0772183740828</v>
      </c>
      <c r="R423" s="50">
        <v>10160.650348643248</v>
      </c>
    </row>
    <row r="424" spans="1:18" x14ac:dyDescent="0.25">
      <c r="A424" s="52" t="s">
        <v>269</v>
      </c>
      <c r="B424" s="53"/>
      <c r="C424" s="59">
        <v>11303</v>
      </c>
      <c r="D424" s="50">
        <v>0</v>
      </c>
      <c r="E424" s="43">
        <v>0</v>
      </c>
      <c r="F424" s="50">
        <v>0</v>
      </c>
      <c r="G424" s="50">
        <v>0</v>
      </c>
      <c r="H424" s="50">
        <v>0</v>
      </c>
      <c r="I424" s="50">
        <v>0</v>
      </c>
      <c r="J424" s="50">
        <v>0</v>
      </c>
      <c r="K424" s="50">
        <v>0</v>
      </c>
      <c r="L424" s="50">
        <v>0</v>
      </c>
      <c r="M424" s="50">
        <v>0</v>
      </c>
      <c r="N424" s="50">
        <v>0</v>
      </c>
      <c r="O424" s="50">
        <v>0</v>
      </c>
      <c r="P424" s="50">
        <v>0</v>
      </c>
      <c r="Q424" s="50">
        <v>0</v>
      </c>
      <c r="R424" s="50">
        <v>0</v>
      </c>
    </row>
    <row r="425" spans="1:18" x14ac:dyDescent="0.25">
      <c r="A425" s="52" t="s">
        <v>270</v>
      </c>
      <c r="B425" s="53"/>
      <c r="C425" s="52">
        <v>59147</v>
      </c>
      <c r="D425" s="50">
        <v>5000</v>
      </c>
      <c r="E425" s="43">
        <v>5000</v>
      </c>
      <c r="F425" s="67">
        <v>0</v>
      </c>
      <c r="G425" s="67">
        <v>0</v>
      </c>
      <c r="H425" s="67">
        <v>0</v>
      </c>
      <c r="I425" s="50">
        <v>0</v>
      </c>
      <c r="J425" s="50">
        <v>0</v>
      </c>
      <c r="K425" s="50">
        <v>0</v>
      </c>
      <c r="L425" s="50">
        <v>0</v>
      </c>
      <c r="M425" s="50">
        <v>0</v>
      </c>
      <c r="N425" s="50">
        <v>0</v>
      </c>
      <c r="O425" s="50">
        <v>0</v>
      </c>
      <c r="P425" s="50">
        <v>0</v>
      </c>
      <c r="Q425" s="50">
        <v>0</v>
      </c>
      <c r="R425" s="50">
        <v>0</v>
      </c>
    </row>
    <row r="426" spans="1:18" x14ac:dyDescent="0.25">
      <c r="A426" s="52" t="s">
        <v>282</v>
      </c>
      <c r="B426" s="53"/>
      <c r="C426" s="59">
        <v>0</v>
      </c>
      <c r="D426" s="54">
        <v>0</v>
      </c>
      <c r="E426" s="43">
        <v>0</v>
      </c>
      <c r="F426" s="54">
        <v>0</v>
      </c>
      <c r="G426" s="54">
        <v>0</v>
      </c>
      <c r="H426" s="54">
        <v>0</v>
      </c>
      <c r="I426" s="54">
        <v>0</v>
      </c>
      <c r="J426" s="54">
        <v>0</v>
      </c>
      <c r="K426" s="54">
        <v>0</v>
      </c>
      <c r="L426" s="54">
        <v>0</v>
      </c>
      <c r="M426" s="54">
        <v>0</v>
      </c>
      <c r="N426" s="54">
        <v>0</v>
      </c>
      <c r="O426" s="54">
        <v>0</v>
      </c>
      <c r="P426" s="54">
        <v>0</v>
      </c>
      <c r="Q426" s="54">
        <f>P426*1.024</f>
        <v>0</v>
      </c>
      <c r="R426" s="54">
        <f>Q426*1.024</f>
        <v>0</v>
      </c>
    </row>
    <row r="427" spans="1:18" x14ac:dyDescent="0.25">
      <c r="A427" s="52" t="s">
        <v>283</v>
      </c>
      <c r="B427" s="53"/>
      <c r="C427" s="68">
        <v>622</v>
      </c>
      <c r="D427" s="54">
        <v>151</v>
      </c>
      <c r="E427" s="43">
        <v>75</v>
      </c>
      <c r="F427" s="54">
        <v>951</v>
      </c>
      <c r="G427" s="50">
        <v>0</v>
      </c>
      <c r="H427" s="50">
        <v>600</v>
      </c>
      <c r="I427" s="54">
        <f>H427*1.023</f>
        <v>613.79999999999995</v>
      </c>
      <c r="J427" s="54">
        <f t="shared" ref="J427:K427" si="337">I427*1.024</f>
        <v>628.53120000000001</v>
      </c>
      <c r="K427" s="54">
        <f t="shared" si="337"/>
        <v>643.61594880000007</v>
      </c>
      <c r="L427" s="54">
        <f t="shared" ref="L427" si="338">K427*1.023</f>
        <v>658.4191156224</v>
      </c>
      <c r="M427" s="54">
        <f t="shared" ref="M427" si="339">L427*1.022</f>
        <v>672.90433616609278</v>
      </c>
      <c r="N427" s="54">
        <f t="shared" ref="N427" si="340">M427*1.023</f>
        <v>688.38113589791283</v>
      </c>
      <c r="O427" s="54">
        <f t="shared" ref="O427:P427" si="341">N427*1.025</f>
        <v>705.59066429536063</v>
      </c>
      <c r="P427" s="54">
        <f t="shared" si="341"/>
        <v>723.23043090274462</v>
      </c>
      <c r="Q427" s="54">
        <f t="shared" ref="Q427:R427" si="342">P427*1.024</f>
        <v>740.58796124441051</v>
      </c>
      <c r="R427" s="54">
        <f t="shared" si="342"/>
        <v>758.36207231427636</v>
      </c>
    </row>
    <row r="428" spans="1:18" x14ac:dyDescent="0.25">
      <c r="A428" s="52" t="s">
        <v>284</v>
      </c>
      <c r="B428" s="53"/>
      <c r="C428" s="68"/>
      <c r="D428" s="54"/>
      <c r="E428" s="43">
        <v>19654</v>
      </c>
      <c r="F428" s="54">
        <v>28664</v>
      </c>
      <c r="G428" s="50">
        <v>0</v>
      </c>
      <c r="H428" s="50">
        <v>0</v>
      </c>
      <c r="I428" s="50">
        <v>14000</v>
      </c>
      <c r="J428" s="50">
        <v>0</v>
      </c>
      <c r="K428" s="50">
        <v>14700</v>
      </c>
      <c r="L428" s="50">
        <v>0</v>
      </c>
      <c r="M428" s="50">
        <v>15400</v>
      </c>
      <c r="N428" s="50">
        <v>0</v>
      </c>
      <c r="O428" s="50">
        <v>16200</v>
      </c>
      <c r="P428" s="50">
        <v>0</v>
      </c>
      <c r="Q428" s="50">
        <v>17000</v>
      </c>
      <c r="R428" s="50">
        <v>0</v>
      </c>
    </row>
    <row r="429" spans="1:18" x14ac:dyDescent="0.25">
      <c r="A429" s="43" t="s">
        <v>285</v>
      </c>
      <c r="C429" s="59">
        <v>0</v>
      </c>
      <c r="D429" s="50"/>
      <c r="E429" s="43">
        <v>0</v>
      </c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</row>
    <row r="430" spans="1:18" x14ac:dyDescent="0.25">
      <c r="A430" s="52" t="s">
        <v>286</v>
      </c>
      <c r="B430" s="53"/>
      <c r="C430" s="59">
        <v>10000</v>
      </c>
      <c r="D430" s="54">
        <v>9225</v>
      </c>
      <c r="E430" s="43">
        <v>10011</v>
      </c>
      <c r="F430" s="50">
        <v>16093</v>
      </c>
      <c r="G430" s="50">
        <v>9564</v>
      </c>
      <c r="H430" s="50">
        <v>15000</v>
      </c>
      <c r="I430" s="54">
        <f>H430*1.023</f>
        <v>15344.999999999998</v>
      </c>
      <c r="J430" s="54">
        <f t="shared" ref="J430:K430" si="343">I430*1.024</f>
        <v>15713.279999999999</v>
      </c>
      <c r="K430" s="54">
        <f t="shared" si="343"/>
        <v>16090.398719999999</v>
      </c>
      <c r="L430" s="54">
        <f t="shared" ref="L430" si="344">K430*1.023</f>
        <v>16460.477890559996</v>
      </c>
      <c r="M430" s="54">
        <f t="shared" ref="M430" si="345">L430*1.022</f>
        <v>16822.608404152317</v>
      </c>
      <c r="N430" s="54">
        <f t="shared" ref="N430" si="346">M430*1.023</f>
        <v>17209.528397447819</v>
      </c>
      <c r="O430" s="54">
        <f t="shared" ref="O430:P430" si="347">N430*1.025</f>
        <v>17639.766607384012</v>
      </c>
      <c r="P430" s="54">
        <f t="shared" si="347"/>
        <v>18080.76077256861</v>
      </c>
      <c r="Q430" s="54">
        <f t="shared" ref="Q430:R430" si="348">P430*1.024</f>
        <v>18514.699031110256</v>
      </c>
      <c r="R430" s="54">
        <f t="shared" si="348"/>
        <v>18959.051807856904</v>
      </c>
    </row>
    <row r="431" spans="1:18" x14ac:dyDescent="0.25">
      <c r="A431" s="52"/>
      <c r="B431" s="53"/>
      <c r="C431" s="50"/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</row>
    <row r="432" spans="1:18" x14ac:dyDescent="0.25">
      <c r="A432" s="41" t="s">
        <v>230</v>
      </c>
      <c r="B432" s="44"/>
      <c r="C432" s="51">
        <f t="shared" ref="C432:Q432" si="349">SUM(C403:C430)</f>
        <v>534428</v>
      </c>
      <c r="D432" s="51">
        <f t="shared" si="349"/>
        <v>490034</v>
      </c>
      <c r="E432" s="51">
        <f t="shared" si="349"/>
        <v>507271.14999999997</v>
      </c>
      <c r="F432" s="51">
        <f t="shared" si="349"/>
        <v>569198</v>
      </c>
      <c r="G432" s="51">
        <f t="shared" si="349"/>
        <v>489180</v>
      </c>
      <c r="H432" s="51">
        <f>SUM(H403:H430)</f>
        <v>567930</v>
      </c>
      <c r="I432" s="51">
        <f t="shared" si="349"/>
        <v>561794.6</v>
      </c>
      <c r="J432" s="51">
        <f t="shared" si="349"/>
        <v>597012.26289999986</v>
      </c>
      <c r="K432" s="51">
        <f t="shared" si="349"/>
        <v>592738.52695709991</v>
      </c>
      <c r="L432" s="51">
        <f t="shared" si="349"/>
        <v>630799.68183378829</v>
      </c>
      <c r="M432" s="51">
        <f t="shared" si="349"/>
        <v>626329.96632977703</v>
      </c>
      <c r="N432" s="51">
        <f t="shared" si="349"/>
        <v>665121.03669181583</v>
      </c>
      <c r="O432" s="51">
        <f t="shared" si="349"/>
        <v>661612.55867965892</v>
      </c>
      <c r="P432" s="51">
        <f t="shared" si="349"/>
        <v>703552.1828614003</v>
      </c>
      <c r="Q432" s="51">
        <f t="shared" si="349"/>
        <v>701512.58998568589</v>
      </c>
      <c r="R432" s="51">
        <f t="shared" ref="R432" si="350">SUM(R403:R430)</f>
        <v>745550.55974196584</v>
      </c>
    </row>
    <row r="433" spans="1:18" x14ac:dyDescent="0.25">
      <c r="C433" s="50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</row>
    <row r="434" spans="1:18" x14ac:dyDescent="0.25">
      <c r="A434" s="41" t="s">
        <v>287</v>
      </c>
      <c r="B434" s="44"/>
      <c r="C434" s="51">
        <f t="shared" ref="C434:R434" si="351">C432-C399</f>
        <v>317972</v>
      </c>
      <c r="D434" s="51">
        <f t="shared" si="351"/>
        <v>286354</v>
      </c>
      <c r="E434" s="51">
        <f t="shared" si="351"/>
        <v>303325.12</v>
      </c>
      <c r="F434" s="51">
        <f t="shared" si="351"/>
        <v>335781</v>
      </c>
      <c r="G434" s="51">
        <f t="shared" si="351"/>
        <v>284605</v>
      </c>
      <c r="H434" s="51">
        <f t="shared" si="351"/>
        <v>324057</v>
      </c>
      <c r="I434" s="51">
        <f t="shared" si="351"/>
        <v>332518.59999999998</v>
      </c>
      <c r="J434" s="51">
        <f t="shared" si="351"/>
        <v>341925.63889999985</v>
      </c>
      <c r="K434" s="51">
        <f t="shared" si="351"/>
        <v>352257.42398109986</v>
      </c>
      <c r="L434" s="51">
        <f t="shared" si="351"/>
        <v>363652.7434893403</v>
      </c>
      <c r="M434" s="51">
        <f t="shared" si="351"/>
        <v>374928.57534175122</v>
      </c>
      <c r="N434" s="51">
        <f t="shared" si="351"/>
        <v>385857.82371106546</v>
      </c>
      <c r="O434" s="51">
        <f t="shared" si="351"/>
        <v>397880.51537438977</v>
      </c>
      <c r="P434" s="51">
        <f t="shared" si="351"/>
        <v>411030.5884734994</v>
      </c>
      <c r="Q434" s="51">
        <f t="shared" si="351"/>
        <v>424730.31733247533</v>
      </c>
      <c r="R434" s="51">
        <f t="shared" si="351"/>
        <v>438741.67254507833</v>
      </c>
    </row>
    <row r="435" spans="1:18" x14ac:dyDescent="0.25">
      <c r="C435" s="50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</row>
    <row r="436" spans="1:18" x14ac:dyDescent="0.25">
      <c r="C436" s="50"/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</row>
    <row r="437" spans="1:18" x14ac:dyDescent="0.25">
      <c r="A437" s="41" t="s">
        <v>288</v>
      </c>
      <c r="B437" s="44"/>
      <c r="C437" s="50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</row>
    <row r="438" spans="1:18" x14ac:dyDescent="0.25">
      <c r="A438" s="41"/>
      <c r="B438" s="44"/>
      <c r="C438" s="50"/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</row>
    <row r="439" spans="1:18" x14ac:dyDescent="0.25">
      <c r="A439" s="41" t="s">
        <v>202</v>
      </c>
      <c r="B439" s="44"/>
      <c r="C439" s="50"/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</row>
    <row r="440" spans="1:18" x14ac:dyDescent="0.25">
      <c r="C440" s="50"/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</row>
    <row r="441" spans="1:18" x14ac:dyDescent="0.25">
      <c r="A441" s="52" t="s">
        <v>289</v>
      </c>
      <c r="B441" s="53"/>
      <c r="C441" s="52">
        <v>27820</v>
      </c>
      <c r="D441" s="54">
        <v>26759</v>
      </c>
      <c r="E441" s="43">
        <v>28703</v>
      </c>
      <c r="F441" s="54">
        <v>26597</v>
      </c>
      <c r="G441" s="54">
        <v>27994</v>
      </c>
      <c r="H441" s="54">
        <v>27800</v>
      </c>
      <c r="I441" s="54">
        <f>H441*1.023</f>
        <v>28439.399999999998</v>
      </c>
      <c r="J441" s="54">
        <f t="shared" ref="J441:K444" si="352">I441*1.024</f>
        <v>29121.945599999999</v>
      </c>
      <c r="K441" s="54">
        <f t="shared" si="352"/>
        <v>29820.8722944</v>
      </c>
      <c r="L441" s="54">
        <f t="shared" ref="L441:L444" si="353">K441*1.023</f>
        <v>30506.752357171197</v>
      </c>
      <c r="M441" s="54">
        <f t="shared" ref="M441:M444" si="354">L441*1.022</f>
        <v>31177.900909028966</v>
      </c>
      <c r="N441" s="54">
        <f t="shared" ref="N441:N444" si="355">M441*1.023</f>
        <v>31894.992629936631</v>
      </c>
      <c r="O441" s="54">
        <f t="shared" ref="O441:P444" si="356">N441*1.025</f>
        <v>32692.367445685042</v>
      </c>
      <c r="P441" s="54">
        <f t="shared" si="356"/>
        <v>33509.676631827162</v>
      </c>
      <c r="Q441" s="54">
        <f t="shared" ref="Q441:R444" si="357">P441*1.024</f>
        <v>34313.908870991014</v>
      </c>
      <c r="R441" s="54">
        <f t="shared" si="357"/>
        <v>35137.442683894798</v>
      </c>
    </row>
    <row r="442" spans="1:18" x14ac:dyDescent="0.25">
      <c r="A442" s="52" t="s">
        <v>290</v>
      </c>
      <c r="B442" s="53"/>
      <c r="C442" s="52">
        <v>2961</v>
      </c>
      <c r="D442" s="54">
        <v>3045</v>
      </c>
      <c r="E442" s="50">
        <f>3640-546.06</f>
        <v>3093.94</v>
      </c>
      <c r="F442" s="54">
        <v>3135</v>
      </c>
      <c r="G442" s="54">
        <v>3210</v>
      </c>
      <c r="H442" s="54">
        <v>3300</v>
      </c>
      <c r="I442" s="54">
        <f t="shared" ref="I442:I444" si="358">H442*1.023</f>
        <v>3375.8999999999996</v>
      </c>
      <c r="J442" s="54">
        <f t="shared" si="352"/>
        <v>3456.9215999999997</v>
      </c>
      <c r="K442" s="54">
        <f t="shared" si="352"/>
        <v>3539.8877183999998</v>
      </c>
      <c r="L442" s="54">
        <f t="shared" si="353"/>
        <v>3621.3051359231995</v>
      </c>
      <c r="M442" s="54">
        <f t="shared" si="354"/>
        <v>3700.9738489135098</v>
      </c>
      <c r="N442" s="54">
        <f t="shared" si="355"/>
        <v>3786.0962474385201</v>
      </c>
      <c r="O442" s="54">
        <f t="shared" si="356"/>
        <v>3880.7486536244828</v>
      </c>
      <c r="P442" s="54">
        <f t="shared" si="356"/>
        <v>3977.7673699650945</v>
      </c>
      <c r="Q442" s="54">
        <f t="shared" si="357"/>
        <v>4073.2337868442569</v>
      </c>
      <c r="R442" s="54">
        <f t="shared" si="357"/>
        <v>4170.9913977285196</v>
      </c>
    </row>
    <row r="443" spans="1:18" x14ac:dyDescent="0.25">
      <c r="A443" s="52" t="s">
        <v>291</v>
      </c>
      <c r="B443" s="53"/>
      <c r="C443" s="52">
        <v>3959</v>
      </c>
      <c r="D443" s="54">
        <v>4070</v>
      </c>
      <c r="E443" s="50">
        <f>4866-729.9</f>
        <v>4136.1000000000004</v>
      </c>
      <c r="F443" s="54">
        <v>4190</v>
      </c>
      <c r="G443" s="54">
        <v>4290</v>
      </c>
      <c r="H443" s="54">
        <v>5000</v>
      </c>
      <c r="I443" s="54">
        <f t="shared" si="358"/>
        <v>5115</v>
      </c>
      <c r="J443" s="54">
        <f t="shared" si="352"/>
        <v>5237.76</v>
      </c>
      <c r="K443" s="54">
        <f t="shared" si="352"/>
        <v>5363.4662400000007</v>
      </c>
      <c r="L443" s="54">
        <f t="shared" si="353"/>
        <v>5486.8259635200002</v>
      </c>
      <c r="M443" s="54">
        <f t="shared" si="354"/>
        <v>5607.5361347174403</v>
      </c>
      <c r="N443" s="54">
        <f t="shared" si="355"/>
        <v>5736.5094658159405</v>
      </c>
      <c r="O443" s="54">
        <f t="shared" si="356"/>
        <v>5879.9222024613382</v>
      </c>
      <c r="P443" s="54">
        <f t="shared" si="356"/>
        <v>6026.920257522871</v>
      </c>
      <c r="Q443" s="54">
        <f t="shared" si="357"/>
        <v>6171.56634370342</v>
      </c>
      <c r="R443" s="54">
        <f t="shared" si="357"/>
        <v>6319.6839359523019</v>
      </c>
    </row>
    <row r="444" spans="1:18" x14ac:dyDescent="0.25">
      <c r="A444" s="52" t="s">
        <v>292</v>
      </c>
      <c r="B444" s="53"/>
      <c r="C444" s="52">
        <v>46300</v>
      </c>
      <c r="D444" s="54">
        <v>48106</v>
      </c>
      <c r="E444" s="43">
        <f>65448-8946</f>
        <v>56502</v>
      </c>
      <c r="F444" s="54">
        <v>53209</v>
      </c>
      <c r="G444" s="54">
        <v>53943</v>
      </c>
      <c r="H444" s="54">
        <v>56000</v>
      </c>
      <c r="I444" s="54">
        <f t="shared" si="358"/>
        <v>57287.999999999993</v>
      </c>
      <c r="J444" s="54">
        <f t="shared" si="352"/>
        <v>58662.911999999997</v>
      </c>
      <c r="K444" s="54">
        <f t="shared" si="352"/>
        <v>60070.821887999999</v>
      </c>
      <c r="L444" s="54">
        <f t="shared" si="353"/>
        <v>61452.450791423995</v>
      </c>
      <c r="M444" s="54">
        <f t="shared" si="354"/>
        <v>62804.404708835325</v>
      </c>
      <c r="N444" s="54">
        <f t="shared" si="355"/>
        <v>64248.906017138535</v>
      </c>
      <c r="O444" s="54">
        <f t="shared" si="356"/>
        <v>65855.128667566998</v>
      </c>
      <c r="P444" s="54">
        <f t="shared" si="356"/>
        <v>67501.506884256174</v>
      </c>
      <c r="Q444" s="54">
        <f t="shared" si="357"/>
        <v>69121.543049478321</v>
      </c>
      <c r="R444" s="54">
        <f t="shared" si="357"/>
        <v>70780.460082665799</v>
      </c>
    </row>
    <row r="445" spans="1:18" x14ac:dyDescent="0.25">
      <c r="A445" s="52" t="s">
        <v>293</v>
      </c>
      <c r="B445" s="53"/>
      <c r="C445" s="52">
        <v>0</v>
      </c>
      <c r="D445" s="54"/>
      <c r="E445" s="43">
        <v>0</v>
      </c>
      <c r="F445" s="54"/>
      <c r="G445" s="54">
        <v>0</v>
      </c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</row>
    <row r="446" spans="1:18" x14ac:dyDescent="0.25">
      <c r="A446" s="52" t="s">
        <v>294</v>
      </c>
      <c r="B446" s="53"/>
      <c r="C446" s="52">
        <v>0</v>
      </c>
      <c r="D446" s="54"/>
      <c r="E446" s="43">
        <v>0</v>
      </c>
      <c r="F446" s="54"/>
      <c r="G446" s="54">
        <v>0</v>
      </c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</row>
    <row r="447" spans="1:18" x14ac:dyDescent="0.25">
      <c r="A447" s="52" t="s">
        <v>295</v>
      </c>
      <c r="B447" s="53"/>
      <c r="C447" s="52">
        <v>0</v>
      </c>
      <c r="D447" s="54">
        <f>C447*1.026</f>
        <v>0</v>
      </c>
      <c r="E447" s="43">
        <v>0</v>
      </c>
      <c r="F447" s="54">
        <v>0</v>
      </c>
      <c r="G447" s="54">
        <v>0</v>
      </c>
      <c r="H447" s="54">
        <v>0</v>
      </c>
      <c r="I447" s="54">
        <f t="shared" ref="I447:I452" si="359">H447*1.023</f>
        <v>0</v>
      </c>
      <c r="J447" s="54">
        <f t="shared" ref="J447:K450" si="360">I447*1.024</f>
        <v>0</v>
      </c>
      <c r="K447" s="54">
        <f t="shared" si="360"/>
        <v>0</v>
      </c>
      <c r="L447" s="54">
        <f t="shared" ref="L447:L450" si="361">K447*1.023</f>
        <v>0</v>
      </c>
      <c r="M447" s="54">
        <f t="shared" ref="M447:M450" si="362">L447*1.022</f>
        <v>0</v>
      </c>
      <c r="N447" s="54">
        <f t="shared" ref="N447:N450" si="363">M447*1.023</f>
        <v>0</v>
      </c>
      <c r="O447" s="54">
        <f t="shared" ref="O447:R452" si="364">N447*1.025</f>
        <v>0</v>
      </c>
      <c r="P447" s="54">
        <f t="shared" si="364"/>
        <v>0</v>
      </c>
      <c r="Q447" s="54">
        <f t="shared" ref="Q447:R450" si="365">P447*1.024</f>
        <v>0</v>
      </c>
      <c r="R447" s="54">
        <f t="shared" si="365"/>
        <v>0</v>
      </c>
    </row>
    <row r="448" spans="1:18" x14ac:dyDescent="0.25">
      <c r="A448" s="52" t="s">
        <v>296</v>
      </c>
      <c r="B448" s="53"/>
      <c r="C448" s="52">
        <v>1025</v>
      </c>
      <c r="D448" s="54">
        <v>1920</v>
      </c>
      <c r="E448" s="43">
        <f>2927-500</f>
        <v>2427</v>
      </c>
      <c r="F448" s="54">
        <v>1082</v>
      </c>
      <c r="G448" s="54">
        <v>700</v>
      </c>
      <c r="H448" s="54">
        <v>2000</v>
      </c>
      <c r="I448" s="54">
        <f t="shared" si="359"/>
        <v>2045.9999999999998</v>
      </c>
      <c r="J448" s="54">
        <f t="shared" si="360"/>
        <v>2095.1039999999998</v>
      </c>
      <c r="K448" s="54">
        <f t="shared" si="360"/>
        <v>2145.3864960000001</v>
      </c>
      <c r="L448" s="54">
        <f t="shared" si="361"/>
        <v>2194.7303854080001</v>
      </c>
      <c r="M448" s="54">
        <f t="shared" si="362"/>
        <v>2243.0144538869763</v>
      </c>
      <c r="N448" s="54">
        <f t="shared" si="363"/>
        <v>2294.6037863263764</v>
      </c>
      <c r="O448" s="54">
        <f t="shared" si="364"/>
        <v>2351.9688809845356</v>
      </c>
      <c r="P448" s="54">
        <f t="shared" si="364"/>
        <v>2410.7681030091489</v>
      </c>
      <c r="Q448" s="54">
        <f t="shared" si="365"/>
        <v>2468.6265374813684</v>
      </c>
      <c r="R448" s="54">
        <f t="shared" si="365"/>
        <v>2527.8735743809211</v>
      </c>
    </row>
    <row r="449" spans="1:18" x14ac:dyDescent="0.25">
      <c r="A449" s="52" t="s">
        <v>297</v>
      </c>
      <c r="B449" s="53"/>
      <c r="C449" s="50">
        <v>550</v>
      </c>
      <c r="D449" s="54">
        <v>800</v>
      </c>
      <c r="E449" s="43">
        <v>500</v>
      </c>
      <c r="F449" s="54">
        <v>1000</v>
      </c>
      <c r="G449" s="54">
        <v>1000</v>
      </c>
      <c r="H449" s="54">
        <v>1000</v>
      </c>
      <c r="I449" s="54">
        <f t="shared" si="359"/>
        <v>1022.9999999999999</v>
      </c>
      <c r="J449" s="54">
        <f t="shared" si="360"/>
        <v>1047.5519999999999</v>
      </c>
      <c r="K449" s="54">
        <f t="shared" si="360"/>
        <v>1072.693248</v>
      </c>
      <c r="L449" s="54">
        <f t="shared" si="361"/>
        <v>1097.365192704</v>
      </c>
      <c r="M449" s="54">
        <f t="shared" si="362"/>
        <v>1121.5072269434881</v>
      </c>
      <c r="N449" s="54">
        <f t="shared" si="363"/>
        <v>1147.3018931631882</v>
      </c>
      <c r="O449" s="54">
        <f t="shared" si="364"/>
        <v>1175.9844404922678</v>
      </c>
      <c r="P449" s="54">
        <f t="shared" si="364"/>
        <v>1205.3840515045745</v>
      </c>
      <c r="Q449" s="54">
        <f t="shared" si="365"/>
        <v>1234.3132687406842</v>
      </c>
      <c r="R449" s="54">
        <f t="shared" si="365"/>
        <v>1263.9367871904606</v>
      </c>
    </row>
    <row r="450" spans="1:18" x14ac:dyDescent="0.25">
      <c r="A450" s="52" t="s">
        <v>298</v>
      </c>
      <c r="B450" s="53"/>
      <c r="C450" s="59">
        <v>0</v>
      </c>
      <c r="D450" s="50">
        <v>0</v>
      </c>
      <c r="E450" s="43">
        <v>0</v>
      </c>
      <c r="F450" s="50">
        <v>0</v>
      </c>
      <c r="G450" s="50">
        <v>0</v>
      </c>
      <c r="H450" s="50">
        <v>0</v>
      </c>
      <c r="I450" s="54">
        <f t="shared" si="359"/>
        <v>0</v>
      </c>
      <c r="J450" s="54">
        <f t="shared" si="360"/>
        <v>0</v>
      </c>
      <c r="K450" s="54">
        <f t="shared" si="360"/>
        <v>0</v>
      </c>
      <c r="L450" s="54">
        <f t="shared" si="361"/>
        <v>0</v>
      </c>
      <c r="M450" s="54">
        <f t="shared" si="362"/>
        <v>0</v>
      </c>
      <c r="N450" s="54">
        <f t="shared" si="363"/>
        <v>0</v>
      </c>
      <c r="O450" s="54">
        <f t="shared" si="364"/>
        <v>0</v>
      </c>
      <c r="P450" s="54">
        <f t="shared" si="364"/>
        <v>0</v>
      </c>
      <c r="Q450" s="54">
        <f t="shared" si="365"/>
        <v>0</v>
      </c>
      <c r="R450" s="54">
        <f t="shared" si="365"/>
        <v>0</v>
      </c>
    </row>
    <row r="451" spans="1:18" x14ac:dyDescent="0.25">
      <c r="A451" s="52" t="s">
        <v>299</v>
      </c>
      <c r="C451" s="59">
        <v>54323</v>
      </c>
      <c r="D451" s="50">
        <v>55643</v>
      </c>
      <c r="E451" s="43">
        <v>57040</v>
      </c>
      <c r="F451" s="50">
        <v>58426</v>
      </c>
      <c r="G451" s="50">
        <v>59822</v>
      </c>
      <c r="H451" s="50">
        <v>0</v>
      </c>
      <c r="I451" s="54">
        <f t="shared" ref="I451" si="366">H451*1.02</f>
        <v>0</v>
      </c>
      <c r="J451" s="54">
        <f t="shared" ref="J451" si="367">I451*1.021</f>
        <v>0</v>
      </c>
      <c r="K451" s="54">
        <f t="shared" ref="K451" si="368">J451*1.023</f>
        <v>0</v>
      </c>
      <c r="L451" s="54">
        <f t="shared" ref="L451" si="369">K451*1.024</f>
        <v>0</v>
      </c>
      <c r="M451" s="54">
        <f t="shared" ref="M451" si="370">L451*1.023</f>
        <v>0</v>
      </c>
      <c r="N451" s="54">
        <f t="shared" ref="N451" si="371">M451*1.021</f>
        <v>0</v>
      </c>
      <c r="O451" s="54">
        <f t="shared" ref="O451" si="372">N451*1.022</f>
        <v>0</v>
      </c>
      <c r="P451" s="54">
        <f t="shared" si="364"/>
        <v>0</v>
      </c>
      <c r="Q451" s="54">
        <f t="shared" si="364"/>
        <v>0</v>
      </c>
      <c r="R451" s="54">
        <f t="shared" si="364"/>
        <v>0</v>
      </c>
    </row>
    <row r="452" spans="1:18" x14ac:dyDescent="0.25">
      <c r="A452" s="52" t="s">
        <v>300</v>
      </c>
      <c r="C452" s="59">
        <v>250</v>
      </c>
      <c r="D452" s="54">
        <v>227</v>
      </c>
      <c r="E452" s="43">
        <v>0</v>
      </c>
      <c r="F452" s="54">
        <v>0</v>
      </c>
      <c r="G452" s="54">
        <v>0</v>
      </c>
      <c r="H452" s="54">
        <v>0</v>
      </c>
      <c r="I452" s="54">
        <f t="shared" si="359"/>
        <v>0</v>
      </c>
      <c r="J452" s="54">
        <f t="shared" ref="J452:K452" si="373">I452*1.024</f>
        <v>0</v>
      </c>
      <c r="K452" s="54">
        <f t="shared" si="373"/>
        <v>0</v>
      </c>
      <c r="L452" s="54">
        <f t="shared" ref="L452" si="374">K452*1.023</f>
        <v>0</v>
      </c>
      <c r="M452" s="54">
        <f t="shared" ref="M452" si="375">L452*1.022</f>
        <v>0</v>
      </c>
      <c r="N452" s="54">
        <f t="shared" ref="N452" si="376">M452*1.023</f>
        <v>0</v>
      </c>
      <c r="O452" s="54">
        <f t="shared" ref="O452" si="377">N452*1.025</f>
        <v>0</v>
      </c>
      <c r="P452" s="54">
        <f t="shared" si="364"/>
        <v>0</v>
      </c>
      <c r="Q452" s="54">
        <f t="shared" ref="Q452:R452" si="378">P452*1.024</f>
        <v>0</v>
      </c>
      <c r="R452" s="54">
        <f t="shared" si="378"/>
        <v>0</v>
      </c>
    </row>
    <row r="453" spans="1:18" x14ac:dyDescent="0.25">
      <c r="A453" s="52"/>
      <c r="C453" s="50"/>
      <c r="D453" s="50"/>
      <c r="E453" s="50"/>
      <c r="F453" s="50"/>
      <c r="G453" s="50"/>
      <c r="H453" s="50"/>
      <c r="I453" s="50"/>
      <c r="J453" s="50"/>
      <c r="K453" s="50"/>
      <c r="L453" s="50"/>
      <c r="M453" s="50"/>
      <c r="N453" s="50"/>
      <c r="O453" s="50"/>
      <c r="P453" s="50"/>
      <c r="Q453" s="50"/>
      <c r="R453" s="50"/>
    </row>
    <row r="454" spans="1:18" x14ac:dyDescent="0.25">
      <c r="A454" s="41" t="s">
        <v>216</v>
      </c>
      <c r="B454" s="44"/>
      <c r="C454" s="51">
        <f t="shared" ref="C454" si="379">SUM(C441:C453)</f>
        <v>137188</v>
      </c>
      <c r="D454" s="51">
        <f t="shared" ref="D454:R454" si="380">SUM(D441:D453)</f>
        <v>140570</v>
      </c>
      <c r="E454" s="51">
        <f t="shared" si="380"/>
        <v>152402.04</v>
      </c>
      <c r="F454" s="51">
        <f t="shared" si="380"/>
        <v>147639</v>
      </c>
      <c r="G454" s="51">
        <f t="shared" si="380"/>
        <v>150959</v>
      </c>
      <c r="H454" s="51">
        <f t="shared" si="380"/>
        <v>95100</v>
      </c>
      <c r="I454" s="51">
        <f t="shared" si="380"/>
        <v>97287.299999999988</v>
      </c>
      <c r="J454" s="51">
        <f t="shared" si="380"/>
        <v>99622.195200000002</v>
      </c>
      <c r="K454" s="51">
        <f t="shared" si="380"/>
        <v>102013.12788480001</v>
      </c>
      <c r="L454" s="51">
        <f t="shared" si="380"/>
        <v>104359.42982615039</v>
      </c>
      <c r="M454" s="51">
        <f t="shared" si="380"/>
        <v>106655.33728232571</v>
      </c>
      <c r="N454" s="51">
        <f t="shared" si="380"/>
        <v>109108.41003981918</v>
      </c>
      <c r="O454" s="51">
        <f t="shared" si="380"/>
        <v>111836.12029081467</v>
      </c>
      <c r="P454" s="51">
        <f t="shared" si="380"/>
        <v>114632.02329808503</v>
      </c>
      <c r="Q454" s="51">
        <f t="shared" si="380"/>
        <v>117383.19185723907</v>
      </c>
      <c r="R454" s="51">
        <f t="shared" si="380"/>
        <v>120200.38846181279</v>
      </c>
    </row>
    <row r="455" spans="1:18" x14ac:dyDescent="0.25">
      <c r="C455" s="50"/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  <c r="P455" s="50"/>
      <c r="Q455" s="50"/>
      <c r="R455" s="50"/>
    </row>
    <row r="456" spans="1:18" x14ac:dyDescent="0.25">
      <c r="A456" s="41" t="s">
        <v>165</v>
      </c>
      <c r="B456" s="44"/>
      <c r="C456" s="50"/>
      <c r="D456" s="50"/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0"/>
      <c r="P456" s="50"/>
      <c r="Q456" s="50"/>
      <c r="R456" s="50"/>
    </row>
    <row r="457" spans="1:18" x14ac:dyDescent="0.25"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  <c r="P457" s="50"/>
      <c r="Q457" s="50"/>
      <c r="R457" s="50"/>
    </row>
    <row r="458" spans="1:18" x14ac:dyDescent="0.25">
      <c r="A458" s="52" t="s">
        <v>301</v>
      </c>
      <c r="B458" s="53"/>
      <c r="C458" s="59">
        <v>34744</v>
      </c>
      <c r="D458" s="50">
        <v>37535</v>
      </c>
      <c r="E458" s="50">
        <f>49991-879-18682</f>
        <v>30430</v>
      </c>
      <c r="F458">
        <v>42315</v>
      </c>
      <c r="G458" s="43">
        <v>28899</v>
      </c>
      <c r="H458" s="43">
        <v>38980</v>
      </c>
      <c r="I458" s="50">
        <v>39939.1</v>
      </c>
      <c r="J458" s="50">
        <v>40972.902799999996</v>
      </c>
      <c r="K458" s="50">
        <v>42051.40825719999</v>
      </c>
      <c r="L458" s="50">
        <v>43148.627727965591</v>
      </c>
      <c r="M458" s="50">
        <v>44237.836503919447</v>
      </c>
      <c r="N458" s="50">
        <v>45366.915129312518</v>
      </c>
      <c r="O458" s="50">
        <v>46605.958004377841</v>
      </c>
      <c r="P458" s="50">
        <v>47899.964091427362</v>
      </c>
      <c r="Q458" s="50">
        <v>49199.50376531409</v>
      </c>
      <c r="R458" s="50">
        <v>50535.975184384937</v>
      </c>
    </row>
    <row r="459" spans="1:18" x14ac:dyDescent="0.25">
      <c r="A459" s="43" t="s">
        <v>302</v>
      </c>
      <c r="C459" s="69">
        <v>1254</v>
      </c>
      <c r="D459" s="70">
        <v>1250</v>
      </c>
      <c r="E459" s="70">
        <v>879</v>
      </c>
      <c r="F459" s="69">
        <v>879</v>
      </c>
      <c r="G459" s="70">
        <v>879</v>
      </c>
      <c r="H459" s="70">
        <v>900</v>
      </c>
      <c r="I459" s="70">
        <v>930</v>
      </c>
      <c r="J459" s="70">
        <v>935</v>
      </c>
      <c r="K459" s="70">
        <v>970</v>
      </c>
      <c r="L459" s="70">
        <v>990</v>
      </c>
      <c r="M459" s="70">
        <v>1020</v>
      </c>
      <c r="N459" s="70">
        <v>1025</v>
      </c>
      <c r="O459" s="70">
        <v>1070</v>
      </c>
      <c r="P459" s="70">
        <v>1090</v>
      </c>
      <c r="Q459" s="70">
        <v>1120</v>
      </c>
      <c r="R459" s="70">
        <v>1120</v>
      </c>
    </row>
    <row r="460" spans="1:18" x14ac:dyDescent="0.25">
      <c r="A460" s="43" t="s">
        <v>303</v>
      </c>
      <c r="C460" s="71">
        <v>17249</v>
      </c>
      <c r="D460" s="71">
        <v>18682</v>
      </c>
      <c r="E460" s="72">
        <v>18682</v>
      </c>
      <c r="F460" s="71">
        <v>18682</v>
      </c>
      <c r="G460" s="73">
        <v>18682</v>
      </c>
      <c r="H460" s="73">
        <v>20530</v>
      </c>
      <c r="I460" s="73">
        <v>21010</v>
      </c>
      <c r="J460" s="73">
        <v>21510</v>
      </c>
      <c r="K460" s="73">
        <v>22030</v>
      </c>
      <c r="L460" s="73">
        <v>22530</v>
      </c>
      <c r="M460" s="73">
        <v>23030</v>
      </c>
      <c r="N460" s="73">
        <v>23560</v>
      </c>
      <c r="O460" s="73">
        <v>24150</v>
      </c>
      <c r="P460" s="73">
        <v>24750</v>
      </c>
      <c r="Q460" s="73">
        <v>25340</v>
      </c>
      <c r="R460" s="73">
        <v>25340</v>
      </c>
    </row>
    <row r="461" spans="1:18" x14ac:dyDescent="0.25">
      <c r="A461" s="52" t="s">
        <v>290</v>
      </c>
      <c r="B461" s="53"/>
      <c r="C461" s="54">
        <v>3972</v>
      </c>
      <c r="D461" s="50">
        <v>3444</v>
      </c>
      <c r="E461" s="50">
        <v>4435</v>
      </c>
      <c r="F461" s="54">
        <v>10113</v>
      </c>
      <c r="G461" s="50">
        <v>2911</v>
      </c>
      <c r="H461" s="50">
        <v>6270</v>
      </c>
      <c r="I461" s="50">
        <v>6432.5499999999993</v>
      </c>
      <c r="J461" s="50">
        <v>6602.6299499999986</v>
      </c>
      <c r="K461" s="50">
        <v>6781.3275025499988</v>
      </c>
      <c r="L461" s="50">
        <v>6964.698460506148</v>
      </c>
      <c r="M461" s="50">
        <v>7148.0431192050546</v>
      </c>
      <c r="N461" s="50">
        <v>7336.0539920714036</v>
      </c>
      <c r="O461" s="50">
        <v>7539.618275799281</v>
      </c>
      <c r="P461" s="50">
        <v>7754.7203674181219</v>
      </c>
      <c r="Q461" s="50">
        <v>7972.6519486050638</v>
      </c>
      <c r="R461" s="54">
        <v>8197.1853715448451</v>
      </c>
    </row>
    <row r="462" spans="1:18" x14ac:dyDescent="0.25">
      <c r="A462" s="43" t="s">
        <v>303</v>
      </c>
      <c r="C462" s="74">
        <v>4755</v>
      </c>
      <c r="D462" s="71">
        <v>4755</v>
      </c>
      <c r="E462" s="72">
        <v>5192</v>
      </c>
      <c r="F462" s="74">
        <v>5192</v>
      </c>
      <c r="G462" s="73">
        <v>5298</v>
      </c>
      <c r="H462" s="73">
        <v>7250</v>
      </c>
      <c r="I462" s="73">
        <v>7420</v>
      </c>
      <c r="J462" s="73">
        <v>7600</v>
      </c>
      <c r="K462" s="73">
        <v>7780</v>
      </c>
      <c r="L462" s="73">
        <v>7960</v>
      </c>
      <c r="M462" s="73">
        <v>8140</v>
      </c>
      <c r="N462" s="73">
        <v>8320</v>
      </c>
      <c r="O462" s="73">
        <v>8530</v>
      </c>
      <c r="P462" s="73">
        <v>8740</v>
      </c>
      <c r="Q462" s="73">
        <v>8950</v>
      </c>
      <c r="R462" s="73">
        <v>8950</v>
      </c>
    </row>
    <row r="463" spans="1:18" x14ac:dyDescent="0.25">
      <c r="A463" s="52" t="s">
        <v>291</v>
      </c>
      <c r="B463" s="53"/>
      <c r="C463" s="59">
        <v>4353</v>
      </c>
      <c r="D463" s="50">
        <v>4697</v>
      </c>
      <c r="E463" s="50">
        <v>8222</v>
      </c>
      <c r="F463" s="50">
        <v>9960</v>
      </c>
      <c r="G463" s="50">
        <v>4660</v>
      </c>
      <c r="H463" s="50">
        <v>8310</v>
      </c>
      <c r="I463" s="50">
        <v>8524.35</v>
      </c>
      <c r="J463" s="50">
        <v>8748.9782500000001</v>
      </c>
      <c r="K463" s="50">
        <v>8982.1169592499991</v>
      </c>
      <c r="L463" s="50">
        <v>9220.4058144752471</v>
      </c>
      <c r="M463" s="50">
        <v>9460.3023332180346</v>
      </c>
      <c r="N463" s="50">
        <v>9708.2074391811184</v>
      </c>
      <c r="O463" s="50">
        <v>9973.6224760101759</v>
      </c>
      <c r="P463" s="50">
        <v>10249.353813931135</v>
      </c>
      <c r="Q463" s="50">
        <v>10528.883943309909</v>
      </c>
      <c r="R463" s="50">
        <v>10816.475007117606</v>
      </c>
    </row>
    <row r="464" spans="1:18" x14ac:dyDescent="0.25">
      <c r="A464" s="43" t="s">
        <v>302</v>
      </c>
      <c r="C464" s="75">
        <v>437</v>
      </c>
      <c r="D464" s="70">
        <v>437</v>
      </c>
      <c r="E464" s="70">
        <v>519</v>
      </c>
      <c r="F464" s="76">
        <v>324</v>
      </c>
      <c r="G464" s="70">
        <v>324</v>
      </c>
      <c r="H464" s="70">
        <v>330</v>
      </c>
      <c r="I464" s="70">
        <v>340</v>
      </c>
      <c r="J464" s="70">
        <v>350</v>
      </c>
      <c r="K464" s="70">
        <v>360</v>
      </c>
      <c r="L464" s="70">
        <v>370</v>
      </c>
      <c r="M464" s="70">
        <v>370</v>
      </c>
      <c r="N464" s="70">
        <v>380</v>
      </c>
      <c r="O464" s="70">
        <v>390</v>
      </c>
      <c r="P464" s="70">
        <v>400</v>
      </c>
      <c r="Q464" s="70">
        <v>410</v>
      </c>
      <c r="R464" s="70">
        <v>410</v>
      </c>
    </row>
    <row r="465" spans="1:18" x14ac:dyDescent="0.25">
      <c r="A465" s="43" t="s">
        <v>304</v>
      </c>
      <c r="C465" s="77">
        <v>4967</v>
      </c>
      <c r="D465" s="71">
        <v>4967</v>
      </c>
      <c r="E465" s="72">
        <v>5718</v>
      </c>
      <c r="F465" s="74">
        <v>5718</v>
      </c>
      <c r="G465" s="73">
        <v>5718</v>
      </c>
      <c r="H465" s="77">
        <v>9000</v>
      </c>
      <c r="I465" s="77">
        <v>9210</v>
      </c>
      <c r="J465" s="77">
        <v>9430</v>
      </c>
      <c r="K465" s="77">
        <v>9650</v>
      </c>
      <c r="L465" s="77">
        <v>9880</v>
      </c>
      <c r="M465" s="77">
        <v>10090</v>
      </c>
      <c r="N465" s="77">
        <v>10330</v>
      </c>
      <c r="O465" s="77">
        <v>10580</v>
      </c>
      <c r="P465" s="77">
        <v>10850</v>
      </c>
      <c r="Q465" s="77">
        <v>11110</v>
      </c>
      <c r="R465" s="77">
        <v>11110</v>
      </c>
    </row>
    <row r="466" spans="1:18" x14ac:dyDescent="0.25">
      <c r="A466" s="43" t="s">
        <v>292</v>
      </c>
      <c r="B466" s="53"/>
      <c r="C466" s="59">
        <v>65160</v>
      </c>
      <c r="D466" s="50">
        <v>45848</v>
      </c>
      <c r="E466" s="50">
        <v>40506</v>
      </c>
      <c r="F466" s="50">
        <v>54431</v>
      </c>
      <c r="G466" s="50">
        <v>37580</v>
      </c>
      <c r="H466" s="50">
        <v>47820</v>
      </c>
      <c r="I466" s="50">
        <v>49091.899999999994</v>
      </c>
      <c r="J466" s="50">
        <v>50425.128900000011</v>
      </c>
      <c r="K466" s="50">
        <v>51812.031596100001</v>
      </c>
      <c r="L466" s="50">
        <v>53219.593644435285</v>
      </c>
      <c r="M466" s="50">
        <v>54624.550037027933</v>
      </c>
      <c r="N466" s="50">
        <v>56091.427752131684</v>
      </c>
      <c r="O466" s="50">
        <v>57694.137032203129</v>
      </c>
      <c r="P466" s="50">
        <v>59363.133431226976</v>
      </c>
      <c r="Q466" s="50">
        <v>61043.926041762083</v>
      </c>
      <c r="R466" s="50">
        <v>62776.330340911241</v>
      </c>
    </row>
    <row r="467" spans="1:18" x14ac:dyDescent="0.25">
      <c r="A467" s="43" t="s">
        <v>302</v>
      </c>
      <c r="B467" s="53"/>
      <c r="C467" s="78">
        <v>295</v>
      </c>
      <c r="D467" s="70">
        <v>295</v>
      </c>
      <c r="E467" s="70">
        <v>295</v>
      </c>
      <c r="F467" s="76">
        <v>295</v>
      </c>
      <c r="G467" s="76">
        <v>295</v>
      </c>
      <c r="H467" s="76">
        <v>300</v>
      </c>
      <c r="I467" s="76">
        <v>310</v>
      </c>
      <c r="J467" s="76">
        <v>315</v>
      </c>
      <c r="K467" s="76">
        <v>330</v>
      </c>
      <c r="L467" s="76">
        <v>330</v>
      </c>
      <c r="M467" s="76">
        <v>340</v>
      </c>
      <c r="N467" s="76">
        <v>345</v>
      </c>
      <c r="O467" s="76">
        <v>360</v>
      </c>
      <c r="P467" s="76">
        <v>370</v>
      </c>
      <c r="Q467" s="76">
        <v>380</v>
      </c>
      <c r="R467" s="76">
        <v>380</v>
      </c>
    </row>
    <row r="468" spans="1:18" x14ac:dyDescent="0.25">
      <c r="A468" s="43" t="s">
        <v>304</v>
      </c>
      <c r="B468" s="53"/>
      <c r="C468" s="77">
        <v>45872</v>
      </c>
      <c r="D468" s="71">
        <v>45871</v>
      </c>
      <c r="E468" s="72">
        <v>45871</v>
      </c>
      <c r="F468" s="73">
        <v>47474</v>
      </c>
      <c r="G468" s="73">
        <v>47559</v>
      </c>
      <c r="H468" s="73">
        <v>39600</v>
      </c>
      <c r="I468" s="73">
        <v>40510</v>
      </c>
      <c r="J468" s="73">
        <v>41480</v>
      </c>
      <c r="K468" s="73">
        <v>42480</v>
      </c>
      <c r="L468" s="73">
        <v>43460</v>
      </c>
      <c r="M468" s="73">
        <v>44410</v>
      </c>
      <c r="N468" s="73">
        <v>45430</v>
      </c>
      <c r="O468" s="73">
        <v>46570</v>
      </c>
      <c r="P468" s="73">
        <v>47730</v>
      </c>
      <c r="Q468" s="73">
        <v>48880</v>
      </c>
      <c r="R468" s="73">
        <v>48880</v>
      </c>
    </row>
    <row r="469" spans="1:18" x14ac:dyDescent="0.25">
      <c r="A469" t="s">
        <v>305</v>
      </c>
      <c r="B469" s="53"/>
      <c r="C469" s="79">
        <v>505</v>
      </c>
      <c r="D469" s="79">
        <v>505</v>
      </c>
      <c r="E469" s="80">
        <v>505</v>
      </c>
      <c r="F469" s="81">
        <v>505</v>
      </c>
      <c r="G469" s="80">
        <v>505</v>
      </c>
      <c r="H469" s="79">
        <v>520</v>
      </c>
      <c r="I469" s="79">
        <v>530</v>
      </c>
      <c r="J469" s="79">
        <v>540</v>
      </c>
      <c r="K469" s="79">
        <v>560</v>
      </c>
      <c r="L469" s="79">
        <v>570</v>
      </c>
      <c r="M469" s="79">
        <v>580</v>
      </c>
      <c r="N469" s="79">
        <v>590</v>
      </c>
      <c r="O469" s="79">
        <v>610</v>
      </c>
      <c r="P469" s="79">
        <v>620</v>
      </c>
      <c r="Q469" s="79">
        <v>640</v>
      </c>
      <c r="R469" s="79">
        <v>640</v>
      </c>
    </row>
    <row r="470" spans="1:18" x14ac:dyDescent="0.25">
      <c r="A470" s="52" t="s">
        <v>295</v>
      </c>
      <c r="B470" s="53"/>
      <c r="C470" s="50">
        <v>0</v>
      </c>
      <c r="D470" s="50"/>
      <c r="E470" s="50"/>
      <c r="F470" s="50"/>
      <c r="G470" s="50">
        <v>0</v>
      </c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</row>
    <row r="471" spans="1:18" x14ac:dyDescent="0.25">
      <c r="A471" s="52" t="s">
        <v>306</v>
      </c>
      <c r="B471" s="53"/>
      <c r="C471" s="59">
        <v>4464</v>
      </c>
      <c r="D471" s="54">
        <v>5149</v>
      </c>
      <c r="E471" s="43">
        <v>5002</v>
      </c>
      <c r="F471" s="54">
        <v>4911</v>
      </c>
      <c r="G471" s="50">
        <v>3184</v>
      </c>
      <c r="H471" s="50">
        <f>5200-200</f>
        <v>5000</v>
      </c>
      <c r="I471" s="54">
        <v>5115</v>
      </c>
      <c r="J471" s="54">
        <v>5237.76</v>
      </c>
      <c r="K471" s="54">
        <v>5363.4662400000007</v>
      </c>
      <c r="L471" s="54">
        <v>5486.8259635200002</v>
      </c>
      <c r="M471" s="54">
        <v>5607.5361347174403</v>
      </c>
      <c r="N471" s="54">
        <v>5736.5094658159405</v>
      </c>
      <c r="O471" s="54">
        <v>5879.9222024613382</v>
      </c>
      <c r="P471" s="54">
        <v>6026.920257522871</v>
      </c>
      <c r="Q471" s="54">
        <v>6171.56634370342</v>
      </c>
      <c r="R471" s="54">
        <v>6319.6839359523019</v>
      </c>
    </row>
    <row r="472" spans="1:18" x14ac:dyDescent="0.25">
      <c r="A472" s="52" t="s">
        <v>307</v>
      </c>
      <c r="B472" s="53"/>
      <c r="C472" s="59"/>
      <c r="D472" s="54"/>
      <c r="F472" s="54">
        <v>2000</v>
      </c>
      <c r="G472" s="54">
        <v>0</v>
      </c>
      <c r="H472" s="54">
        <v>0</v>
      </c>
      <c r="I472" s="54">
        <v>0</v>
      </c>
      <c r="J472" s="54">
        <v>0</v>
      </c>
      <c r="K472" s="54">
        <v>0</v>
      </c>
      <c r="L472" s="54">
        <v>0</v>
      </c>
      <c r="M472" s="54">
        <v>0</v>
      </c>
      <c r="N472" s="54">
        <v>0</v>
      </c>
      <c r="O472" s="54">
        <v>0</v>
      </c>
      <c r="P472" s="54">
        <v>0</v>
      </c>
      <c r="Q472" s="54">
        <v>0</v>
      </c>
      <c r="R472" s="54">
        <v>0</v>
      </c>
    </row>
    <row r="473" spans="1:18" x14ac:dyDescent="0.25">
      <c r="A473" s="52" t="s">
        <v>308</v>
      </c>
      <c r="B473" s="53"/>
      <c r="C473" s="59"/>
      <c r="D473" s="54"/>
      <c r="F473" s="54"/>
      <c r="G473" s="50">
        <v>15541</v>
      </c>
      <c r="H473" s="50">
        <v>5000</v>
      </c>
      <c r="I473" s="54">
        <f>H473*1.023</f>
        <v>5115</v>
      </c>
      <c r="J473" s="54">
        <f t="shared" ref="J473:K474" si="381">I473*1.024</f>
        <v>5237.76</v>
      </c>
      <c r="K473" s="54">
        <f t="shared" si="381"/>
        <v>5363.4662400000007</v>
      </c>
      <c r="L473" s="54">
        <f t="shared" ref="L473:L474" si="382">K473*1.023</f>
        <v>5486.8259635200002</v>
      </c>
      <c r="M473" s="54">
        <f t="shared" ref="M473:M474" si="383">L473*1.022</f>
        <v>5607.5361347174403</v>
      </c>
      <c r="N473" s="54">
        <f t="shared" ref="N473:N474" si="384">M473*1.023</f>
        <v>5736.5094658159405</v>
      </c>
      <c r="O473" s="54">
        <f t="shared" ref="O473:P474" si="385">N473*1.025</f>
        <v>5879.9222024613382</v>
      </c>
      <c r="P473" s="54">
        <f t="shared" si="385"/>
        <v>6026.920257522871</v>
      </c>
      <c r="Q473" s="54">
        <f t="shared" ref="Q473:R474" si="386">P473*1.024</f>
        <v>6171.56634370342</v>
      </c>
      <c r="R473" s="54">
        <f t="shared" si="386"/>
        <v>6319.6839359523019</v>
      </c>
    </row>
    <row r="474" spans="1:18" x14ac:dyDescent="0.25">
      <c r="A474" s="52" t="s">
        <v>309</v>
      </c>
      <c r="B474" s="53"/>
      <c r="C474" s="59">
        <v>717</v>
      </c>
      <c r="D474" s="50">
        <v>2744</v>
      </c>
      <c r="E474" s="43">
        <v>2241</v>
      </c>
      <c r="F474" s="50">
        <v>2176</v>
      </c>
      <c r="G474" s="50">
        <v>756</v>
      </c>
      <c r="H474" s="50">
        <v>2400</v>
      </c>
      <c r="I474" s="54">
        <f>H474*1.023</f>
        <v>2455.1999999999998</v>
      </c>
      <c r="J474" s="54">
        <f t="shared" si="381"/>
        <v>2514.1248000000001</v>
      </c>
      <c r="K474" s="54">
        <f t="shared" si="381"/>
        <v>2574.4637952000003</v>
      </c>
      <c r="L474" s="54">
        <f t="shared" si="382"/>
        <v>2633.6764624896</v>
      </c>
      <c r="M474" s="54">
        <f t="shared" si="383"/>
        <v>2691.6173446643711</v>
      </c>
      <c r="N474" s="54">
        <f t="shared" si="384"/>
        <v>2753.5245435916513</v>
      </c>
      <c r="O474" s="54">
        <f t="shared" si="385"/>
        <v>2822.3626571814425</v>
      </c>
      <c r="P474" s="54">
        <f t="shared" si="385"/>
        <v>2892.9217236109785</v>
      </c>
      <c r="Q474" s="54">
        <f t="shared" si="386"/>
        <v>2962.351844977642</v>
      </c>
      <c r="R474" s="54">
        <f t="shared" si="386"/>
        <v>3033.4482892571054</v>
      </c>
    </row>
    <row r="475" spans="1:18" x14ac:dyDescent="0.25">
      <c r="A475" s="52" t="s">
        <v>310</v>
      </c>
      <c r="C475" s="59">
        <v>45383</v>
      </c>
      <c r="D475" s="50">
        <f>50886-2983</f>
        <v>47903</v>
      </c>
      <c r="E475" s="43">
        <v>48726</v>
      </c>
      <c r="F475" s="43">
        <v>48053</v>
      </c>
      <c r="G475" s="43">
        <v>47977</v>
      </c>
      <c r="H475" s="43">
        <v>48000</v>
      </c>
      <c r="I475" s="50">
        <f>H475*1.025</f>
        <v>49199.999999999993</v>
      </c>
      <c r="J475" s="50">
        <f t="shared" ref="J475:J476" si="387">I475*1.029</f>
        <v>50626.799999999988</v>
      </c>
      <c r="K475" s="54">
        <f t="shared" ref="K475:K476" si="388">J475*1.031</f>
        <v>52196.230799999983</v>
      </c>
      <c r="L475" s="54">
        <f t="shared" ref="L475:L476" si="389">K475*1.033</f>
        <v>53918.706416399975</v>
      </c>
      <c r="M475" s="54">
        <f t="shared" ref="M475:M476" si="390">L475*1.032</f>
        <v>55644.105021724776</v>
      </c>
      <c r="N475" s="54">
        <f t="shared" ref="N475:N476" si="391">M475*1.03</f>
        <v>57313.428172376523</v>
      </c>
      <c r="O475" s="54">
        <f t="shared" ref="O475:O476" si="392">N475*1.032</f>
        <v>59147.45787389257</v>
      </c>
      <c r="P475" s="54">
        <f t="shared" ref="P475:R476" si="393">O475*1.034</f>
        <v>61158.471441604917</v>
      </c>
      <c r="Q475" s="54">
        <f t="shared" si="393"/>
        <v>63237.859470619485</v>
      </c>
      <c r="R475" s="54">
        <f t="shared" si="393"/>
        <v>65387.94669262055</v>
      </c>
    </row>
    <row r="476" spans="1:18" x14ac:dyDescent="0.25">
      <c r="A476" s="43" t="s">
        <v>220</v>
      </c>
      <c r="C476" s="59">
        <v>4063</v>
      </c>
      <c r="D476" s="50">
        <v>2983</v>
      </c>
      <c r="E476" s="43">
        <v>1324</v>
      </c>
      <c r="F476" s="43">
        <v>-11647</v>
      </c>
      <c r="G476" s="43">
        <v>1421</v>
      </c>
      <c r="H476" s="43">
        <v>4600</v>
      </c>
      <c r="I476" s="50">
        <f>H476*1.025</f>
        <v>4715</v>
      </c>
      <c r="J476" s="50">
        <f t="shared" si="387"/>
        <v>4851.7349999999997</v>
      </c>
      <c r="K476" s="54">
        <f t="shared" si="388"/>
        <v>5002.1387849999992</v>
      </c>
      <c r="L476" s="54">
        <f t="shared" si="389"/>
        <v>5167.2093649049984</v>
      </c>
      <c r="M476" s="54">
        <f t="shared" si="390"/>
        <v>5332.5600645819586</v>
      </c>
      <c r="N476" s="54">
        <f t="shared" si="391"/>
        <v>5492.5368665194173</v>
      </c>
      <c r="O476" s="54">
        <f t="shared" si="392"/>
        <v>5668.2980462480391</v>
      </c>
      <c r="P476" s="54">
        <f t="shared" si="393"/>
        <v>5861.0201798204725</v>
      </c>
      <c r="Q476" s="54">
        <f t="shared" si="393"/>
        <v>6060.2948659343692</v>
      </c>
      <c r="R476" s="54">
        <f t="shared" si="393"/>
        <v>6266.3448913761376</v>
      </c>
    </row>
    <row r="477" spans="1:18" x14ac:dyDescent="0.25">
      <c r="A477" s="52" t="s">
        <v>311</v>
      </c>
      <c r="B477" s="53"/>
      <c r="C477" s="59">
        <v>260</v>
      </c>
      <c r="D477" s="67">
        <v>0</v>
      </c>
      <c r="E477" s="43">
        <v>0</v>
      </c>
      <c r="F477" s="67">
        <v>0</v>
      </c>
      <c r="G477" s="67">
        <v>0</v>
      </c>
      <c r="H477" s="67">
        <v>0</v>
      </c>
      <c r="I477" s="54">
        <v>0</v>
      </c>
      <c r="J477" s="54">
        <v>0</v>
      </c>
      <c r="K477" s="54">
        <v>0</v>
      </c>
      <c r="L477" s="54">
        <v>0</v>
      </c>
      <c r="M477" s="54">
        <v>0</v>
      </c>
      <c r="N477" s="54">
        <v>0</v>
      </c>
      <c r="O477" s="54">
        <v>0</v>
      </c>
      <c r="P477" s="54">
        <v>0</v>
      </c>
      <c r="Q477" s="54">
        <v>0</v>
      </c>
      <c r="R477" s="54">
        <v>0</v>
      </c>
    </row>
    <row r="478" spans="1:18" x14ac:dyDescent="0.25">
      <c r="A478" s="59" t="s">
        <v>312</v>
      </c>
      <c r="B478" s="53"/>
      <c r="C478" s="59">
        <v>13000</v>
      </c>
      <c r="D478" s="67">
        <v>7000</v>
      </c>
      <c r="E478" s="43">
        <v>0</v>
      </c>
      <c r="F478" s="67">
        <v>0</v>
      </c>
      <c r="G478" s="67">
        <v>0</v>
      </c>
      <c r="H478" s="67">
        <v>0</v>
      </c>
      <c r="I478" s="54">
        <v>0</v>
      </c>
      <c r="J478" s="54">
        <v>0</v>
      </c>
      <c r="K478" s="54">
        <v>0</v>
      </c>
      <c r="L478" s="54">
        <v>0</v>
      </c>
      <c r="M478" s="54">
        <v>0</v>
      </c>
      <c r="N478" s="54">
        <v>0</v>
      </c>
      <c r="O478" s="54">
        <v>0</v>
      </c>
      <c r="P478" s="54">
        <v>0</v>
      </c>
      <c r="Q478" s="54">
        <v>0</v>
      </c>
      <c r="R478" s="54">
        <v>0</v>
      </c>
    </row>
    <row r="479" spans="1:18" x14ac:dyDescent="0.25">
      <c r="A479" s="52" t="s">
        <v>300</v>
      </c>
      <c r="C479" s="59">
        <v>1061</v>
      </c>
      <c r="D479" s="50">
        <v>905</v>
      </c>
      <c r="E479" s="43">
        <v>1104</v>
      </c>
      <c r="F479" s="50">
        <v>570</v>
      </c>
      <c r="G479" s="50">
        <v>500</v>
      </c>
      <c r="H479" s="50">
        <v>1200</v>
      </c>
      <c r="I479" s="54">
        <f>H479*1.023</f>
        <v>1227.5999999999999</v>
      </c>
      <c r="J479" s="54">
        <f t="shared" ref="J479:K479" si="394">I479*1.024</f>
        <v>1257.0624</v>
      </c>
      <c r="K479" s="54">
        <f t="shared" si="394"/>
        <v>1287.2318976000001</v>
      </c>
      <c r="L479" s="54">
        <f t="shared" ref="L479" si="395">K479*1.023</f>
        <v>1316.8382312448</v>
      </c>
      <c r="M479" s="54">
        <f t="shared" ref="M479" si="396">L479*1.022</f>
        <v>1345.8086723321856</v>
      </c>
      <c r="N479" s="54">
        <f t="shared" ref="N479" si="397">M479*1.023</f>
        <v>1376.7622717958257</v>
      </c>
      <c r="O479" s="54">
        <f t="shared" ref="O479:P479" si="398">N479*1.025</f>
        <v>1411.1813285907213</v>
      </c>
      <c r="P479" s="54">
        <f t="shared" si="398"/>
        <v>1446.4608618054892</v>
      </c>
      <c r="Q479" s="54">
        <f t="shared" ref="Q479:R479" si="399">P479*1.024</f>
        <v>1481.175922488821</v>
      </c>
      <c r="R479" s="54">
        <f t="shared" si="399"/>
        <v>1516.7241446285527</v>
      </c>
    </row>
    <row r="480" spans="1:18" x14ac:dyDescent="0.25">
      <c r="C480" s="50"/>
      <c r="D480" s="50"/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  <c r="P480" s="50"/>
      <c r="Q480" s="50"/>
      <c r="R480" s="50"/>
    </row>
    <row r="481" spans="1:18" x14ac:dyDescent="0.25">
      <c r="A481" s="41" t="s">
        <v>230</v>
      </c>
      <c r="B481" s="44"/>
      <c r="C481" s="51">
        <f>SUM(C458:C480)</f>
        <v>252511</v>
      </c>
      <c r="D481" s="51">
        <f>SUM(D458:D480)</f>
        <v>234970</v>
      </c>
      <c r="E481" s="51">
        <f t="shared" ref="E481:R481" si="400">SUM(E458:E480)</f>
        <v>219651</v>
      </c>
      <c r="F481" s="51">
        <f t="shared" si="400"/>
        <v>241951</v>
      </c>
      <c r="G481" s="51">
        <f t="shared" si="400"/>
        <v>222689</v>
      </c>
      <c r="H481" s="51">
        <f t="shared" si="400"/>
        <v>246010</v>
      </c>
      <c r="I481" s="51">
        <f t="shared" si="400"/>
        <v>252075.7</v>
      </c>
      <c r="J481" s="51">
        <f t="shared" si="400"/>
        <v>258634.88209999999</v>
      </c>
      <c r="K481" s="51">
        <f t="shared" si="400"/>
        <v>265573.88207289996</v>
      </c>
      <c r="L481" s="51">
        <f t="shared" si="400"/>
        <v>272653.40804946166</v>
      </c>
      <c r="M481" s="51">
        <f t="shared" si="400"/>
        <v>279679.89536610869</v>
      </c>
      <c r="N481" s="51">
        <f t="shared" si="400"/>
        <v>286891.87509861204</v>
      </c>
      <c r="O481" s="51">
        <f t="shared" si="400"/>
        <v>294882.48009922588</v>
      </c>
      <c r="P481" s="51">
        <f t="shared" si="400"/>
        <v>303229.88642589119</v>
      </c>
      <c r="Q481" s="51">
        <f t="shared" si="400"/>
        <v>311659.78049041826</v>
      </c>
      <c r="R481" s="51">
        <f t="shared" si="400"/>
        <v>317999.79779374565</v>
      </c>
    </row>
    <row r="482" spans="1:18" x14ac:dyDescent="0.25"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  <c r="P482" s="50"/>
      <c r="Q482" s="50"/>
      <c r="R482" s="50"/>
    </row>
    <row r="483" spans="1:18" x14ac:dyDescent="0.25">
      <c r="A483" s="41" t="s">
        <v>251</v>
      </c>
      <c r="B483" s="44"/>
      <c r="C483" s="50"/>
      <c r="D483" s="50"/>
      <c r="E483" s="50"/>
      <c r="F483" s="50"/>
      <c r="G483" s="50"/>
      <c r="H483" s="50"/>
      <c r="I483" s="50"/>
      <c r="J483" s="50"/>
      <c r="K483" s="50"/>
      <c r="L483" s="50"/>
      <c r="M483" s="50"/>
      <c r="N483" s="50"/>
      <c r="O483" s="50"/>
      <c r="P483" s="50"/>
      <c r="Q483" s="50"/>
      <c r="R483" s="50"/>
    </row>
    <row r="484" spans="1:18" x14ac:dyDescent="0.25">
      <c r="C484" s="50"/>
      <c r="D484" s="50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0"/>
    </row>
    <row r="485" spans="1:18" x14ac:dyDescent="0.25">
      <c r="A485" s="43" t="s">
        <v>313</v>
      </c>
      <c r="B485" s="82" t="s">
        <v>314</v>
      </c>
      <c r="C485" s="50">
        <v>0</v>
      </c>
      <c r="D485" s="54">
        <f>C485*1.025</f>
        <v>0</v>
      </c>
      <c r="E485" s="54">
        <f>D485*1.025</f>
        <v>0</v>
      </c>
      <c r="F485" s="54">
        <v>0</v>
      </c>
      <c r="G485" s="54">
        <v>0</v>
      </c>
      <c r="H485" s="54">
        <v>0</v>
      </c>
      <c r="I485" s="54">
        <v>0</v>
      </c>
      <c r="J485" s="54">
        <v>0</v>
      </c>
      <c r="K485" s="54">
        <v>0</v>
      </c>
      <c r="L485" s="54">
        <v>0</v>
      </c>
      <c r="M485" s="54">
        <v>0</v>
      </c>
      <c r="N485" s="54">
        <v>0</v>
      </c>
      <c r="O485" s="54">
        <v>0</v>
      </c>
      <c r="P485" s="54">
        <v>0</v>
      </c>
      <c r="Q485" s="54">
        <f>P485*1.025</f>
        <v>0</v>
      </c>
      <c r="R485" s="54">
        <f>Q485*1.025</f>
        <v>0</v>
      </c>
    </row>
    <row r="486" spans="1:18" x14ac:dyDescent="0.25">
      <c r="C486" s="50"/>
      <c r="D486" s="50"/>
      <c r="E486" s="50"/>
      <c r="F486" s="50"/>
      <c r="G486" s="50"/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0"/>
    </row>
    <row r="487" spans="1:18" x14ac:dyDescent="0.25">
      <c r="A487" s="41" t="s">
        <v>254</v>
      </c>
      <c r="B487" s="44"/>
      <c r="C487" s="51">
        <f t="shared" ref="C487" si="401">SUM(C485:C486)</f>
        <v>0</v>
      </c>
      <c r="D487" s="51">
        <f t="shared" ref="D487:E487" si="402">SUM(D485:D486)</f>
        <v>0</v>
      </c>
      <c r="E487" s="51">
        <f t="shared" si="402"/>
        <v>0</v>
      </c>
      <c r="F487" s="51">
        <v>0</v>
      </c>
      <c r="G487" s="51">
        <v>0</v>
      </c>
      <c r="H487" s="51">
        <v>0</v>
      </c>
      <c r="I487" s="51">
        <v>0</v>
      </c>
      <c r="J487" s="51">
        <v>0</v>
      </c>
      <c r="K487" s="51">
        <v>0</v>
      </c>
      <c r="L487" s="51">
        <v>0</v>
      </c>
      <c r="M487" s="51">
        <v>0</v>
      </c>
      <c r="N487" s="51">
        <v>0</v>
      </c>
      <c r="O487" s="51">
        <v>0</v>
      </c>
      <c r="P487" s="51">
        <v>0</v>
      </c>
      <c r="Q487" s="51">
        <f>SUM(Q485:Q486)</f>
        <v>0</v>
      </c>
      <c r="R487" s="51">
        <f>SUM(R485:R486)</f>
        <v>0</v>
      </c>
    </row>
    <row r="488" spans="1:18" x14ac:dyDescent="0.25">
      <c r="C488" s="50"/>
      <c r="D488" s="50"/>
      <c r="E488" s="50"/>
      <c r="F488" s="50"/>
      <c r="G488" s="50"/>
      <c r="H488" s="50"/>
      <c r="I488" s="50"/>
      <c r="J488" s="67" t="s">
        <v>1319</v>
      </c>
      <c r="K488" s="50"/>
      <c r="L488" s="50"/>
      <c r="M488" s="50"/>
      <c r="N488" s="50"/>
      <c r="O488" s="50"/>
      <c r="P488" s="50"/>
      <c r="Q488" s="50"/>
      <c r="R488" s="50"/>
    </row>
    <row r="489" spans="1:18" x14ac:dyDescent="0.25">
      <c r="A489" s="41" t="s">
        <v>171</v>
      </c>
      <c r="B489" s="44"/>
      <c r="C489" s="50"/>
      <c r="D489" s="50"/>
      <c r="E489" s="50"/>
      <c r="F489" s="50"/>
      <c r="G489" s="50"/>
      <c r="H489" s="50"/>
      <c r="I489" s="50"/>
      <c r="J489" s="50"/>
      <c r="K489" s="50"/>
      <c r="L489" s="50"/>
      <c r="M489" s="50"/>
      <c r="N489" s="50"/>
      <c r="O489" s="50"/>
      <c r="P489" s="50"/>
      <c r="Q489" s="50"/>
      <c r="R489" s="50"/>
    </row>
    <row r="490" spans="1:18" x14ac:dyDescent="0.25">
      <c r="A490" s="41"/>
      <c r="B490" s="44"/>
      <c r="C490" s="50"/>
      <c r="D490" s="50"/>
      <c r="E490" s="50"/>
      <c r="F490" s="50"/>
      <c r="G490" s="50"/>
      <c r="H490" s="50"/>
      <c r="I490" s="50"/>
      <c r="J490" s="50"/>
      <c r="K490" s="50"/>
      <c r="L490" s="50"/>
      <c r="M490" s="50"/>
      <c r="N490" s="50"/>
      <c r="O490" s="50"/>
      <c r="P490" s="50"/>
      <c r="Q490" s="50"/>
      <c r="R490" s="50"/>
    </row>
    <row r="491" spans="1:18" x14ac:dyDescent="0.25">
      <c r="A491" s="41" t="s">
        <v>315</v>
      </c>
      <c r="B491" s="44"/>
      <c r="C491" s="50"/>
      <c r="D491" s="50"/>
      <c r="E491" s="50"/>
      <c r="F491" s="50"/>
      <c r="G491" s="50"/>
      <c r="H491" s="50"/>
      <c r="I491" s="50"/>
      <c r="J491" s="50"/>
      <c r="K491" s="50"/>
      <c r="L491" s="50"/>
      <c r="M491" s="50"/>
      <c r="N491" s="50"/>
      <c r="O491" s="50"/>
      <c r="P491" s="50"/>
      <c r="Q491" s="50"/>
      <c r="R491" s="50"/>
    </row>
    <row r="492" spans="1:18" x14ac:dyDescent="0.25">
      <c r="A492" s="83" t="s">
        <v>316</v>
      </c>
      <c r="B492" s="84" t="s">
        <v>317</v>
      </c>
      <c r="C492" s="50">
        <v>0</v>
      </c>
      <c r="D492" s="50">
        <v>0</v>
      </c>
      <c r="E492" s="50">
        <v>0</v>
      </c>
      <c r="F492" s="50">
        <v>0</v>
      </c>
      <c r="G492" s="50">
        <v>0</v>
      </c>
      <c r="H492" s="50">
        <v>0</v>
      </c>
      <c r="I492" s="50">
        <v>0</v>
      </c>
      <c r="J492" s="50">
        <v>0</v>
      </c>
      <c r="K492" s="50">
        <v>0</v>
      </c>
      <c r="L492" s="50">
        <v>0</v>
      </c>
      <c r="M492" s="50">
        <v>0</v>
      </c>
      <c r="N492" s="50">
        <v>0</v>
      </c>
      <c r="O492" s="50">
        <v>0</v>
      </c>
      <c r="P492" s="50">
        <v>0</v>
      </c>
      <c r="Q492" s="50">
        <v>0</v>
      </c>
      <c r="R492" s="50">
        <v>0</v>
      </c>
    </row>
    <row r="493" spans="1:18" x14ac:dyDescent="0.25">
      <c r="A493" s="83" t="s">
        <v>318</v>
      </c>
      <c r="B493" s="84" t="s">
        <v>317</v>
      </c>
      <c r="C493" s="50">
        <v>0</v>
      </c>
      <c r="D493" s="50"/>
      <c r="E493" s="85">
        <v>0</v>
      </c>
      <c r="F493" s="50">
        <v>0</v>
      </c>
      <c r="G493" s="50">
        <v>0</v>
      </c>
      <c r="H493" s="50">
        <v>0</v>
      </c>
      <c r="I493" s="50">
        <v>0</v>
      </c>
      <c r="J493" s="50">
        <v>0</v>
      </c>
      <c r="K493" s="50">
        <v>0</v>
      </c>
      <c r="L493" s="50">
        <v>0</v>
      </c>
      <c r="M493" s="50">
        <v>0</v>
      </c>
      <c r="N493" s="50">
        <v>0</v>
      </c>
      <c r="O493" s="50">
        <v>0</v>
      </c>
      <c r="P493" s="50">
        <v>0</v>
      </c>
      <c r="Q493" s="50">
        <v>0</v>
      </c>
      <c r="R493" s="50">
        <v>0</v>
      </c>
    </row>
    <row r="494" spans="1:18" x14ac:dyDescent="0.25">
      <c r="A494" s="83" t="s">
        <v>319</v>
      </c>
      <c r="B494" s="84" t="s">
        <v>317</v>
      </c>
      <c r="C494" s="50">
        <v>0</v>
      </c>
      <c r="D494" s="50"/>
      <c r="E494" s="85">
        <v>5717</v>
      </c>
      <c r="F494" s="50">
        <v>0</v>
      </c>
      <c r="G494" s="50">
        <v>0</v>
      </c>
      <c r="H494" s="50">
        <v>0</v>
      </c>
      <c r="I494" s="50">
        <v>0</v>
      </c>
      <c r="J494" s="50">
        <v>0</v>
      </c>
      <c r="K494" s="50">
        <v>0</v>
      </c>
      <c r="L494" s="50">
        <v>0</v>
      </c>
      <c r="M494" s="50">
        <v>0</v>
      </c>
      <c r="N494" s="50">
        <v>0</v>
      </c>
      <c r="O494" s="50">
        <v>0</v>
      </c>
      <c r="P494" s="50">
        <v>0</v>
      </c>
      <c r="Q494" s="50">
        <v>0</v>
      </c>
      <c r="R494" s="50">
        <v>0</v>
      </c>
    </row>
    <row r="495" spans="1:18" x14ac:dyDescent="0.25">
      <c r="A495" s="83" t="s">
        <v>320</v>
      </c>
      <c r="B495" s="84" t="s">
        <v>317</v>
      </c>
      <c r="C495" s="50">
        <v>0</v>
      </c>
      <c r="D495" s="50">
        <v>0</v>
      </c>
      <c r="E495" s="85">
        <v>0</v>
      </c>
      <c r="F495" s="50">
        <v>0</v>
      </c>
      <c r="G495" s="50">
        <v>0</v>
      </c>
      <c r="H495" s="50">
        <v>0</v>
      </c>
      <c r="I495" s="50">
        <v>0</v>
      </c>
      <c r="J495" s="50">
        <v>0</v>
      </c>
      <c r="K495" s="50">
        <v>0</v>
      </c>
      <c r="L495" s="50">
        <v>0</v>
      </c>
      <c r="M495" s="50">
        <v>0</v>
      </c>
      <c r="N495" s="50">
        <v>0</v>
      </c>
      <c r="O495" s="50">
        <v>0</v>
      </c>
      <c r="P495" s="50">
        <v>0</v>
      </c>
      <c r="Q495" s="50">
        <v>0</v>
      </c>
      <c r="R495" s="50">
        <v>0</v>
      </c>
    </row>
    <row r="496" spans="1:18" s="43" customFormat="1" x14ac:dyDescent="0.25">
      <c r="A496" s="86" t="s">
        <v>321</v>
      </c>
      <c r="B496" s="84" t="s">
        <v>317</v>
      </c>
      <c r="C496" s="50"/>
      <c r="D496" s="50"/>
      <c r="E496" s="85">
        <v>6360</v>
      </c>
      <c r="F496" s="50"/>
      <c r="G496" s="50"/>
      <c r="H496" s="50"/>
      <c r="I496" s="50"/>
      <c r="J496" s="50"/>
      <c r="K496" s="50"/>
      <c r="L496" s="50"/>
      <c r="M496" s="50"/>
      <c r="N496" s="50"/>
      <c r="O496" s="50"/>
      <c r="P496" s="50"/>
      <c r="Q496" s="50"/>
      <c r="R496" s="50"/>
    </row>
    <row r="497" spans="1:18" s="43" customFormat="1" x14ac:dyDescent="0.25">
      <c r="A497" s="87" t="s">
        <v>322</v>
      </c>
      <c r="B497" s="88" t="s">
        <v>323</v>
      </c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89">
        <v>25000</v>
      </c>
      <c r="Q497" s="50"/>
      <c r="R497" s="50"/>
    </row>
    <row r="498" spans="1:18" s="43" customFormat="1" x14ac:dyDescent="0.25">
      <c r="A498" s="87" t="s">
        <v>324</v>
      </c>
      <c r="B498" s="88" t="s">
        <v>323</v>
      </c>
      <c r="C498" s="50"/>
      <c r="D498" s="50"/>
      <c r="E498" s="50"/>
      <c r="F498" s="50"/>
      <c r="G498" s="50"/>
      <c r="H498" s="50"/>
      <c r="I498" s="50"/>
      <c r="J498" s="50"/>
      <c r="K498" s="89">
        <v>20000</v>
      </c>
      <c r="L498" s="50"/>
      <c r="M498" s="50"/>
      <c r="N498" s="50"/>
      <c r="O498" s="50"/>
      <c r="P498" s="89">
        <v>25000</v>
      </c>
      <c r="Q498" s="50"/>
      <c r="R498" s="50"/>
    </row>
    <row r="499" spans="1:18" x14ac:dyDescent="0.25">
      <c r="A499" s="41" t="s">
        <v>325</v>
      </c>
      <c r="B499" s="44"/>
      <c r="C499" s="67"/>
      <c r="D499" s="67"/>
      <c r="E499" s="67"/>
      <c r="F499" s="67"/>
      <c r="G499" s="67"/>
      <c r="H499" s="67"/>
      <c r="I499" s="67"/>
      <c r="J499" s="67"/>
      <c r="K499" s="67"/>
      <c r="L499" s="67"/>
      <c r="M499" s="67"/>
      <c r="N499" s="67"/>
      <c r="O499" s="67"/>
      <c r="P499" s="67"/>
      <c r="Q499" s="67"/>
      <c r="R499" s="67"/>
    </row>
    <row r="500" spans="1:18" x14ac:dyDescent="0.25">
      <c r="A500" s="83" t="s">
        <v>319</v>
      </c>
      <c r="B500" s="84" t="s">
        <v>317</v>
      </c>
      <c r="C500" s="67">
        <v>0</v>
      </c>
      <c r="D500" s="67">
        <v>0</v>
      </c>
      <c r="E500" s="67">
        <v>0</v>
      </c>
      <c r="F500" s="67">
        <v>0</v>
      </c>
      <c r="G500" s="67">
        <v>0</v>
      </c>
      <c r="H500" s="67">
        <v>0</v>
      </c>
      <c r="I500" s="67">
        <v>0</v>
      </c>
      <c r="J500" s="67">
        <v>0</v>
      </c>
      <c r="K500" s="67">
        <v>0</v>
      </c>
      <c r="L500" s="67">
        <v>0</v>
      </c>
      <c r="M500" s="67">
        <v>0</v>
      </c>
      <c r="N500" s="67">
        <v>0</v>
      </c>
      <c r="O500" s="67"/>
      <c r="P500" s="67">
        <v>0</v>
      </c>
      <c r="Q500" s="67">
        <v>0</v>
      </c>
      <c r="R500" s="67">
        <v>0</v>
      </c>
    </row>
    <row r="501" spans="1:18" x14ac:dyDescent="0.25">
      <c r="A501" s="83" t="s">
        <v>326</v>
      </c>
      <c r="B501" s="84" t="s">
        <v>317</v>
      </c>
      <c r="C501" s="67">
        <v>0</v>
      </c>
      <c r="D501" s="90">
        <v>14182</v>
      </c>
      <c r="E501" s="67">
        <v>0</v>
      </c>
      <c r="F501" s="67">
        <v>0</v>
      </c>
      <c r="G501" s="67">
        <v>0</v>
      </c>
      <c r="H501" s="67">
        <v>0</v>
      </c>
      <c r="I501" s="67">
        <v>0</v>
      </c>
      <c r="J501" s="67">
        <v>0</v>
      </c>
      <c r="K501" s="67">
        <v>0</v>
      </c>
      <c r="L501" s="67">
        <v>0</v>
      </c>
      <c r="M501" s="67">
        <v>0</v>
      </c>
      <c r="N501" s="67">
        <v>0</v>
      </c>
      <c r="O501" s="67">
        <v>0</v>
      </c>
      <c r="P501" s="67">
        <v>0</v>
      </c>
      <c r="Q501" s="67">
        <v>0</v>
      </c>
      <c r="R501" s="67">
        <v>0</v>
      </c>
    </row>
    <row r="502" spans="1:18" x14ac:dyDescent="0.25">
      <c r="A502" s="91" t="s">
        <v>327</v>
      </c>
      <c r="B502" s="84" t="s">
        <v>317</v>
      </c>
      <c r="C502" s="90">
        <v>11451</v>
      </c>
      <c r="D502" s="67"/>
      <c r="E502" s="67"/>
      <c r="F502" s="67"/>
      <c r="G502" s="67"/>
      <c r="H502" s="67"/>
      <c r="I502" s="67"/>
      <c r="J502" s="67"/>
      <c r="K502" s="67"/>
      <c r="L502" s="67"/>
      <c r="M502" s="67"/>
      <c r="N502" s="67"/>
      <c r="O502" s="67"/>
      <c r="P502" s="67"/>
      <c r="Q502" s="67"/>
      <c r="R502" s="67"/>
    </row>
    <row r="503" spans="1:18" x14ac:dyDescent="0.25">
      <c r="A503" s="52" t="s">
        <v>328</v>
      </c>
      <c r="C503" s="67">
        <v>11850</v>
      </c>
      <c r="D503" s="67"/>
      <c r="E503" s="67"/>
      <c r="F503" s="67"/>
      <c r="G503" s="67"/>
      <c r="H503" s="67"/>
      <c r="I503" s="67"/>
      <c r="J503" s="67"/>
      <c r="K503" s="67"/>
      <c r="L503" s="67"/>
      <c r="M503" s="67"/>
      <c r="N503" s="67"/>
      <c r="O503" s="67"/>
      <c r="P503" s="67"/>
      <c r="Q503" s="67"/>
      <c r="R503" s="67"/>
    </row>
    <row r="504" spans="1:18" s="43" customFormat="1" x14ac:dyDescent="0.25">
      <c r="A504" s="92" t="s">
        <v>329</v>
      </c>
      <c r="B504" s="88" t="s">
        <v>330</v>
      </c>
      <c r="C504" s="67"/>
      <c r="D504" s="67"/>
      <c r="E504" s="67"/>
      <c r="F504" s="67"/>
      <c r="G504" s="67"/>
      <c r="H504" s="67"/>
      <c r="I504" s="67"/>
      <c r="J504" s="67"/>
      <c r="K504" s="67"/>
      <c r="L504" s="67"/>
      <c r="M504" s="67"/>
      <c r="N504" s="67"/>
      <c r="O504" s="67"/>
      <c r="P504" s="67">
        <v>0</v>
      </c>
      <c r="Q504" s="67">
        <v>0</v>
      </c>
      <c r="R504" s="67">
        <v>0</v>
      </c>
    </row>
    <row r="505" spans="1:18" s="43" customFormat="1" x14ac:dyDescent="0.25">
      <c r="A505" s="93" t="s">
        <v>321</v>
      </c>
      <c r="B505" s="88" t="s">
        <v>330</v>
      </c>
      <c r="C505" s="67"/>
      <c r="D505" s="67">
        <v>6050</v>
      </c>
      <c r="E505" s="67"/>
      <c r="F505" s="67"/>
      <c r="G505" s="67"/>
      <c r="H505" s="67"/>
      <c r="I505" s="67"/>
      <c r="J505" s="67"/>
      <c r="K505" s="67"/>
      <c r="L505" s="67"/>
      <c r="M505" s="67"/>
      <c r="N505" s="67"/>
      <c r="O505" s="67"/>
      <c r="P505" s="67"/>
      <c r="Q505" s="67"/>
      <c r="R505" s="67"/>
    </row>
    <row r="506" spans="1:18" s="43" customFormat="1" x14ac:dyDescent="0.25">
      <c r="A506" s="94" t="s">
        <v>331</v>
      </c>
      <c r="B506" s="42"/>
      <c r="C506" s="67"/>
      <c r="D506" s="67"/>
      <c r="E506" s="67">
        <v>1465</v>
      </c>
      <c r="F506" s="67"/>
      <c r="G506" s="67"/>
      <c r="H506" s="67"/>
      <c r="I506" s="67"/>
      <c r="J506" s="67"/>
      <c r="K506" s="67"/>
      <c r="L506" s="67"/>
      <c r="M506" s="67"/>
      <c r="N506" s="67"/>
      <c r="O506" s="67"/>
      <c r="P506" s="67"/>
      <c r="Q506" s="67"/>
      <c r="R506" s="67"/>
    </row>
    <row r="507" spans="1:18" s="43" customFormat="1" x14ac:dyDescent="0.25">
      <c r="A507" s="87" t="s">
        <v>322</v>
      </c>
      <c r="B507" s="88" t="s">
        <v>323</v>
      </c>
      <c r="C507" s="67"/>
      <c r="D507" s="67"/>
      <c r="E507" s="67"/>
      <c r="F507" s="67"/>
      <c r="G507" s="67"/>
      <c r="H507" s="67"/>
      <c r="I507" s="95">
        <v>25000</v>
      </c>
      <c r="J507" s="67"/>
      <c r="K507" s="67"/>
      <c r="L507" s="67"/>
      <c r="M507" s="67"/>
      <c r="N507" s="95">
        <v>25000</v>
      </c>
      <c r="O507" s="67"/>
      <c r="P507" s="67"/>
      <c r="Q507" s="67"/>
      <c r="R507" s="67"/>
    </row>
    <row r="508" spans="1:18" s="43" customFormat="1" x14ac:dyDescent="0.25">
      <c r="A508" s="87" t="s">
        <v>324</v>
      </c>
      <c r="B508" s="88" t="s">
        <v>323</v>
      </c>
      <c r="C508" s="67"/>
      <c r="D508" s="67"/>
      <c r="E508" s="67"/>
      <c r="F508" s="67"/>
      <c r="G508" s="67"/>
      <c r="H508" s="67"/>
      <c r="I508" s="67"/>
      <c r="J508" s="67"/>
      <c r="K508" s="95">
        <v>30000</v>
      </c>
      <c r="L508" s="67"/>
      <c r="M508" s="67"/>
      <c r="N508" s="95">
        <v>30000</v>
      </c>
      <c r="O508" s="67"/>
      <c r="P508" s="67"/>
      <c r="Q508" s="67"/>
      <c r="R508" s="95">
        <v>30000</v>
      </c>
    </row>
    <row r="509" spans="1:18" x14ac:dyDescent="0.25">
      <c r="A509" s="41" t="s">
        <v>332</v>
      </c>
      <c r="B509" s="44"/>
      <c r="C509" s="50"/>
      <c r="D509" s="50"/>
      <c r="E509" s="50"/>
      <c r="F509" s="50"/>
      <c r="G509" s="50"/>
      <c r="H509" s="50"/>
      <c r="I509" s="50"/>
      <c r="J509" s="50"/>
      <c r="K509" s="50"/>
      <c r="L509" s="50"/>
      <c r="M509" s="50"/>
      <c r="N509" s="50"/>
      <c r="O509" s="50"/>
      <c r="P509" s="50"/>
      <c r="Q509" s="50"/>
      <c r="R509" s="50"/>
    </row>
    <row r="510" spans="1:18" x14ac:dyDescent="0.25">
      <c r="A510" s="83" t="s">
        <v>333</v>
      </c>
      <c r="B510" s="84" t="s">
        <v>317</v>
      </c>
      <c r="C510" s="50">
        <v>0</v>
      </c>
      <c r="D510" s="50">
        <v>0</v>
      </c>
      <c r="E510" s="50">
        <v>0</v>
      </c>
      <c r="F510" s="85">
        <v>0</v>
      </c>
      <c r="G510" s="50">
        <v>1590</v>
      </c>
      <c r="H510" s="50">
        <v>0</v>
      </c>
      <c r="I510" s="50">
        <v>0</v>
      </c>
      <c r="J510" s="50">
        <v>0</v>
      </c>
      <c r="K510" s="50">
        <v>0</v>
      </c>
      <c r="L510" s="50">
        <v>0</v>
      </c>
      <c r="M510" s="50">
        <v>0</v>
      </c>
      <c r="N510" s="50">
        <v>0</v>
      </c>
      <c r="O510" s="50">
        <v>0</v>
      </c>
      <c r="P510" s="50">
        <v>0</v>
      </c>
      <c r="Q510" s="50">
        <v>0</v>
      </c>
      <c r="R510" s="50">
        <v>0</v>
      </c>
    </row>
    <row r="511" spans="1:18" x14ac:dyDescent="0.25">
      <c r="A511" s="83" t="s">
        <v>334</v>
      </c>
      <c r="B511" s="84" t="s">
        <v>317</v>
      </c>
      <c r="C511" s="50">
        <v>0</v>
      </c>
      <c r="D511" s="50">
        <v>0</v>
      </c>
      <c r="E511" s="85">
        <v>4500</v>
      </c>
      <c r="F511" s="50">
        <v>0</v>
      </c>
      <c r="G511" s="50">
        <v>0</v>
      </c>
      <c r="H511" s="50">
        <v>0</v>
      </c>
      <c r="I511" s="50">
        <v>0</v>
      </c>
      <c r="J511" s="50">
        <v>0</v>
      </c>
      <c r="K511" s="50">
        <v>0</v>
      </c>
      <c r="L511" s="50">
        <v>0</v>
      </c>
      <c r="M511" s="50">
        <v>0</v>
      </c>
      <c r="N511" s="50">
        <v>0</v>
      </c>
      <c r="O511" s="50">
        <v>0</v>
      </c>
      <c r="P511" s="50">
        <v>0</v>
      </c>
      <c r="Q511" s="50">
        <v>0</v>
      </c>
      <c r="R511" s="50">
        <v>0</v>
      </c>
    </row>
    <row r="512" spans="1:18" x14ac:dyDescent="0.25">
      <c r="A512" s="91" t="s">
        <v>335</v>
      </c>
      <c r="B512" s="84" t="s">
        <v>317</v>
      </c>
      <c r="C512" s="50">
        <v>0</v>
      </c>
      <c r="D512" s="50">
        <v>0</v>
      </c>
      <c r="E512" s="85">
        <v>2122</v>
      </c>
      <c r="F512" s="50">
        <v>0</v>
      </c>
      <c r="G512" s="50">
        <v>0</v>
      </c>
      <c r="H512" s="50">
        <v>0</v>
      </c>
      <c r="I512" s="50">
        <v>0</v>
      </c>
      <c r="J512" s="50">
        <v>0</v>
      </c>
      <c r="K512" s="50">
        <v>0</v>
      </c>
      <c r="L512" s="50">
        <v>0</v>
      </c>
      <c r="M512" s="50">
        <v>0</v>
      </c>
      <c r="N512" s="67"/>
      <c r="O512" s="50">
        <v>0</v>
      </c>
      <c r="P512" s="50">
        <v>0</v>
      </c>
      <c r="Q512" s="50">
        <v>0</v>
      </c>
      <c r="R512" s="50">
        <v>0</v>
      </c>
    </row>
    <row r="513" spans="1:18" s="43" customFormat="1" x14ac:dyDescent="0.25">
      <c r="A513" s="93" t="s">
        <v>336</v>
      </c>
      <c r="B513" s="88" t="s">
        <v>330</v>
      </c>
      <c r="C513" s="50"/>
      <c r="D513" s="50"/>
      <c r="E513" s="50"/>
      <c r="F513" s="50"/>
      <c r="G513" s="50"/>
      <c r="H513" s="50"/>
      <c r="I513" s="50"/>
      <c r="J513" s="50"/>
      <c r="K513" s="50"/>
      <c r="L513" s="50"/>
      <c r="M513" s="50"/>
      <c r="N513" s="50"/>
      <c r="O513" s="50"/>
      <c r="P513" s="50"/>
      <c r="Q513" s="50"/>
      <c r="R513" s="50"/>
    </row>
    <row r="514" spans="1:18" s="43" customFormat="1" x14ac:dyDescent="0.25">
      <c r="A514" s="93" t="s">
        <v>321</v>
      </c>
      <c r="B514" s="88" t="s">
        <v>330</v>
      </c>
      <c r="C514" s="50"/>
      <c r="D514" s="50"/>
      <c r="E514" s="50"/>
      <c r="F514" s="50"/>
      <c r="G514" s="50"/>
      <c r="H514" s="50"/>
      <c r="I514" s="50"/>
      <c r="J514" s="50"/>
      <c r="K514" s="50"/>
      <c r="L514" s="50"/>
      <c r="M514" s="50"/>
      <c r="N514" s="50"/>
      <c r="O514" s="50"/>
      <c r="P514" s="50"/>
      <c r="Q514" s="50"/>
      <c r="R514" s="50"/>
    </row>
    <row r="515" spans="1:18" s="43" customFormat="1" x14ac:dyDescent="0.25">
      <c r="A515" s="86" t="s">
        <v>337</v>
      </c>
      <c r="B515" s="84" t="s">
        <v>317</v>
      </c>
      <c r="C515" s="85">
        <v>4850</v>
      </c>
      <c r="D515" s="50"/>
      <c r="E515" s="50"/>
      <c r="F515" s="50"/>
      <c r="G515" s="50"/>
      <c r="H515" s="50"/>
      <c r="I515" s="50"/>
      <c r="J515" s="50"/>
      <c r="K515" s="50"/>
      <c r="L515" s="50"/>
      <c r="M515" s="50"/>
      <c r="N515" s="50"/>
      <c r="O515" s="50"/>
      <c r="P515" s="50"/>
      <c r="Q515" s="50"/>
      <c r="R515" s="50"/>
    </row>
    <row r="516" spans="1:18" s="43" customFormat="1" x14ac:dyDescent="0.25">
      <c r="A516" s="93" t="s">
        <v>338</v>
      </c>
      <c r="B516" s="88" t="s">
        <v>330</v>
      </c>
      <c r="C516" s="50"/>
      <c r="D516" s="50"/>
      <c r="E516" s="50"/>
      <c r="F516" s="50"/>
      <c r="G516" s="50"/>
      <c r="H516" s="50"/>
      <c r="I516" s="50"/>
      <c r="J516" s="50"/>
      <c r="K516" s="50"/>
      <c r="L516" s="50"/>
      <c r="M516" s="50"/>
      <c r="N516" s="67"/>
      <c r="O516" s="50"/>
      <c r="P516" s="50"/>
      <c r="Q516" s="50"/>
      <c r="R516" s="50"/>
    </row>
    <row r="517" spans="1:18" s="43" customFormat="1" x14ac:dyDescent="0.25">
      <c r="A517" s="87" t="s">
        <v>322</v>
      </c>
      <c r="B517" s="96" t="s">
        <v>323</v>
      </c>
      <c r="C517" s="50"/>
      <c r="D517" s="50"/>
      <c r="E517" s="50"/>
      <c r="F517" s="50"/>
      <c r="G517" s="50"/>
      <c r="H517" s="50"/>
      <c r="I517" s="50"/>
      <c r="J517" s="50"/>
      <c r="K517" s="50"/>
      <c r="L517" s="89">
        <v>35000</v>
      </c>
      <c r="M517" s="50"/>
      <c r="N517" s="67"/>
      <c r="O517" s="50"/>
      <c r="P517" s="50"/>
      <c r="Q517" s="50"/>
      <c r="R517" s="50"/>
    </row>
    <row r="518" spans="1:18" s="43" customFormat="1" x14ac:dyDescent="0.25">
      <c r="A518" s="87" t="s">
        <v>324</v>
      </c>
      <c r="B518" s="96" t="s">
        <v>323</v>
      </c>
      <c r="C518" s="50"/>
      <c r="D518" s="50"/>
      <c r="E518" s="50"/>
      <c r="F518" s="50"/>
      <c r="G518" s="50"/>
      <c r="H518" s="50"/>
      <c r="I518" s="50"/>
      <c r="J518" s="50"/>
      <c r="K518" s="89">
        <v>25000</v>
      </c>
      <c r="L518" s="50"/>
      <c r="M518" s="50"/>
      <c r="N518" s="67"/>
      <c r="O518" s="50"/>
      <c r="P518" s="50"/>
      <c r="Q518" s="50"/>
      <c r="R518" s="89">
        <v>25000</v>
      </c>
    </row>
    <row r="519" spans="1:18" x14ac:dyDescent="0.25">
      <c r="A519" s="41" t="s">
        <v>339</v>
      </c>
      <c r="B519" s="43"/>
      <c r="C519" s="50"/>
      <c r="D519" s="50"/>
      <c r="E519" s="50"/>
      <c r="F519" s="50"/>
      <c r="G519" s="50"/>
      <c r="H519" s="50"/>
      <c r="I519" s="50"/>
      <c r="J519" s="50"/>
      <c r="K519" s="50"/>
      <c r="L519" s="50"/>
      <c r="M519" s="50"/>
      <c r="N519" s="50"/>
      <c r="O519" s="50"/>
      <c r="P519" s="50"/>
      <c r="Q519" s="50"/>
      <c r="R519" s="50"/>
    </row>
    <row r="520" spans="1:18" x14ac:dyDescent="0.25">
      <c r="A520" s="52" t="s">
        <v>340</v>
      </c>
      <c r="B520" s="43"/>
      <c r="C520" s="50">
        <v>8000</v>
      </c>
      <c r="D520" s="50"/>
      <c r="E520" s="50"/>
      <c r="F520" s="50"/>
      <c r="G520" s="50"/>
      <c r="H520" s="50"/>
      <c r="I520" s="50"/>
      <c r="J520" s="50"/>
      <c r="K520" s="50"/>
      <c r="L520" s="50"/>
      <c r="M520" s="50"/>
      <c r="N520" s="50"/>
      <c r="O520" s="50"/>
      <c r="P520" s="50"/>
      <c r="Q520" s="50"/>
      <c r="R520" s="50"/>
    </row>
    <row r="521" spans="1:18" x14ac:dyDescent="0.25">
      <c r="A521" s="52" t="s">
        <v>341</v>
      </c>
      <c r="B521" s="43"/>
      <c r="C521" s="50">
        <v>9223</v>
      </c>
      <c r="D521" s="50"/>
      <c r="E521" s="50"/>
      <c r="F521" s="50"/>
      <c r="G521" s="50"/>
      <c r="H521" s="50"/>
      <c r="I521" s="50"/>
      <c r="J521" s="50"/>
      <c r="K521" s="50"/>
      <c r="L521" s="50"/>
      <c r="M521" s="50"/>
      <c r="N521" s="50"/>
      <c r="O521" s="50"/>
      <c r="P521" s="50"/>
      <c r="Q521" s="50"/>
      <c r="R521" s="50"/>
    </row>
    <row r="522" spans="1:18" x14ac:dyDescent="0.25">
      <c r="A522" s="52" t="s">
        <v>342</v>
      </c>
      <c r="B522" s="43"/>
      <c r="C522" s="50">
        <v>8500</v>
      </c>
      <c r="D522" s="50"/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  <c r="P522" s="50"/>
      <c r="Q522" s="50"/>
      <c r="R522" s="50"/>
    </row>
    <row r="523" spans="1:18" x14ac:dyDescent="0.25">
      <c r="A523" s="91" t="s">
        <v>343</v>
      </c>
      <c r="B523" s="84" t="s">
        <v>317</v>
      </c>
      <c r="C523" s="50">
        <v>37286</v>
      </c>
      <c r="D523" s="50"/>
      <c r="E523" s="50"/>
      <c r="F523" s="50"/>
      <c r="G523" s="50"/>
      <c r="H523" s="50"/>
      <c r="I523" s="50"/>
      <c r="J523" s="50"/>
      <c r="K523" s="50"/>
      <c r="L523" s="50"/>
      <c r="M523" s="50"/>
      <c r="N523" s="50"/>
      <c r="O523" s="50"/>
      <c r="P523" s="50"/>
      <c r="Q523" s="50"/>
      <c r="R523" s="50"/>
    </row>
    <row r="524" spans="1:18" x14ac:dyDescent="0.25">
      <c r="A524" s="91" t="s">
        <v>344</v>
      </c>
      <c r="B524" s="84" t="s">
        <v>317</v>
      </c>
      <c r="C524" s="50">
        <v>4800</v>
      </c>
      <c r="D524" s="50"/>
      <c r="E524" s="50"/>
      <c r="F524" s="50"/>
      <c r="G524" s="50"/>
      <c r="H524" s="50"/>
      <c r="I524" s="50"/>
      <c r="J524" s="50"/>
      <c r="K524" s="50"/>
      <c r="L524" s="50"/>
      <c r="M524" s="50"/>
      <c r="N524" s="50"/>
      <c r="O524" s="50"/>
      <c r="P524" s="50"/>
      <c r="Q524" s="50"/>
      <c r="R524" s="50"/>
    </row>
    <row r="525" spans="1:18" x14ac:dyDescent="0.25">
      <c r="A525" s="91" t="s">
        <v>345</v>
      </c>
      <c r="B525" s="84" t="s">
        <v>317</v>
      </c>
      <c r="C525" s="50">
        <v>33855</v>
      </c>
      <c r="D525" s="50"/>
      <c r="E525" s="50"/>
      <c r="F525" s="50"/>
      <c r="G525" s="50"/>
      <c r="H525" s="50"/>
      <c r="I525" s="50"/>
      <c r="J525" s="50"/>
      <c r="K525" s="50"/>
      <c r="L525" s="50"/>
      <c r="M525" s="50"/>
      <c r="N525" s="50"/>
      <c r="O525" s="50"/>
      <c r="P525" s="50"/>
      <c r="Q525" s="50"/>
      <c r="R525" s="50"/>
    </row>
    <row r="526" spans="1:18" x14ac:dyDescent="0.25">
      <c r="A526" s="91" t="s">
        <v>346</v>
      </c>
      <c r="B526" s="84" t="s">
        <v>317</v>
      </c>
      <c r="C526" s="50">
        <v>5044</v>
      </c>
      <c r="D526" s="50"/>
      <c r="E526" s="50"/>
      <c r="F526" s="50"/>
      <c r="G526" s="50"/>
      <c r="H526" s="50"/>
      <c r="I526" s="50"/>
      <c r="J526" s="50"/>
      <c r="K526" s="50"/>
      <c r="L526" s="50"/>
      <c r="M526" s="50"/>
      <c r="N526" s="50"/>
      <c r="O526" s="50"/>
      <c r="P526" s="50"/>
      <c r="Q526" s="50"/>
      <c r="R526" s="50"/>
    </row>
    <row r="527" spans="1:18" x14ac:dyDescent="0.25">
      <c r="A527" s="91" t="s">
        <v>347</v>
      </c>
      <c r="B527" s="84" t="s">
        <v>317</v>
      </c>
      <c r="C527" s="50"/>
      <c r="D527" s="50"/>
      <c r="E527" s="50"/>
      <c r="F527" s="85">
        <v>80156</v>
      </c>
      <c r="G527" s="50"/>
      <c r="H527" s="50"/>
      <c r="I527" s="50"/>
      <c r="J527" s="50"/>
      <c r="K527" s="50"/>
      <c r="L527" s="50"/>
      <c r="M527" s="50"/>
      <c r="N527" s="50"/>
      <c r="O527" s="50"/>
      <c r="P527" s="50"/>
      <c r="Q527" s="50"/>
      <c r="R527" s="50"/>
    </row>
    <row r="528" spans="1:18" x14ac:dyDescent="0.25">
      <c r="A528" s="91" t="s">
        <v>348</v>
      </c>
      <c r="B528" s="84" t="s">
        <v>317</v>
      </c>
      <c r="C528" s="50"/>
      <c r="D528" s="50"/>
      <c r="E528" s="50"/>
      <c r="F528" s="85">
        <v>850</v>
      </c>
      <c r="G528" s="50"/>
      <c r="H528" s="50"/>
      <c r="I528" s="50"/>
      <c r="J528" s="50"/>
      <c r="K528" s="50"/>
      <c r="L528" s="50"/>
      <c r="M528" s="50"/>
      <c r="N528" s="50"/>
      <c r="O528" s="50"/>
      <c r="P528" s="50"/>
      <c r="Q528" s="50"/>
      <c r="R528" s="50"/>
    </row>
    <row r="529" spans="1:18" x14ac:dyDescent="0.25">
      <c r="A529" s="91" t="s">
        <v>349</v>
      </c>
      <c r="B529" s="84"/>
      <c r="C529" s="91">
        <v>9448</v>
      </c>
      <c r="D529" s="50"/>
      <c r="E529" s="50"/>
      <c r="F529" s="50"/>
      <c r="G529" s="50"/>
      <c r="H529" s="50"/>
      <c r="I529" s="50"/>
      <c r="J529" s="50"/>
      <c r="K529" s="50"/>
      <c r="L529" s="50"/>
      <c r="M529" s="50"/>
      <c r="N529" s="50"/>
      <c r="O529" s="50"/>
      <c r="P529" s="50"/>
      <c r="Q529" s="50"/>
      <c r="R529" s="50"/>
    </row>
    <row r="530" spans="1:18" s="43" customFormat="1" x14ac:dyDescent="0.25">
      <c r="A530" s="97" t="s">
        <v>350</v>
      </c>
      <c r="B530" s="88" t="s">
        <v>330</v>
      </c>
      <c r="C530" s="50"/>
      <c r="D530" s="50"/>
      <c r="E530" s="50"/>
      <c r="F530" s="50"/>
      <c r="G530" s="50"/>
      <c r="H530" s="50"/>
      <c r="I530" s="50"/>
      <c r="J530" s="50"/>
      <c r="K530" s="50"/>
      <c r="L530" s="50"/>
      <c r="M530" s="50"/>
      <c r="N530" s="50"/>
      <c r="O530" s="50"/>
      <c r="P530" s="50"/>
      <c r="Q530" s="50"/>
      <c r="R530" s="50"/>
    </row>
    <row r="531" spans="1:18" s="43" customFormat="1" x14ac:dyDescent="0.25">
      <c r="A531" s="97" t="s">
        <v>351</v>
      </c>
      <c r="B531" s="88" t="s">
        <v>330</v>
      </c>
      <c r="C531" s="50"/>
      <c r="D531" s="50"/>
      <c r="E531" s="50"/>
      <c r="F531" s="50"/>
      <c r="G531" s="50"/>
      <c r="H531" s="50"/>
      <c r="I531" s="50"/>
      <c r="J531" s="50"/>
      <c r="K531" s="50"/>
      <c r="L531" s="50"/>
      <c r="M531" s="50"/>
      <c r="N531" s="50"/>
      <c r="O531" s="50"/>
      <c r="P531" s="50"/>
      <c r="Q531" s="50"/>
      <c r="R531" s="50"/>
    </row>
    <row r="532" spans="1:18" s="43" customFormat="1" x14ac:dyDescent="0.25">
      <c r="A532" s="97" t="s">
        <v>352</v>
      </c>
      <c r="B532" s="88" t="s">
        <v>330</v>
      </c>
      <c r="C532" s="50"/>
      <c r="D532" s="50"/>
      <c r="E532" s="50"/>
      <c r="F532" s="50"/>
      <c r="G532" s="50"/>
      <c r="H532" s="50"/>
      <c r="I532" s="50"/>
      <c r="J532" s="50"/>
      <c r="K532" s="50"/>
      <c r="L532" s="50"/>
      <c r="M532" s="50"/>
      <c r="N532" s="50"/>
      <c r="O532" s="50"/>
      <c r="P532" s="50"/>
      <c r="Q532" s="50"/>
      <c r="R532" s="50"/>
    </row>
    <row r="533" spans="1:18" s="43" customFormat="1" x14ac:dyDescent="0.25">
      <c r="A533" s="97" t="s">
        <v>353</v>
      </c>
      <c r="B533" s="88" t="s">
        <v>330</v>
      </c>
      <c r="C533" s="50"/>
      <c r="D533" s="50"/>
      <c r="E533" s="50"/>
      <c r="F533" s="50"/>
      <c r="G533" s="50"/>
      <c r="H533" s="50"/>
      <c r="I533" s="50"/>
      <c r="J533" s="50"/>
      <c r="K533" s="50"/>
      <c r="L533" s="50"/>
      <c r="M533" s="50"/>
      <c r="N533" s="50"/>
      <c r="O533" s="50"/>
      <c r="P533" s="50"/>
      <c r="Q533" s="50"/>
      <c r="R533" s="50"/>
    </row>
    <row r="534" spans="1:18" s="43" customFormat="1" x14ac:dyDescent="0.25">
      <c r="A534" s="97" t="s">
        <v>354</v>
      </c>
      <c r="B534" s="88" t="s">
        <v>330</v>
      </c>
      <c r="C534" s="50"/>
      <c r="D534" s="50"/>
      <c r="E534" s="50"/>
      <c r="F534" s="50"/>
      <c r="G534" s="50"/>
      <c r="H534" s="50"/>
      <c r="I534" s="50"/>
      <c r="J534" s="50"/>
      <c r="K534" s="50"/>
      <c r="L534" s="50"/>
      <c r="M534" s="50"/>
      <c r="N534" s="50"/>
      <c r="O534" s="50"/>
      <c r="P534" s="50"/>
      <c r="Q534" s="50"/>
      <c r="R534" s="50"/>
    </row>
    <row r="535" spans="1:18" s="43" customFormat="1" x14ac:dyDescent="0.25">
      <c r="A535" s="87" t="s">
        <v>322</v>
      </c>
      <c r="B535" s="96" t="s">
        <v>323</v>
      </c>
      <c r="C535" s="50"/>
      <c r="D535" s="50"/>
      <c r="E535" s="50"/>
      <c r="F535" s="50"/>
      <c r="G535" s="50"/>
      <c r="H535" s="50"/>
      <c r="I535" s="50"/>
      <c r="J535" s="50"/>
      <c r="K535" s="89">
        <v>50000</v>
      </c>
      <c r="L535" s="50"/>
      <c r="M535" s="50"/>
      <c r="N535" s="50"/>
      <c r="O535" s="50"/>
      <c r="P535" s="50"/>
      <c r="Q535" s="50"/>
      <c r="R535" s="50"/>
    </row>
    <row r="536" spans="1:18" s="43" customFormat="1" x14ac:dyDescent="0.25">
      <c r="A536" s="87" t="s">
        <v>324</v>
      </c>
      <c r="B536" s="96" t="s">
        <v>323</v>
      </c>
      <c r="C536" s="50"/>
      <c r="D536" s="50"/>
      <c r="E536" s="50"/>
      <c r="F536" s="50"/>
      <c r="G536" s="50"/>
      <c r="H536" s="50"/>
      <c r="I536" s="50"/>
      <c r="J536" s="50"/>
      <c r="K536" s="50"/>
      <c r="L536" s="50"/>
      <c r="M536" s="89">
        <v>60000</v>
      </c>
      <c r="N536" s="50"/>
      <c r="O536" s="50"/>
      <c r="P536" s="50"/>
      <c r="Q536" s="50"/>
      <c r="R536" s="89">
        <v>60000</v>
      </c>
    </row>
    <row r="537" spans="1:18" s="43" customFormat="1" x14ac:dyDescent="0.25">
      <c r="A537" s="87" t="s">
        <v>355</v>
      </c>
      <c r="B537" s="96" t="s">
        <v>323</v>
      </c>
      <c r="C537" s="50"/>
      <c r="D537" s="50"/>
      <c r="E537" s="50"/>
      <c r="F537" s="50"/>
      <c r="G537" s="50"/>
      <c r="H537" s="50"/>
      <c r="I537" s="50"/>
      <c r="J537" s="50"/>
      <c r="K537" s="50"/>
      <c r="L537" s="50"/>
      <c r="M537" s="50"/>
      <c r="N537" s="50"/>
      <c r="O537" s="89">
        <v>80000</v>
      </c>
      <c r="P537" s="50"/>
      <c r="Q537" s="50"/>
      <c r="R537" s="50"/>
    </row>
    <row r="538" spans="1:18" x14ac:dyDescent="0.25">
      <c r="A538" s="52" t="s">
        <v>356</v>
      </c>
      <c r="B538" s="53"/>
      <c r="C538" s="59">
        <v>0</v>
      </c>
      <c r="D538" s="50"/>
      <c r="E538" s="50"/>
      <c r="F538" s="50"/>
      <c r="G538" s="50"/>
      <c r="H538" s="50"/>
      <c r="I538" s="50"/>
      <c r="J538" s="50"/>
      <c r="K538" s="50"/>
      <c r="L538" s="50"/>
      <c r="M538" s="50"/>
      <c r="N538" s="50"/>
      <c r="O538" s="50"/>
      <c r="P538" s="50"/>
      <c r="Q538" s="50"/>
      <c r="R538" s="50"/>
    </row>
    <row r="539" spans="1:18" x14ac:dyDescent="0.25">
      <c r="A539" s="52"/>
      <c r="C539" s="50"/>
      <c r="D539" s="50"/>
      <c r="E539" s="50"/>
      <c r="F539" s="50"/>
      <c r="G539" s="50"/>
      <c r="H539" s="50"/>
      <c r="I539" s="50"/>
      <c r="J539" s="50"/>
      <c r="K539" s="50"/>
      <c r="L539" s="50"/>
      <c r="M539" s="50"/>
      <c r="N539" s="50"/>
      <c r="O539" s="50"/>
      <c r="P539" s="50"/>
      <c r="Q539" s="50"/>
      <c r="R539" s="50"/>
    </row>
    <row r="540" spans="1:18" x14ac:dyDescent="0.25">
      <c r="A540" s="41" t="s">
        <v>107</v>
      </c>
      <c r="B540" s="44"/>
      <c r="C540" s="51">
        <f t="shared" ref="C540:R540" si="403">SUM(C491:C539)</f>
        <v>144307</v>
      </c>
      <c r="D540" s="51">
        <f t="shared" si="403"/>
        <v>20232</v>
      </c>
      <c r="E540" s="51">
        <f>SUM(E491:E539)</f>
        <v>20164</v>
      </c>
      <c r="F540" s="51">
        <f t="shared" ref="F540:G540" si="404">SUM(F491:F539)</f>
        <v>81006</v>
      </c>
      <c r="G540" s="51">
        <f t="shared" si="404"/>
        <v>1590</v>
      </c>
      <c r="H540" s="51">
        <f t="shared" si="403"/>
        <v>0</v>
      </c>
      <c r="I540" s="51">
        <f t="shared" si="403"/>
        <v>25000</v>
      </c>
      <c r="J540" s="51">
        <f t="shared" si="403"/>
        <v>0</v>
      </c>
      <c r="K540" s="51">
        <f t="shared" si="403"/>
        <v>125000</v>
      </c>
      <c r="L540" s="51">
        <f t="shared" si="403"/>
        <v>35000</v>
      </c>
      <c r="M540" s="51">
        <f t="shared" si="403"/>
        <v>60000</v>
      </c>
      <c r="N540" s="51">
        <f t="shared" si="403"/>
        <v>55000</v>
      </c>
      <c r="O540" s="51">
        <f t="shared" si="403"/>
        <v>80000</v>
      </c>
      <c r="P540" s="51">
        <f t="shared" si="403"/>
        <v>50000</v>
      </c>
      <c r="Q540" s="51">
        <f t="shared" si="403"/>
        <v>0</v>
      </c>
      <c r="R540" s="51">
        <f t="shared" si="403"/>
        <v>115000</v>
      </c>
    </row>
    <row r="541" spans="1:18" x14ac:dyDescent="0.25">
      <c r="A541" s="41"/>
      <c r="B541" s="44"/>
      <c r="C541" s="50"/>
      <c r="D541" s="50"/>
      <c r="E541" s="50"/>
      <c r="F541" s="50"/>
      <c r="G541" s="50"/>
      <c r="H541" s="50"/>
      <c r="I541" s="50"/>
      <c r="J541" s="50"/>
      <c r="K541" s="50"/>
      <c r="L541" s="50"/>
      <c r="M541" s="50"/>
      <c r="N541" s="50"/>
      <c r="O541" s="50"/>
      <c r="P541" s="50"/>
      <c r="Q541" s="50"/>
      <c r="R541" s="50"/>
    </row>
    <row r="542" spans="1:18" x14ac:dyDescent="0.25">
      <c r="A542" s="41" t="s">
        <v>357</v>
      </c>
      <c r="B542" s="44"/>
      <c r="C542" s="51">
        <f t="shared" ref="C542:R542" si="405">-C454+C481+C540-C487</f>
        <v>259630</v>
      </c>
      <c r="D542" s="51">
        <f t="shared" si="405"/>
        <v>114632</v>
      </c>
      <c r="E542" s="51">
        <f t="shared" si="405"/>
        <v>87412.959999999992</v>
      </c>
      <c r="F542" s="51">
        <f t="shared" si="405"/>
        <v>175318</v>
      </c>
      <c r="G542" s="51">
        <f t="shared" si="405"/>
        <v>73320</v>
      </c>
      <c r="H542" s="51">
        <f t="shared" si="405"/>
        <v>150910</v>
      </c>
      <c r="I542" s="51">
        <f t="shared" si="405"/>
        <v>179788.40000000002</v>
      </c>
      <c r="J542" s="51">
        <f t="shared" si="405"/>
        <v>159012.68689999997</v>
      </c>
      <c r="K542" s="51">
        <f t="shared" si="405"/>
        <v>288560.75418809993</v>
      </c>
      <c r="L542" s="51">
        <f t="shared" si="405"/>
        <v>203293.97822331128</v>
      </c>
      <c r="M542" s="51">
        <f t="shared" si="405"/>
        <v>233024.55808378296</v>
      </c>
      <c r="N542" s="51">
        <f t="shared" si="405"/>
        <v>232783.46505879285</v>
      </c>
      <c r="O542" s="51">
        <f t="shared" si="405"/>
        <v>263046.35980841122</v>
      </c>
      <c r="P542" s="51">
        <f t="shared" si="405"/>
        <v>238597.86312780617</v>
      </c>
      <c r="Q542" s="51">
        <f t="shared" si="405"/>
        <v>194276.5886331792</v>
      </c>
      <c r="R542" s="51">
        <f t="shared" si="405"/>
        <v>312799.40933193284</v>
      </c>
    </row>
    <row r="543" spans="1:18" x14ac:dyDescent="0.25">
      <c r="A543" s="41"/>
      <c r="B543" s="44"/>
      <c r="C543" s="51"/>
      <c r="D543" s="51"/>
      <c r="E543" s="51"/>
      <c r="F543" s="51"/>
      <c r="G543" s="51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R543" s="51"/>
    </row>
    <row r="544" spans="1:18" x14ac:dyDescent="0.25">
      <c r="A544" s="41"/>
      <c r="B544" s="44"/>
      <c r="C544" s="50"/>
      <c r="D544" s="50"/>
      <c r="E544" s="50"/>
      <c r="F544" s="50"/>
      <c r="G544" s="50"/>
      <c r="H544" s="50"/>
      <c r="I544" s="50"/>
      <c r="J544" s="50"/>
      <c r="K544" s="50"/>
      <c r="L544" s="50"/>
      <c r="M544" s="50"/>
      <c r="N544" s="50"/>
      <c r="O544" s="50"/>
      <c r="P544" s="50"/>
      <c r="Q544" s="50"/>
      <c r="R544" s="50"/>
    </row>
    <row r="545" spans="1:18" x14ac:dyDescent="0.25">
      <c r="A545" s="41" t="s">
        <v>358</v>
      </c>
      <c r="B545" s="44"/>
      <c r="C545" s="50"/>
      <c r="D545" s="50"/>
      <c r="E545" s="50"/>
      <c r="F545" s="50"/>
      <c r="G545" s="50"/>
      <c r="H545" s="50"/>
      <c r="I545" s="50"/>
      <c r="J545" s="50"/>
      <c r="K545" s="50"/>
      <c r="L545" s="50"/>
      <c r="M545" s="50"/>
      <c r="N545" s="50"/>
      <c r="O545" s="50"/>
      <c r="P545" s="50"/>
      <c r="Q545" s="50"/>
      <c r="R545" s="50"/>
    </row>
    <row r="546" spans="1:18" x14ac:dyDescent="0.25"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M546" s="50"/>
      <c r="N546" s="50"/>
      <c r="O546" s="50"/>
      <c r="P546" s="50"/>
      <c r="Q546" s="50"/>
      <c r="R546" s="50"/>
    </row>
    <row r="547" spans="1:18" x14ac:dyDescent="0.25">
      <c r="A547" s="41" t="s">
        <v>202</v>
      </c>
      <c r="B547" s="44"/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M547" s="50"/>
      <c r="N547" s="50"/>
      <c r="O547" s="50"/>
      <c r="P547" s="50"/>
      <c r="Q547" s="50"/>
      <c r="R547" s="50"/>
    </row>
    <row r="548" spans="1:18" x14ac:dyDescent="0.25">
      <c r="C548" s="50"/>
      <c r="D548" s="50"/>
      <c r="E548" s="50"/>
      <c r="F548" s="50"/>
      <c r="G548" s="50"/>
      <c r="H548" s="50"/>
      <c r="I548" s="50"/>
      <c r="J548" s="50"/>
      <c r="K548" s="50"/>
      <c r="L548" s="50"/>
      <c r="M548" s="50"/>
      <c r="N548" s="50"/>
      <c r="O548" s="50"/>
      <c r="P548" s="50"/>
      <c r="Q548" s="50"/>
      <c r="R548" s="50"/>
    </row>
    <row r="549" spans="1:18" x14ac:dyDescent="0.25">
      <c r="A549" s="52" t="s">
        <v>359</v>
      </c>
      <c r="B549" s="53"/>
      <c r="C549" s="68">
        <v>1353</v>
      </c>
      <c r="D549" s="54">
        <v>1353</v>
      </c>
      <c r="E549" s="54">
        <v>1230</v>
      </c>
      <c r="F549" s="43">
        <v>1230</v>
      </c>
      <c r="G549" s="43">
        <v>1425</v>
      </c>
      <c r="H549" s="43">
        <v>1400</v>
      </c>
      <c r="I549" s="54">
        <f>H549*1.023</f>
        <v>1432.1999999999998</v>
      </c>
      <c r="J549" s="54">
        <f t="shared" ref="J549:K549" si="406">I549*1.024</f>
        <v>1466.5727999999999</v>
      </c>
      <c r="K549" s="54">
        <f t="shared" si="406"/>
        <v>1501.7705472</v>
      </c>
      <c r="L549" s="54">
        <f t="shared" ref="L549" si="407">K549*1.023</f>
        <v>1536.3112697856</v>
      </c>
      <c r="M549" s="54">
        <f t="shared" ref="M549" si="408">L549*1.022</f>
        <v>1570.1101177208832</v>
      </c>
      <c r="N549" s="54">
        <f t="shared" ref="N549" si="409">M549*1.023</f>
        <v>1606.2226504284633</v>
      </c>
      <c r="O549" s="54">
        <f t="shared" ref="O549:P549" si="410">N549*1.025</f>
        <v>1646.3782166891747</v>
      </c>
      <c r="P549" s="54">
        <f t="shared" si="410"/>
        <v>1687.537672106404</v>
      </c>
      <c r="Q549" s="54">
        <f t="shared" ref="Q549:R549" si="411">P549*1.024</f>
        <v>1728.0385762369576</v>
      </c>
      <c r="R549" s="54">
        <f t="shared" si="411"/>
        <v>1769.5115020666447</v>
      </c>
    </row>
    <row r="550" spans="1:18" x14ac:dyDescent="0.25">
      <c r="A550" s="52" t="s">
        <v>360</v>
      </c>
      <c r="B550" s="53"/>
      <c r="C550" s="59"/>
      <c r="D550" s="50">
        <v>0</v>
      </c>
      <c r="E550" s="50">
        <v>0</v>
      </c>
      <c r="F550" s="50">
        <v>0</v>
      </c>
      <c r="G550" s="50">
        <v>0</v>
      </c>
      <c r="H550" s="50">
        <v>0</v>
      </c>
      <c r="I550" s="50">
        <v>0</v>
      </c>
      <c r="J550" s="50">
        <v>0</v>
      </c>
      <c r="K550" s="50">
        <v>0</v>
      </c>
      <c r="L550" s="50">
        <v>0</v>
      </c>
      <c r="M550" s="50">
        <v>0</v>
      </c>
      <c r="N550" s="50">
        <v>0</v>
      </c>
      <c r="O550" s="50">
        <v>0</v>
      </c>
      <c r="P550" s="50">
        <v>0</v>
      </c>
      <c r="Q550" s="50">
        <v>0</v>
      </c>
      <c r="R550" s="50">
        <v>0</v>
      </c>
    </row>
    <row r="551" spans="1:18" x14ac:dyDescent="0.25">
      <c r="A551" s="52" t="s">
        <v>361</v>
      </c>
      <c r="B551" s="53"/>
      <c r="C551" s="68">
        <v>218</v>
      </c>
      <c r="D551" s="54">
        <v>64</v>
      </c>
      <c r="E551" s="54">
        <v>0</v>
      </c>
      <c r="F551" s="54">
        <v>0</v>
      </c>
      <c r="G551" s="54">
        <v>0</v>
      </c>
      <c r="H551" s="54">
        <v>0</v>
      </c>
      <c r="I551" s="54">
        <v>0</v>
      </c>
      <c r="J551" s="54">
        <v>0</v>
      </c>
      <c r="K551" s="54">
        <v>0</v>
      </c>
      <c r="L551" s="54">
        <v>0</v>
      </c>
      <c r="M551" s="54">
        <v>0</v>
      </c>
      <c r="N551" s="54">
        <v>0</v>
      </c>
      <c r="O551" s="54">
        <v>0</v>
      </c>
      <c r="P551" s="54">
        <v>0</v>
      </c>
      <c r="Q551" s="54">
        <v>0</v>
      </c>
      <c r="R551" s="54">
        <v>0</v>
      </c>
    </row>
    <row r="552" spans="1:18" x14ac:dyDescent="0.25">
      <c r="A552" s="52" t="s">
        <v>362</v>
      </c>
      <c r="B552" s="53"/>
      <c r="C552" s="50">
        <v>0</v>
      </c>
      <c r="D552" s="50">
        <v>0</v>
      </c>
      <c r="E552" s="50">
        <v>0</v>
      </c>
      <c r="F552" s="50">
        <v>0</v>
      </c>
      <c r="G552" s="50">
        <v>0</v>
      </c>
      <c r="H552" s="50">
        <v>0</v>
      </c>
      <c r="I552" s="50">
        <v>0</v>
      </c>
      <c r="J552" s="50">
        <v>0</v>
      </c>
      <c r="K552" s="50">
        <v>0</v>
      </c>
      <c r="L552" s="50">
        <v>0</v>
      </c>
      <c r="M552" s="50">
        <v>0</v>
      </c>
      <c r="N552" s="50">
        <v>0</v>
      </c>
      <c r="O552" s="50">
        <v>0</v>
      </c>
      <c r="P552" s="50">
        <v>0</v>
      </c>
      <c r="Q552" s="50">
        <v>0</v>
      </c>
      <c r="R552" s="50">
        <v>0</v>
      </c>
    </row>
    <row r="553" spans="1:18" x14ac:dyDescent="0.25">
      <c r="A553" s="52" t="s">
        <v>363</v>
      </c>
      <c r="B553" s="53"/>
      <c r="C553" s="50">
        <v>1818</v>
      </c>
      <c r="D553" s="50"/>
      <c r="E553" s="50">
        <v>1700</v>
      </c>
      <c r="F553" s="50">
        <v>1164</v>
      </c>
      <c r="G553" s="50"/>
      <c r="H553" s="50"/>
      <c r="I553" s="50"/>
      <c r="J553" s="50"/>
      <c r="K553" s="50"/>
      <c r="L553" s="50"/>
      <c r="M553" s="50"/>
      <c r="N553" s="50"/>
      <c r="O553" s="50"/>
      <c r="P553" s="50"/>
      <c r="Q553" s="50"/>
      <c r="R553" s="50"/>
    </row>
    <row r="554" spans="1:18" x14ac:dyDescent="0.25">
      <c r="A554" s="98"/>
      <c r="B554" s="53"/>
      <c r="C554" s="50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</row>
    <row r="555" spans="1:18" x14ac:dyDescent="0.25">
      <c r="A555" s="41" t="s">
        <v>216</v>
      </c>
      <c r="B555" s="44"/>
      <c r="C555" s="51">
        <f>SUM(C549:C554)</f>
        <v>3389</v>
      </c>
      <c r="D555" s="51">
        <f t="shared" ref="D555" si="412">SUM(D549:D552)</f>
        <v>1417</v>
      </c>
      <c r="E555" s="51">
        <f>SUM(E549:E553)</f>
        <v>2930</v>
      </c>
      <c r="F555" s="51">
        <f>SUM(F549:F553)</f>
        <v>2394</v>
      </c>
      <c r="G555" s="51">
        <f t="shared" ref="G555:R555" si="413">SUM(G549:G552)</f>
        <v>1425</v>
      </c>
      <c r="H555" s="51">
        <f t="shared" si="413"/>
        <v>1400</v>
      </c>
      <c r="I555" s="51">
        <f t="shared" si="413"/>
        <v>1432.1999999999998</v>
      </c>
      <c r="J555" s="51">
        <f t="shared" si="413"/>
        <v>1466.5727999999999</v>
      </c>
      <c r="K555" s="51">
        <f t="shared" si="413"/>
        <v>1501.7705472</v>
      </c>
      <c r="L555" s="51">
        <f t="shared" si="413"/>
        <v>1536.3112697856</v>
      </c>
      <c r="M555" s="51">
        <f t="shared" si="413"/>
        <v>1570.1101177208832</v>
      </c>
      <c r="N555" s="51">
        <f t="shared" si="413"/>
        <v>1606.2226504284633</v>
      </c>
      <c r="O555" s="51">
        <f t="shared" si="413"/>
        <v>1646.3782166891747</v>
      </c>
      <c r="P555" s="51">
        <f t="shared" si="413"/>
        <v>1687.537672106404</v>
      </c>
      <c r="Q555" s="51">
        <f t="shared" si="413"/>
        <v>1728.0385762369576</v>
      </c>
      <c r="R555" s="51">
        <f t="shared" si="413"/>
        <v>1769.5115020666447</v>
      </c>
    </row>
    <row r="556" spans="1:18" x14ac:dyDescent="0.25">
      <c r="C556" s="50"/>
      <c r="D556" s="50"/>
      <c r="E556" s="50"/>
      <c r="F556" s="50"/>
      <c r="G556" s="50"/>
      <c r="H556" s="50"/>
      <c r="I556" s="50"/>
      <c r="J556" s="50"/>
      <c r="K556" s="50"/>
      <c r="L556" s="50"/>
      <c r="M556" s="50"/>
      <c r="N556" s="50"/>
      <c r="O556" s="50"/>
      <c r="P556" s="50"/>
      <c r="Q556" s="50"/>
      <c r="R556" s="50"/>
    </row>
    <row r="557" spans="1:18" x14ac:dyDescent="0.25">
      <c r="A557" s="41" t="s">
        <v>165</v>
      </c>
      <c r="B557" s="44"/>
      <c r="C557" s="50"/>
      <c r="D557" s="50"/>
      <c r="E557" s="50"/>
      <c r="F557" s="50"/>
      <c r="G557" s="50"/>
      <c r="H557" s="50"/>
      <c r="I557" s="50"/>
      <c r="J557" s="50"/>
      <c r="K557" s="50"/>
      <c r="L557" s="50"/>
      <c r="M557" s="50"/>
      <c r="N557" s="50"/>
      <c r="O557" s="50"/>
      <c r="P557" s="50"/>
      <c r="Q557" s="50"/>
      <c r="R557" s="50"/>
    </row>
    <row r="558" spans="1:18" x14ac:dyDescent="0.25">
      <c r="C558" s="50"/>
      <c r="D558" s="50"/>
      <c r="E558" s="50"/>
      <c r="F558" s="50"/>
      <c r="G558" s="50"/>
      <c r="H558" s="50"/>
      <c r="I558" s="50"/>
      <c r="J558" s="50"/>
      <c r="K558" s="50"/>
      <c r="L558" s="50"/>
      <c r="M558" s="50"/>
      <c r="N558" s="50"/>
      <c r="O558" s="50"/>
      <c r="P558" s="50"/>
      <c r="Q558" s="50"/>
      <c r="R558" s="50"/>
    </row>
    <row r="559" spans="1:18" x14ac:dyDescent="0.25">
      <c r="A559" s="52" t="s">
        <v>364</v>
      </c>
      <c r="B559" s="53"/>
      <c r="C559" s="59">
        <v>4334</v>
      </c>
      <c r="D559" s="50">
        <v>2460</v>
      </c>
      <c r="E559" s="50">
        <v>2460</v>
      </c>
      <c r="F559">
        <v>2182</v>
      </c>
      <c r="G559">
        <v>2850</v>
      </c>
      <c r="H559">
        <v>3000</v>
      </c>
      <c r="I559" s="54">
        <f t="shared" ref="I559:I560" si="414">H559*1.023</f>
        <v>3068.9999999999995</v>
      </c>
      <c r="J559" s="54">
        <f t="shared" ref="J559:K560" si="415">I559*1.024</f>
        <v>3142.6559999999995</v>
      </c>
      <c r="K559" s="54">
        <f t="shared" si="415"/>
        <v>3218.0797439999997</v>
      </c>
      <c r="L559" s="54">
        <f t="shared" ref="L559:L560" si="416">K559*1.023</f>
        <v>3292.0955781119992</v>
      </c>
      <c r="M559" s="54">
        <f t="shared" ref="M559:M560" si="417">L559*1.022</f>
        <v>3364.5216808304631</v>
      </c>
      <c r="N559" s="54">
        <f t="shared" ref="N559:N560" si="418">M559*1.023</f>
        <v>3441.9056794895632</v>
      </c>
      <c r="O559" s="54">
        <f t="shared" ref="O559:P560" si="419">N559*1.025</f>
        <v>3527.9533214768021</v>
      </c>
      <c r="P559" s="54">
        <f t="shared" si="419"/>
        <v>3616.1521545137221</v>
      </c>
      <c r="Q559" s="54">
        <f t="shared" ref="Q559:R560" si="420">P559*1.024</f>
        <v>3702.9398062220516</v>
      </c>
      <c r="R559" s="54">
        <f t="shared" si="420"/>
        <v>3791.8103615713808</v>
      </c>
    </row>
    <row r="560" spans="1:18" x14ac:dyDescent="0.25">
      <c r="A560" s="52" t="s">
        <v>365</v>
      </c>
      <c r="B560" s="53"/>
      <c r="C560" s="59">
        <v>0</v>
      </c>
      <c r="D560" s="54">
        <v>209</v>
      </c>
      <c r="E560" s="54">
        <v>0</v>
      </c>
      <c r="F560" s="54">
        <v>0</v>
      </c>
      <c r="G560" s="54">
        <v>735</v>
      </c>
      <c r="H560" s="54">
        <v>800</v>
      </c>
      <c r="I560" s="54">
        <f t="shared" si="414"/>
        <v>818.4</v>
      </c>
      <c r="J560" s="54">
        <f t="shared" si="415"/>
        <v>838.04160000000002</v>
      </c>
      <c r="K560" s="54">
        <f t="shared" si="415"/>
        <v>858.15459840000005</v>
      </c>
      <c r="L560" s="54">
        <f t="shared" si="416"/>
        <v>877.89215416319996</v>
      </c>
      <c r="M560" s="54">
        <f t="shared" si="417"/>
        <v>897.20578155479041</v>
      </c>
      <c r="N560" s="54">
        <f t="shared" si="418"/>
        <v>917.84151453055051</v>
      </c>
      <c r="O560" s="54">
        <f t="shared" si="419"/>
        <v>940.78755239381417</v>
      </c>
      <c r="P560" s="54">
        <f t="shared" si="419"/>
        <v>964.30724120365949</v>
      </c>
      <c r="Q560" s="54">
        <f t="shared" si="420"/>
        <v>987.45061499254734</v>
      </c>
      <c r="R560" s="54">
        <f t="shared" si="420"/>
        <v>1011.1494297523685</v>
      </c>
    </row>
    <row r="561" spans="1:18" x14ac:dyDescent="0.25">
      <c r="A561" s="43" t="s">
        <v>366</v>
      </c>
      <c r="B561" s="53"/>
      <c r="D561" s="50">
        <v>0</v>
      </c>
      <c r="E561" s="50">
        <v>0</v>
      </c>
      <c r="F561" s="50">
        <v>0</v>
      </c>
      <c r="G561" s="50">
        <v>0</v>
      </c>
      <c r="H561" s="50">
        <v>0</v>
      </c>
      <c r="I561" s="50">
        <v>0</v>
      </c>
      <c r="J561" s="50">
        <v>0</v>
      </c>
      <c r="K561" s="50">
        <v>0</v>
      </c>
      <c r="L561" s="50">
        <v>0</v>
      </c>
      <c r="M561" s="50">
        <v>0</v>
      </c>
      <c r="N561" s="50">
        <v>0</v>
      </c>
      <c r="O561" s="50">
        <v>0</v>
      </c>
      <c r="P561" s="50">
        <v>0</v>
      </c>
      <c r="Q561" s="50">
        <v>0</v>
      </c>
      <c r="R561" s="50">
        <v>0</v>
      </c>
    </row>
    <row r="562" spans="1:18" x14ac:dyDescent="0.25">
      <c r="A562" s="52" t="s">
        <v>362</v>
      </c>
      <c r="B562" s="53"/>
      <c r="C562" s="50">
        <v>0</v>
      </c>
      <c r="D562" s="50">
        <v>0</v>
      </c>
      <c r="E562" s="50">
        <v>0</v>
      </c>
      <c r="F562" s="50">
        <v>0</v>
      </c>
      <c r="G562" s="50">
        <v>0</v>
      </c>
      <c r="H562" s="50">
        <v>0</v>
      </c>
      <c r="I562" s="50">
        <v>0</v>
      </c>
      <c r="J562" s="50">
        <v>0</v>
      </c>
      <c r="K562" s="50">
        <v>0</v>
      </c>
      <c r="L562" s="50">
        <v>0</v>
      </c>
      <c r="M562" s="50">
        <v>0</v>
      </c>
      <c r="N562" s="50">
        <v>0</v>
      </c>
      <c r="O562" s="50">
        <v>0</v>
      </c>
      <c r="P562" s="50">
        <v>0</v>
      </c>
      <c r="Q562" s="50">
        <v>0</v>
      </c>
      <c r="R562" s="50">
        <v>0</v>
      </c>
    </row>
    <row r="563" spans="1:18" x14ac:dyDescent="0.25">
      <c r="A563" s="52" t="s">
        <v>367</v>
      </c>
      <c r="B563" s="53"/>
      <c r="C563" s="50"/>
      <c r="D563" s="50"/>
      <c r="E563" s="50"/>
      <c r="F563" s="50"/>
      <c r="G563" s="50"/>
      <c r="H563" s="50"/>
      <c r="I563" s="50">
        <v>0</v>
      </c>
      <c r="J563" s="50">
        <v>0</v>
      </c>
      <c r="K563" s="50">
        <v>0</v>
      </c>
      <c r="L563" s="50">
        <v>0</v>
      </c>
      <c r="M563" s="50">
        <v>0</v>
      </c>
      <c r="N563" s="50">
        <v>0</v>
      </c>
      <c r="O563" s="50">
        <v>0</v>
      </c>
      <c r="P563" s="50">
        <v>0</v>
      </c>
      <c r="Q563" s="50">
        <v>0</v>
      </c>
      <c r="R563" s="50">
        <v>0</v>
      </c>
    </row>
    <row r="564" spans="1:18" x14ac:dyDescent="0.25">
      <c r="A564" s="52" t="s">
        <v>363</v>
      </c>
      <c r="B564" s="53"/>
      <c r="C564" s="50">
        <v>1233</v>
      </c>
      <c r="D564" s="50"/>
      <c r="E564" s="50">
        <v>840</v>
      </c>
      <c r="F564" s="50">
        <v>1164</v>
      </c>
      <c r="G564" s="50"/>
      <c r="H564" s="50"/>
      <c r="I564" s="50"/>
      <c r="J564" s="50"/>
      <c r="K564" s="50"/>
      <c r="L564" s="50"/>
      <c r="M564" s="50"/>
      <c r="N564" s="50"/>
      <c r="O564" s="50"/>
      <c r="P564" s="50"/>
      <c r="Q564" s="50"/>
      <c r="R564" s="50"/>
    </row>
    <row r="565" spans="1:18" x14ac:dyDescent="0.25">
      <c r="C565" s="50"/>
      <c r="D565" s="50"/>
      <c r="E565" s="50"/>
      <c r="F565" s="50"/>
      <c r="G565" s="50"/>
      <c r="H565" s="50"/>
      <c r="I565" s="50"/>
      <c r="J565" s="50"/>
      <c r="K565" s="50"/>
      <c r="L565" s="50"/>
      <c r="M565" s="50"/>
      <c r="N565" s="50"/>
      <c r="O565" s="50"/>
      <c r="P565" s="50"/>
      <c r="Q565" s="50"/>
      <c r="R565" s="50"/>
    </row>
    <row r="566" spans="1:18" x14ac:dyDescent="0.25">
      <c r="A566" s="41" t="s">
        <v>230</v>
      </c>
      <c r="B566" s="44"/>
      <c r="C566" s="51">
        <f t="shared" ref="C566" si="421">SUM(C559:C565)</f>
        <v>5567</v>
      </c>
      <c r="D566" s="51">
        <f t="shared" ref="D566:R566" si="422">SUM(D559:D565)</f>
        <v>2669</v>
      </c>
      <c r="E566" s="51">
        <f t="shared" si="422"/>
        <v>3300</v>
      </c>
      <c r="F566" s="51">
        <f t="shared" si="422"/>
        <v>3346</v>
      </c>
      <c r="G566" s="51">
        <f t="shared" si="422"/>
        <v>3585</v>
      </c>
      <c r="H566" s="51">
        <f t="shared" si="422"/>
        <v>3800</v>
      </c>
      <c r="I566" s="51">
        <f t="shared" si="422"/>
        <v>3887.3999999999996</v>
      </c>
      <c r="J566" s="51">
        <f t="shared" si="422"/>
        <v>3980.6975999999995</v>
      </c>
      <c r="K566" s="51">
        <f t="shared" si="422"/>
        <v>4076.2343423999996</v>
      </c>
      <c r="L566" s="51">
        <f t="shared" si="422"/>
        <v>4169.9877322751991</v>
      </c>
      <c r="M566" s="51">
        <f t="shared" si="422"/>
        <v>4261.7274623852536</v>
      </c>
      <c r="N566" s="51">
        <f t="shared" si="422"/>
        <v>4359.747194020114</v>
      </c>
      <c r="O566" s="51">
        <f t="shared" si="422"/>
        <v>4468.7408738706163</v>
      </c>
      <c r="P566" s="51">
        <f t="shared" si="422"/>
        <v>4580.459395717382</v>
      </c>
      <c r="Q566" s="51">
        <f t="shared" si="422"/>
        <v>4690.390421214599</v>
      </c>
      <c r="R566" s="51">
        <f t="shared" si="422"/>
        <v>4802.9597913237494</v>
      </c>
    </row>
    <row r="567" spans="1:18" x14ac:dyDescent="0.25">
      <c r="A567" s="41"/>
      <c r="B567" s="44"/>
      <c r="C567" s="51"/>
      <c r="D567" s="51"/>
      <c r="E567" s="51"/>
      <c r="F567" s="51"/>
      <c r="G567" s="51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R567" s="51"/>
    </row>
    <row r="568" spans="1:18" x14ac:dyDescent="0.25">
      <c r="A568" s="41" t="s">
        <v>251</v>
      </c>
      <c r="B568" s="44"/>
      <c r="C568" s="51"/>
      <c r="D568" s="51"/>
      <c r="E568" s="51"/>
      <c r="F568" s="51"/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</row>
    <row r="569" spans="1:18" x14ac:dyDescent="0.25">
      <c r="A569" s="41"/>
      <c r="B569" s="44"/>
      <c r="C569" s="51"/>
      <c r="D569" s="51"/>
      <c r="E569" s="51"/>
      <c r="F569" s="51"/>
      <c r="G569" s="51"/>
      <c r="H569" s="51"/>
      <c r="I569" s="51"/>
      <c r="J569" s="51"/>
      <c r="K569" s="51"/>
      <c r="L569" s="51"/>
      <c r="M569" s="51"/>
      <c r="N569" s="51"/>
      <c r="O569" s="51"/>
      <c r="P569" s="51"/>
      <c r="Q569" s="51"/>
      <c r="R569" s="51"/>
    </row>
    <row r="570" spans="1:18" x14ac:dyDescent="0.25">
      <c r="A570" s="43" t="s">
        <v>368</v>
      </c>
      <c r="C570" s="50">
        <v>0</v>
      </c>
      <c r="D570" s="54">
        <f>C570*1.025</f>
        <v>0</v>
      </c>
      <c r="E570" s="54">
        <f>D570*1.025</f>
        <v>0</v>
      </c>
      <c r="F570" s="54">
        <v>0</v>
      </c>
      <c r="G570" s="54">
        <v>0</v>
      </c>
      <c r="H570" s="54">
        <v>0</v>
      </c>
      <c r="I570" s="54">
        <v>0</v>
      </c>
      <c r="J570" s="54">
        <v>0</v>
      </c>
      <c r="K570" s="54">
        <v>0</v>
      </c>
      <c r="L570" s="54">
        <v>0</v>
      </c>
      <c r="M570" s="54">
        <v>0</v>
      </c>
      <c r="N570" s="54">
        <v>0</v>
      </c>
      <c r="O570" s="54">
        <v>0</v>
      </c>
      <c r="P570" s="54">
        <v>0</v>
      </c>
      <c r="Q570" s="54">
        <f>P570*1.025</f>
        <v>0</v>
      </c>
      <c r="R570" s="54">
        <f>Q570*1.025</f>
        <v>0</v>
      </c>
    </row>
    <row r="571" spans="1:18" x14ac:dyDescent="0.25">
      <c r="C571" s="51"/>
      <c r="D571" s="51"/>
      <c r="E571" s="51"/>
      <c r="F571" s="51"/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</row>
    <row r="572" spans="1:18" x14ac:dyDescent="0.25">
      <c r="A572" s="41" t="s">
        <v>254</v>
      </c>
      <c r="B572" s="44"/>
      <c r="C572" s="51">
        <f t="shared" ref="C572" si="423">SUM(C570:C571)</f>
        <v>0</v>
      </c>
      <c r="D572" s="51">
        <f t="shared" ref="D572:E572" si="424">SUM(D570:D571)</f>
        <v>0</v>
      </c>
      <c r="E572" s="51">
        <f t="shared" si="424"/>
        <v>0</v>
      </c>
      <c r="F572" s="51">
        <v>0</v>
      </c>
      <c r="G572" s="51">
        <v>0</v>
      </c>
      <c r="H572" s="51">
        <v>0</v>
      </c>
      <c r="I572" s="51">
        <v>0</v>
      </c>
      <c r="J572" s="51">
        <v>0</v>
      </c>
      <c r="K572" s="51">
        <v>0</v>
      </c>
      <c r="L572" s="51">
        <v>0</v>
      </c>
      <c r="M572" s="51">
        <v>0</v>
      </c>
      <c r="N572" s="51">
        <v>0</v>
      </c>
      <c r="O572" s="51">
        <v>0</v>
      </c>
      <c r="P572" s="51">
        <v>0</v>
      </c>
      <c r="Q572" s="51">
        <f>SUM(Q570:Q571)</f>
        <v>0</v>
      </c>
      <c r="R572" s="51">
        <f>SUM(R570:R571)</f>
        <v>0</v>
      </c>
    </row>
    <row r="573" spans="1:18" x14ac:dyDescent="0.25">
      <c r="A573" s="41"/>
      <c r="B573" s="44"/>
      <c r="C573" s="51"/>
      <c r="D573" s="51"/>
      <c r="E573" s="51"/>
      <c r="F573" s="51"/>
      <c r="G573" s="51"/>
      <c r="H573" s="51"/>
      <c r="I573" s="51"/>
      <c r="J573" s="51"/>
      <c r="K573" s="51"/>
      <c r="L573" s="51"/>
      <c r="M573" s="51"/>
      <c r="N573" s="51"/>
      <c r="O573" s="51"/>
      <c r="P573" s="51"/>
      <c r="Q573" s="51"/>
      <c r="R573" s="51"/>
    </row>
    <row r="574" spans="1:18" x14ac:dyDescent="0.25">
      <c r="A574" s="41" t="s">
        <v>171</v>
      </c>
      <c r="B574" s="44"/>
      <c r="C574" s="51"/>
      <c r="D574" s="51"/>
      <c r="E574" s="51"/>
      <c r="F574" s="51"/>
      <c r="G574" s="51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</row>
    <row r="575" spans="1:18" x14ac:dyDescent="0.25">
      <c r="A575" s="41"/>
      <c r="B575" s="44"/>
      <c r="C575" s="51"/>
      <c r="D575" s="51"/>
      <c r="E575" s="51"/>
      <c r="F575" s="51"/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</row>
    <row r="576" spans="1:18" x14ac:dyDescent="0.25">
      <c r="A576" s="52" t="s">
        <v>369</v>
      </c>
      <c r="B576" s="53"/>
      <c r="C576" s="50">
        <v>0</v>
      </c>
      <c r="D576" s="54">
        <f>C576*1.025</f>
        <v>0</v>
      </c>
      <c r="E576" s="54">
        <f>D576*1.025</f>
        <v>0</v>
      </c>
      <c r="F576" s="54">
        <v>0</v>
      </c>
      <c r="G576" s="54">
        <v>0</v>
      </c>
      <c r="H576" s="54">
        <v>0</v>
      </c>
      <c r="I576" s="54">
        <v>0</v>
      </c>
      <c r="J576" s="54">
        <v>0</v>
      </c>
      <c r="K576" s="54">
        <v>0</v>
      </c>
      <c r="L576" s="54">
        <v>0</v>
      </c>
      <c r="M576" s="54">
        <v>0</v>
      </c>
      <c r="N576" s="54">
        <v>0</v>
      </c>
      <c r="O576" s="54">
        <v>0</v>
      </c>
      <c r="P576" s="54">
        <v>0</v>
      </c>
      <c r="Q576" s="54">
        <f>P576*1.025</f>
        <v>0</v>
      </c>
      <c r="R576" s="54">
        <f>Q576*1.025</f>
        <v>0</v>
      </c>
    </row>
    <row r="577" spans="1:18" x14ac:dyDescent="0.25">
      <c r="C577" s="51"/>
      <c r="D577" s="51"/>
      <c r="E577" s="51"/>
      <c r="F577" s="51"/>
      <c r="G577" s="51"/>
      <c r="H577" s="51"/>
      <c r="I577" s="51"/>
      <c r="J577" s="51"/>
      <c r="K577" s="51"/>
      <c r="L577" s="51"/>
      <c r="M577" s="51"/>
      <c r="N577" s="51"/>
      <c r="O577" s="51"/>
      <c r="P577" s="51"/>
      <c r="Q577" s="51"/>
      <c r="R577" s="51"/>
    </row>
    <row r="578" spans="1:18" x14ac:dyDescent="0.25">
      <c r="A578" s="41" t="s">
        <v>107</v>
      </c>
      <c r="B578" s="44"/>
      <c r="C578" s="51">
        <f t="shared" ref="C578" si="425">SUM(C576:C577)</f>
        <v>0</v>
      </c>
      <c r="D578" s="51">
        <f t="shared" ref="D578:E578" si="426">SUM(D576:D577)</f>
        <v>0</v>
      </c>
      <c r="E578" s="51">
        <f t="shared" si="426"/>
        <v>0</v>
      </c>
      <c r="F578" s="51">
        <v>0</v>
      </c>
      <c r="G578" s="51">
        <v>0</v>
      </c>
      <c r="H578" s="51">
        <v>0</v>
      </c>
      <c r="I578" s="51">
        <v>0</v>
      </c>
      <c r="J578" s="51">
        <v>0</v>
      </c>
      <c r="K578" s="51">
        <v>0</v>
      </c>
      <c r="L578" s="51">
        <v>0</v>
      </c>
      <c r="M578" s="51">
        <v>0</v>
      </c>
      <c r="N578" s="51">
        <v>0</v>
      </c>
      <c r="O578" s="51">
        <v>0</v>
      </c>
      <c r="P578" s="51">
        <v>0</v>
      </c>
      <c r="Q578" s="51">
        <f>SUM(Q576:Q577)</f>
        <v>0</v>
      </c>
      <c r="R578" s="51">
        <f>SUM(R576:R577)</f>
        <v>0</v>
      </c>
    </row>
    <row r="579" spans="1:18" x14ac:dyDescent="0.25">
      <c r="A579" s="41"/>
      <c r="B579" s="44"/>
      <c r="C579" s="51"/>
      <c r="D579" s="51"/>
      <c r="E579" s="51"/>
      <c r="F579" s="51"/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</row>
    <row r="580" spans="1:18" x14ac:dyDescent="0.25">
      <c r="A580" s="41" t="s">
        <v>370</v>
      </c>
      <c r="B580" s="44"/>
      <c r="C580" s="51">
        <f t="shared" ref="C580:R580" si="427">C578-C572+C566-C555</f>
        <v>2178</v>
      </c>
      <c r="D580" s="51">
        <f t="shared" si="427"/>
        <v>1252</v>
      </c>
      <c r="E580" s="51">
        <f t="shared" si="427"/>
        <v>370</v>
      </c>
      <c r="F580" s="51">
        <f t="shared" si="427"/>
        <v>952</v>
      </c>
      <c r="G580" s="51">
        <f t="shared" si="427"/>
        <v>2160</v>
      </c>
      <c r="H580" s="51">
        <f t="shared" si="427"/>
        <v>2400</v>
      </c>
      <c r="I580" s="51">
        <f t="shared" si="427"/>
        <v>2455.1999999999998</v>
      </c>
      <c r="J580" s="51">
        <f t="shared" si="427"/>
        <v>2514.1247999999996</v>
      </c>
      <c r="K580" s="51">
        <f t="shared" si="427"/>
        <v>2574.4637951999994</v>
      </c>
      <c r="L580" s="51">
        <f t="shared" si="427"/>
        <v>2633.6764624895991</v>
      </c>
      <c r="M580" s="51">
        <f t="shared" si="427"/>
        <v>2691.6173446643706</v>
      </c>
      <c r="N580" s="51">
        <f t="shared" si="427"/>
        <v>2753.5245435916504</v>
      </c>
      <c r="O580" s="51">
        <f t="shared" si="427"/>
        <v>2822.3626571814416</v>
      </c>
      <c r="P580" s="51">
        <f t="shared" si="427"/>
        <v>2892.921723610978</v>
      </c>
      <c r="Q580" s="51">
        <f t="shared" si="427"/>
        <v>2962.3518449776411</v>
      </c>
      <c r="R580" s="51">
        <f t="shared" si="427"/>
        <v>3033.448289257105</v>
      </c>
    </row>
    <row r="581" spans="1:18" x14ac:dyDescent="0.25">
      <c r="A581" s="41"/>
      <c r="B581" s="44"/>
      <c r="C581" s="50"/>
      <c r="D581" s="50"/>
      <c r="E581" s="50"/>
      <c r="F581" s="50"/>
      <c r="G581" s="50"/>
      <c r="H581" s="50"/>
      <c r="I581" s="50"/>
      <c r="J581" s="50"/>
      <c r="K581" s="50"/>
      <c r="L581" s="50"/>
      <c r="M581" s="50"/>
      <c r="N581" s="50"/>
      <c r="O581" s="50"/>
      <c r="P581" s="50"/>
      <c r="Q581" s="50"/>
      <c r="R581" s="50"/>
    </row>
    <row r="582" spans="1:18" x14ac:dyDescent="0.25">
      <c r="C582" s="50"/>
      <c r="D582" s="50"/>
      <c r="E582" s="50"/>
      <c r="F582" s="50"/>
      <c r="G582" s="50"/>
      <c r="H582" s="50"/>
      <c r="I582" s="50"/>
      <c r="J582" s="50"/>
      <c r="K582" s="50"/>
      <c r="L582" s="50"/>
      <c r="M582" s="50"/>
      <c r="N582" s="50"/>
      <c r="O582" s="50"/>
      <c r="P582" s="50"/>
      <c r="Q582" s="50"/>
      <c r="R582" s="50"/>
    </row>
    <row r="583" spans="1:18" x14ac:dyDescent="0.25">
      <c r="A583" s="41" t="s">
        <v>371</v>
      </c>
      <c r="B583" s="44"/>
      <c r="C583" s="50"/>
      <c r="D583" s="50"/>
      <c r="E583" s="50"/>
      <c r="F583" s="50"/>
      <c r="G583" s="50"/>
      <c r="H583" s="50"/>
      <c r="I583" s="50"/>
      <c r="J583" s="50"/>
      <c r="K583" s="50"/>
      <c r="L583" s="50"/>
      <c r="M583" s="50"/>
      <c r="N583" s="50"/>
      <c r="O583" s="50"/>
      <c r="P583" s="50"/>
      <c r="Q583" s="50"/>
      <c r="R583" s="50"/>
    </row>
    <row r="584" spans="1:18" x14ac:dyDescent="0.25">
      <c r="C584" s="50"/>
      <c r="D584" s="50"/>
      <c r="E584" s="50"/>
      <c r="F584" s="50"/>
      <c r="G584" s="50"/>
      <c r="H584" s="50"/>
      <c r="I584" s="50"/>
      <c r="J584" s="50"/>
      <c r="K584" s="50"/>
      <c r="L584" s="50"/>
      <c r="M584" s="50"/>
      <c r="N584" s="50"/>
      <c r="O584" s="50"/>
      <c r="P584" s="50"/>
      <c r="Q584" s="50"/>
      <c r="R584" s="50"/>
    </row>
    <row r="585" spans="1:18" x14ac:dyDescent="0.25">
      <c r="A585" s="41" t="s">
        <v>202</v>
      </c>
      <c r="B585" s="44"/>
      <c r="C585" s="50"/>
      <c r="D585" s="50"/>
      <c r="E585" s="50"/>
      <c r="F585" s="50"/>
      <c r="G585" s="50"/>
      <c r="H585" s="50"/>
      <c r="I585" s="50"/>
      <c r="J585" s="50"/>
      <c r="K585" s="50"/>
      <c r="L585" s="50"/>
      <c r="M585" s="50"/>
      <c r="N585" s="50"/>
      <c r="O585" s="50"/>
      <c r="P585" s="50"/>
      <c r="Q585" s="50"/>
      <c r="R585" s="50"/>
    </row>
    <row r="586" spans="1:18" x14ac:dyDescent="0.25">
      <c r="C586" s="50"/>
      <c r="D586" s="50"/>
      <c r="E586" s="50"/>
      <c r="F586" s="50"/>
      <c r="G586" s="50"/>
      <c r="H586" s="50"/>
      <c r="I586" s="50"/>
      <c r="J586" s="50"/>
      <c r="K586" s="50"/>
      <c r="L586" s="50"/>
      <c r="M586" s="50"/>
      <c r="N586" s="50"/>
      <c r="O586" s="50"/>
      <c r="P586" s="50"/>
      <c r="Q586" s="50"/>
      <c r="R586" s="50"/>
    </row>
    <row r="587" spans="1:18" x14ac:dyDescent="0.25">
      <c r="A587" s="43" t="s">
        <v>372</v>
      </c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  <c r="P587" s="50"/>
      <c r="Q587" s="50"/>
      <c r="R587" s="50"/>
    </row>
    <row r="588" spans="1:18" x14ac:dyDescent="0.25">
      <c r="A588" s="52" t="s">
        <v>373</v>
      </c>
      <c r="B588" s="53"/>
      <c r="C588" s="59">
        <v>38027</v>
      </c>
      <c r="D588" s="54">
        <v>38838</v>
      </c>
      <c r="E588" s="43">
        <v>39630</v>
      </c>
      <c r="F588" s="50">
        <v>80663</v>
      </c>
      <c r="G588" s="50">
        <v>82099</v>
      </c>
      <c r="H588" s="50">
        <v>84100</v>
      </c>
      <c r="I588" s="54">
        <f>H588*1.023</f>
        <v>86034.299999999988</v>
      </c>
      <c r="J588" s="54">
        <f t="shared" ref="J588:K589" si="428">I588*1.024</f>
        <v>88099.123199999987</v>
      </c>
      <c r="K588" s="54">
        <f t="shared" si="428"/>
        <v>90213.502156799994</v>
      </c>
      <c r="L588" s="54">
        <f t="shared" ref="L588:L589" si="429">K588*1.023</f>
        <v>92288.41270640638</v>
      </c>
      <c r="M588" s="54">
        <f t="shared" ref="M588:M589" si="430">L588*1.022</f>
        <v>94318.757785947324</v>
      </c>
      <c r="N588" s="54">
        <f t="shared" ref="N588:N589" si="431">M588*1.023</f>
        <v>96488.089215024098</v>
      </c>
      <c r="O588" s="54">
        <f t="shared" ref="O588:P589" si="432">N588*1.025</f>
        <v>98900.291445399693</v>
      </c>
      <c r="P588" s="54">
        <f t="shared" si="432"/>
        <v>101372.79873153467</v>
      </c>
      <c r="Q588" s="54">
        <f t="shared" ref="Q588:R589" si="433">P588*1.024</f>
        <v>103805.7459010915</v>
      </c>
      <c r="R588" s="54">
        <f t="shared" si="433"/>
        <v>106297.08380271771</v>
      </c>
    </row>
    <row r="589" spans="1:18" x14ac:dyDescent="0.25">
      <c r="A589" s="43" t="s">
        <v>374</v>
      </c>
      <c r="B589" s="53"/>
      <c r="C589" s="59">
        <v>809</v>
      </c>
      <c r="D589" s="54">
        <v>6320</v>
      </c>
      <c r="E589" s="43">
        <v>3219</v>
      </c>
      <c r="F589" s="50">
        <v>3227</v>
      </c>
      <c r="G589" s="50">
        <v>3676</v>
      </c>
      <c r="H589" s="50">
        <v>3800</v>
      </c>
      <c r="I589" s="54">
        <f>H589*1.023</f>
        <v>3887.3999999999996</v>
      </c>
      <c r="J589" s="54">
        <f t="shared" si="428"/>
        <v>3980.6975999999995</v>
      </c>
      <c r="K589" s="54">
        <f t="shared" si="428"/>
        <v>4076.2343423999996</v>
      </c>
      <c r="L589" s="54">
        <f t="shared" si="429"/>
        <v>4169.9877322751991</v>
      </c>
      <c r="M589" s="54">
        <f t="shared" si="430"/>
        <v>4261.7274623852536</v>
      </c>
      <c r="N589" s="54">
        <f t="shared" si="431"/>
        <v>4359.747194020114</v>
      </c>
      <c r="O589" s="54">
        <f t="shared" si="432"/>
        <v>4468.7408738706163</v>
      </c>
      <c r="P589" s="54">
        <f t="shared" si="432"/>
        <v>4580.4593957173811</v>
      </c>
      <c r="Q589" s="54">
        <f t="shared" si="433"/>
        <v>4690.3904212145981</v>
      </c>
      <c r="R589" s="54">
        <f t="shared" si="433"/>
        <v>4802.9597913237485</v>
      </c>
    </row>
    <row r="590" spans="1:18" x14ac:dyDescent="0.25">
      <c r="A590" s="43" t="s">
        <v>375</v>
      </c>
      <c r="C590" s="59"/>
      <c r="D590" s="50"/>
      <c r="F590" s="50"/>
      <c r="G590" s="50">
        <v>0</v>
      </c>
      <c r="H590" s="50"/>
      <c r="I590" s="50"/>
      <c r="J590" s="50"/>
      <c r="K590" s="50"/>
      <c r="L590" s="50"/>
      <c r="M590" s="50"/>
      <c r="N590" s="50"/>
      <c r="O590" s="50"/>
      <c r="P590" s="50"/>
      <c r="Q590" s="50"/>
      <c r="R590" s="50"/>
    </row>
    <row r="591" spans="1:18" x14ac:dyDescent="0.25">
      <c r="A591" s="52" t="s">
        <v>376</v>
      </c>
      <c r="B591" s="53"/>
      <c r="C591" s="59">
        <v>718</v>
      </c>
      <c r="D591" s="43">
        <v>668</v>
      </c>
      <c r="E591" s="43">
        <f>515+46</f>
        <v>561</v>
      </c>
      <c r="F591" s="43">
        <v>517</v>
      </c>
      <c r="G591" s="43">
        <v>455</v>
      </c>
      <c r="H591" s="43">
        <v>480</v>
      </c>
      <c r="I591" s="54">
        <v>500</v>
      </c>
      <c r="J591" s="54">
        <v>600</v>
      </c>
      <c r="K591" s="54">
        <v>620</v>
      </c>
      <c r="L591" s="54">
        <v>580</v>
      </c>
      <c r="M591" s="54">
        <v>540</v>
      </c>
      <c r="N591" s="54">
        <v>620</v>
      </c>
      <c r="O591" s="54">
        <v>700.00000000000011</v>
      </c>
      <c r="P591" s="54">
        <v>720</v>
      </c>
      <c r="Q591" s="54">
        <v>680</v>
      </c>
      <c r="R591" s="54">
        <v>680</v>
      </c>
    </row>
    <row r="592" spans="1:18" x14ac:dyDescent="0.25">
      <c r="A592" s="43" t="s">
        <v>377</v>
      </c>
      <c r="C592" s="59"/>
      <c r="D592" s="50"/>
      <c r="F592" s="50"/>
      <c r="G592" s="50"/>
      <c r="H592" s="50"/>
      <c r="I592" s="50"/>
      <c r="J592" s="50"/>
      <c r="K592" s="50"/>
      <c r="L592" s="50"/>
      <c r="M592" s="50"/>
      <c r="N592" s="50"/>
      <c r="O592" s="50"/>
      <c r="P592" s="50"/>
      <c r="Q592" s="50"/>
      <c r="R592" s="50"/>
    </row>
    <row r="593" spans="1:18" x14ac:dyDescent="0.25">
      <c r="A593" s="52" t="s">
        <v>378</v>
      </c>
      <c r="B593" s="53"/>
      <c r="C593" s="59">
        <v>5251</v>
      </c>
      <c r="D593" s="54">
        <v>5399</v>
      </c>
      <c r="E593" s="43">
        <v>2743</v>
      </c>
      <c r="F593" s="54">
        <v>12164</v>
      </c>
      <c r="G593" s="54">
        <v>8297</v>
      </c>
      <c r="H593" s="54">
        <v>8400</v>
      </c>
      <c r="I593" s="54">
        <f t="shared" ref="I593:I597" si="434">H593*1.023</f>
        <v>8593.1999999999989</v>
      </c>
      <c r="J593" s="54">
        <f t="shared" ref="J593:K594" si="435">I593*1.024</f>
        <v>8799.4367999999995</v>
      </c>
      <c r="K593" s="54">
        <f t="shared" si="435"/>
        <v>9010.6232832000005</v>
      </c>
      <c r="L593" s="54">
        <f t="shared" ref="L593:L594" si="436">K593*1.023</f>
        <v>9217.8676187135989</v>
      </c>
      <c r="M593" s="54">
        <f t="shared" ref="M593:M594" si="437">L593*1.022</f>
        <v>9420.6607063252977</v>
      </c>
      <c r="N593" s="54">
        <f t="shared" ref="N593:N594" si="438">M593*1.023</f>
        <v>9637.3359025707796</v>
      </c>
      <c r="O593" s="54">
        <f t="shared" ref="O593:P594" si="439">N593*1.025</f>
        <v>9878.269300135049</v>
      </c>
      <c r="P593" s="54">
        <f t="shared" si="439"/>
        <v>10125.226032638424</v>
      </c>
      <c r="Q593" s="54">
        <f t="shared" ref="Q593:R594" si="440">P593*1.024</f>
        <v>10368.231457421747</v>
      </c>
      <c r="R593" s="54">
        <f t="shared" si="440"/>
        <v>10617.069012399868</v>
      </c>
    </row>
    <row r="594" spans="1:18" x14ac:dyDescent="0.25">
      <c r="A594" s="52" t="s">
        <v>379</v>
      </c>
      <c r="B594" s="53"/>
      <c r="C594" s="59">
        <v>6960</v>
      </c>
      <c r="D594" s="54">
        <v>7109</v>
      </c>
      <c r="E594" s="43">
        <v>7166</v>
      </c>
      <c r="F594" s="54">
        <v>7190</v>
      </c>
      <c r="G594" s="54">
        <v>7250</v>
      </c>
      <c r="H594" s="54">
        <v>7400</v>
      </c>
      <c r="I594" s="54">
        <f t="shared" si="434"/>
        <v>7570.1999999999989</v>
      </c>
      <c r="J594" s="54">
        <f t="shared" si="435"/>
        <v>7751.8847999999989</v>
      </c>
      <c r="K594" s="54">
        <f t="shared" si="435"/>
        <v>7937.9300351999991</v>
      </c>
      <c r="L594" s="54">
        <f t="shared" si="436"/>
        <v>8120.5024260095988</v>
      </c>
      <c r="M594" s="54">
        <f t="shared" si="437"/>
        <v>8299.15347938181</v>
      </c>
      <c r="N594" s="54">
        <f t="shared" si="438"/>
        <v>8490.0340094075909</v>
      </c>
      <c r="O594" s="54">
        <f t="shared" si="439"/>
        <v>8702.2848596427793</v>
      </c>
      <c r="P594" s="54">
        <f t="shared" si="439"/>
        <v>8919.8419811338481</v>
      </c>
      <c r="Q594" s="54">
        <f t="shared" si="440"/>
        <v>9133.9181886810602</v>
      </c>
      <c r="R594" s="54">
        <f t="shared" si="440"/>
        <v>9353.1322252094051</v>
      </c>
    </row>
    <row r="595" spans="1:18" x14ac:dyDescent="0.25">
      <c r="A595" s="43" t="s">
        <v>380</v>
      </c>
      <c r="C595" s="59"/>
      <c r="D595" s="50"/>
      <c r="F595" s="50"/>
      <c r="G595" s="50"/>
      <c r="H595" s="50"/>
      <c r="I595" s="50"/>
      <c r="J595" s="50"/>
      <c r="K595" s="50"/>
      <c r="L595" s="50"/>
      <c r="M595" s="50"/>
      <c r="N595" s="50"/>
      <c r="O595" s="50"/>
      <c r="P595" s="50"/>
      <c r="Q595" s="50"/>
      <c r="R595" s="50"/>
    </row>
    <row r="596" spans="1:18" x14ac:dyDescent="0.25">
      <c r="A596" s="52" t="s">
        <v>381</v>
      </c>
      <c r="B596" s="53"/>
      <c r="C596" s="59">
        <v>17136</v>
      </c>
      <c r="D596" s="54">
        <v>17530</v>
      </c>
      <c r="E596" s="43">
        <v>17951</v>
      </c>
      <c r="F596" s="54">
        <v>18274</v>
      </c>
      <c r="G596" s="54">
        <v>18548</v>
      </c>
      <c r="H596" s="50">
        <v>18700</v>
      </c>
      <c r="I596" s="54">
        <f t="shared" si="434"/>
        <v>19130.099999999999</v>
      </c>
      <c r="J596" s="54">
        <f t="shared" ref="J596:K597" si="441">I596*1.024</f>
        <v>19589.222399999999</v>
      </c>
      <c r="K596" s="54">
        <f t="shared" si="441"/>
        <v>20059.363737600001</v>
      </c>
      <c r="L596" s="54">
        <f t="shared" ref="L596:L597" si="442">K596*1.023</f>
        <v>20520.729103564798</v>
      </c>
      <c r="M596" s="54">
        <f t="shared" ref="M596:M597" si="443">L596*1.022</f>
        <v>20972.185143843224</v>
      </c>
      <c r="N596" s="54">
        <f t="shared" ref="N596:N597" si="444">M596*1.023</f>
        <v>21454.545402151616</v>
      </c>
      <c r="O596" s="54">
        <f t="shared" ref="O596:P597" si="445">N596*1.025</f>
        <v>21990.909037205405</v>
      </c>
      <c r="P596" s="54">
        <f t="shared" si="445"/>
        <v>22540.681763135537</v>
      </c>
      <c r="Q596" s="54">
        <f t="shared" ref="Q596:R597" si="446">P596*1.024</f>
        <v>23081.658125450791</v>
      </c>
      <c r="R596" s="54">
        <f t="shared" si="446"/>
        <v>23635.617920461609</v>
      </c>
    </row>
    <row r="597" spans="1:18" x14ac:dyDescent="0.25">
      <c r="A597" s="52" t="s">
        <v>382</v>
      </c>
      <c r="B597" s="53"/>
      <c r="C597" s="59">
        <v>2916</v>
      </c>
      <c r="D597" s="50">
        <v>3352</v>
      </c>
      <c r="E597" s="43">
        <v>3376</v>
      </c>
      <c r="F597" s="50">
        <v>2715</v>
      </c>
      <c r="G597" s="50">
        <v>836</v>
      </c>
      <c r="H597" s="50">
        <v>1000</v>
      </c>
      <c r="I597" s="54">
        <f t="shared" si="434"/>
        <v>1022.9999999999999</v>
      </c>
      <c r="J597" s="54">
        <f t="shared" si="441"/>
        <v>1047.5519999999999</v>
      </c>
      <c r="K597" s="54">
        <f t="shared" si="441"/>
        <v>1072.693248</v>
      </c>
      <c r="L597" s="54">
        <f t="shared" si="442"/>
        <v>1097.365192704</v>
      </c>
      <c r="M597" s="54">
        <f t="shared" si="443"/>
        <v>1121.5072269434881</v>
      </c>
      <c r="N597" s="54">
        <f t="shared" si="444"/>
        <v>1147.3018931631882</v>
      </c>
      <c r="O597" s="54">
        <f t="shared" si="445"/>
        <v>1175.9844404922678</v>
      </c>
      <c r="P597" s="54">
        <f t="shared" si="445"/>
        <v>1205.3840515045745</v>
      </c>
      <c r="Q597" s="54">
        <f t="shared" si="446"/>
        <v>1234.3132687406842</v>
      </c>
      <c r="R597" s="54">
        <f t="shared" si="446"/>
        <v>1263.9367871904606</v>
      </c>
    </row>
    <row r="598" spans="1:18" x14ac:dyDescent="0.25">
      <c r="C598" s="50"/>
      <c r="D598" s="50"/>
      <c r="E598" s="50"/>
      <c r="F598" s="50"/>
      <c r="G598" s="50"/>
      <c r="H598" s="50"/>
      <c r="I598" s="50"/>
      <c r="J598" s="50"/>
      <c r="K598" s="50"/>
      <c r="L598" s="50"/>
      <c r="M598" s="50"/>
      <c r="N598" s="50"/>
      <c r="O598" s="50"/>
      <c r="P598" s="50"/>
      <c r="Q598" s="50"/>
      <c r="R598" s="50"/>
    </row>
    <row r="599" spans="1:18" x14ac:dyDescent="0.25">
      <c r="A599" s="41" t="s">
        <v>216</v>
      </c>
      <c r="B599" s="44"/>
      <c r="C599" s="51">
        <f>SUM(C588:C598)</f>
        <v>71817</v>
      </c>
      <c r="D599" s="51">
        <f t="shared" ref="D599:R599" si="447">SUM(D588:D598)</f>
        <v>79216</v>
      </c>
      <c r="E599" s="51">
        <f t="shared" si="447"/>
        <v>74646</v>
      </c>
      <c r="F599" s="51">
        <f t="shared" si="447"/>
        <v>124750</v>
      </c>
      <c r="G599" s="51">
        <f t="shared" si="447"/>
        <v>121161</v>
      </c>
      <c r="H599" s="51">
        <f t="shared" si="447"/>
        <v>123880</v>
      </c>
      <c r="I599" s="51">
        <f t="shared" si="447"/>
        <v>126738.19999999998</v>
      </c>
      <c r="J599" s="51">
        <f t="shared" si="447"/>
        <v>129867.91679999998</v>
      </c>
      <c r="K599" s="51">
        <f t="shared" si="447"/>
        <v>132990.34680319999</v>
      </c>
      <c r="L599" s="51">
        <f t="shared" si="447"/>
        <v>135994.86477967357</v>
      </c>
      <c r="M599" s="51">
        <f t="shared" si="447"/>
        <v>138933.99180482639</v>
      </c>
      <c r="N599" s="51">
        <f t="shared" si="447"/>
        <v>142197.05361633739</v>
      </c>
      <c r="O599" s="51">
        <f t="shared" si="447"/>
        <v>145816.47995674581</v>
      </c>
      <c r="P599" s="51">
        <f t="shared" si="447"/>
        <v>149464.39195566444</v>
      </c>
      <c r="Q599" s="51">
        <f t="shared" si="447"/>
        <v>152994.25736260039</v>
      </c>
      <c r="R599" s="51">
        <f t="shared" si="447"/>
        <v>156649.7995393028</v>
      </c>
    </row>
    <row r="600" spans="1:18" x14ac:dyDescent="0.25">
      <c r="C600" s="50"/>
      <c r="D600" s="50"/>
      <c r="E600" s="50"/>
      <c r="F600" s="50"/>
      <c r="G600" s="50"/>
      <c r="H600" s="50"/>
      <c r="I600" s="50"/>
      <c r="J600" s="50"/>
      <c r="K600" s="50"/>
      <c r="L600" s="50"/>
      <c r="M600" s="50"/>
      <c r="N600" s="50"/>
      <c r="O600" s="50"/>
      <c r="P600" s="50"/>
      <c r="Q600" s="50"/>
      <c r="R600" s="50"/>
    </row>
    <row r="601" spans="1:18" x14ac:dyDescent="0.25">
      <c r="A601" s="41" t="s">
        <v>165</v>
      </c>
      <c r="B601" s="44"/>
      <c r="C601" s="99"/>
      <c r="D601" s="50"/>
      <c r="E601" s="50"/>
      <c r="F601" s="50"/>
      <c r="G601" s="50"/>
      <c r="H601" s="50"/>
      <c r="I601" s="50"/>
      <c r="J601" s="50"/>
      <c r="K601" s="50"/>
      <c r="L601" s="50"/>
      <c r="M601" s="50"/>
      <c r="N601" s="50"/>
      <c r="O601" s="50"/>
      <c r="P601" s="50"/>
      <c r="Q601" s="50"/>
      <c r="R601" s="50"/>
    </row>
    <row r="602" spans="1:18" x14ac:dyDescent="0.25">
      <c r="C602" s="50"/>
      <c r="D602" s="50"/>
      <c r="E602" s="50"/>
      <c r="F602" s="50"/>
      <c r="G602" s="50"/>
      <c r="H602" s="50"/>
      <c r="I602" s="50"/>
      <c r="J602" s="50"/>
      <c r="K602" s="50"/>
      <c r="L602" s="50"/>
      <c r="M602" s="50"/>
      <c r="N602" s="50"/>
      <c r="O602" s="50"/>
      <c r="P602" s="50"/>
      <c r="Q602" s="50"/>
      <c r="R602" s="50"/>
    </row>
    <row r="603" spans="1:18" x14ac:dyDescent="0.25">
      <c r="A603" s="52" t="s">
        <v>372</v>
      </c>
      <c r="B603" s="53"/>
      <c r="C603" s="50"/>
      <c r="D603" s="50"/>
      <c r="E603" s="50"/>
      <c r="F603" s="50"/>
      <c r="G603" s="50"/>
      <c r="H603" s="50"/>
      <c r="I603" s="50"/>
      <c r="J603" s="50"/>
      <c r="K603" s="50"/>
      <c r="L603" s="50"/>
      <c r="M603" s="50"/>
      <c r="N603" s="50"/>
      <c r="O603" s="50"/>
      <c r="P603" s="50"/>
      <c r="Q603" s="50"/>
      <c r="R603" s="50"/>
    </row>
    <row r="604" spans="1:18" x14ac:dyDescent="0.25">
      <c r="A604" s="52" t="s">
        <v>383</v>
      </c>
      <c r="B604" s="53"/>
      <c r="C604" s="68">
        <v>5131</v>
      </c>
      <c r="D604" s="50">
        <v>8414</v>
      </c>
      <c r="E604" s="50">
        <v>6969</v>
      </c>
      <c r="F604" s="50">
        <v>13948</v>
      </c>
      <c r="G604" s="50">
        <v>9556</v>
      </c>
      <c r="H604" s="50">
        <v>11900</v>
      </c>
      <c r="I604" s="50">
        <v>12192.5</v>
      </c>
      <c r="J604" s="50">
        <v>12497.215</v>
      </c>
      <c r="K604" s="50">
        <v>12810.823504999998</v>
      </c>
      <c r="L604" s="50">
        <v>13130.950249464999</v>
      </c>
      <c r="M604" s="50">
        <v>13455.711653567778</v>
      </c>
      <c r="N604" s="50">
        <v>13789.974665336111</v>
      </c>
      <c r="O604" s="50">
        <v>14139.738956934594</v>
      </c>
      <c r="P604" s="50">
        <v>14499.886519868773</v>
      </c>
      <c r="Q604" s="50">
        <v>14866.250550773908</v>
      </c>
      <c r="R604" s="50">
        <v>15241.935290561847</v>
      </c>
    </row>
    <row r="605" spans="1:18" x14ac:dyDescent="0.25">
      <c r="A605" s="43" t="s">
        <v>303</v>
      </c>
      <c r="C605" s="77">
        <v>122</v>
      </c>
      <c r="D605" s="100">
        <v>122</v>
      </c>
      <c r="E605" s="100">
        <v>0</v>
      </c>
      <c r="F605" s="100">
        <v>0</v>
      </c>
      <c r="G605" s="100">
        <v>0</v>
      </c>
      <c r="H605" s="100">
        <v>0</v>
      </c>
      <c r="I605" s="100">
        <v>0</v>
      </c>
      <c r="J605" s="100">
        <v>0</v>
      </c>
      <c r="K605" s="100">
        <v>0</v>
      </c>
      <c r="L605" s="100">
        <v>0</v>
      </c>
      <c r="M605" s="100">
        <v>0</v>
      </c>
      <c r="N605" s="100">
        <v>0</v>
      </c>
      <c r="O605" s="100">
        <v>0</v>
      </c>
      <c r="P605" s="100">
        <v>0</v>
      </c>
      <c r="Q605" s="100">
        <v>0</v>
      </c>
      <c r="R605" s="100">
        <v>0</v>
      </c>
    </row>
    <row r="606" spans="1:18" x14ac:dyDescent="0.25">
      <c r="A606" s="59" t="s">
        <v>384</v>
      </c>
      <c r="C606" s="77"/>
      <c r="D606" s="100"/>
      <c r="E606" s="101">
        <v>269</v>
      </c>
      <c r="F606" s="101">
        <v>269</v>
      </c>
      <c r="G606" s="101">
        <v>269</v>
      </c>
      <c r="H606" s="101">
        <v>280</v>
      </c>
      <c r="I606" s="101">
        <v>290</v>
      </c>
      <c r="J606" s="101">
        <v>290</v>
      </c>
      <c r="K606" s="101">
        <v>300</v>
      </c>
      <c r="L606" s="101">
        <v>310</v>
      </c>
      <c r="M606" s="101">
        <v>310</v>
      </c>
      <c r="N606" s="101">
        <v>320</v>
      </c>
      <c r="O606" s="101">
        <v>330</v>
      </c>
      <c r="P606" s="101">
        <v>340</v>
      </c>
      <c r="Q606" s="101">
        <v>340</v>
      </c>
      <c r="R606" s="101">
        <v>340</v>
      </c>
    </row>
    <row r="607" spans="1:18" x14ac:dyDescent="0.25">
      <c r="A607" s="52" t="s">
        <v>385</v>
      </c>
      <c r="B607" s="53"/>
      <c r="C607" s="59">
        <v>5830</v>
      </c>
      <c r="D607" s="50">
        <v>8391</v>
      </c>
      <c r="E607" s="50">
        <v>9338</v>
      </c>
      <c r="F607" s="50">
        <v>20523</v>
      </c>
      <c r="G607" s="50">
        <v>10765</v>
      </c>
      <c r="H607" s="50">
        <v>16470</v>
      </c>
      <c r="I607" s="54">
        <v>16904.949999999997</v>
      </c>
      <c r="J607" s="54">
        <v>17349.432950000002</v>
      </c>
      <c r="K607" s="54">
        <v>17806.30977955</v>
      </c>
      <c r="L607" s="54">
        <v>18268.342836167139</v>
      </c>
      <c r="M607" s="54">
        <v>18735.390462529234</v>
      </c>
      <c r="N607" s="54">
        <v>19223.248402235491</v>
      </c>
      <c r="O607" s="54">
        <v>19740.998122095269</v>
      </c>
      <c r="P607" s="54">
        <v>20273.550010441759</v>
      </c>
      <c r="Q607" s="54">
        <v>20812.80881599593</v>
      </c>
      <c r="R607" s="54">
        <v>21367.39260834951</v>
      </c>
    </row>
    <row r="608" spans="1:18" x14ac:dyDescent="0.25">
      <c r="A608" s="43" t="s">
        <v>303</v>
      </c>
      <c r="C608" s="77">
        <v>16615</v>
      </c>
      <c r="D608" s="74">
        <v>16615</v>
      </c>
      <c r="E608" s="74">
        <v>16615</v>
      </c>
      <c r="F608" s="102">
        <v>16615</v>
      </c>
      <c r="G608" s="71">
        <v>16615</v>
      </c>
      <c r="H608" s="73">
        <v>17300</v>
      </c>
      <c r="I608" s="73">
        <v>17670</v>
      </c>
      <c r="J608" s="73">
        <v>18080</v>
      </c>
      <c r="K608" s="73">
        <v>18500</v>
      </c>
      <c r="L608" s="73">
        <v>18930</v>
      </c>
      <c r="M608" s="73">
        <v>19330</v>
      </c>
      <c r="N608" s="73">
        <v>19760</v>
      </c>
      <c r="O608" s="73">
        <v>20250</v>
      </c>
      <c r="P608" s="73">
        <v>20750</v>
      </c>
      <c r="Q608" s="73">
        <v>20750</v>
      </c>
      <c r="R608" s="73">
        <v>20750</v>
      </c>
    </row>
    <row r="609" spans="1:18" x14ac:dyDescent="0.25">
      <c r="A609" s="59" t="s">
        <v>384</v>
      </c>
      <c r="C609" s="77"/>
      <c r="D609" s="81">
        <v>173</v>
      </c>
      <c r="E609" s="81">
        <v>412</v>
      </c>
      <c r="F609" s="81">
        <v>412</v>
      </c>
      <c r="G609" s="81">
        <v>412</v>
      </c>
      <c r="H609" s="81">
        <v>430</v>
      </c>
      <c r="I609" s="81">
        <v>440</v>
      </c>
      <c r="J609" s="101">
        <v>450</v>
      </c>
      <c r="K609" s="101">
        <v>460</v>
      </c>
      <c r="L609" s="101">
        <v>470</v>
      </c>
      <c r="M609" s="101">
        <v>480</v>
      </c>
      <c r="N609" s="101">
        <v>490</v>
      </c>
      <c r="O609" s="101">
        <v>500</v>
      </c>
      <c r="P609" s="101">
        <v>520</v>
      </c>
      <c r="Q609" s="101">
        <v>520</v>
      </c>
      <c r="R609" s="101">
        <v>520</v>
      </c>
    </row>
    <row r="610" spans="1:18" x14ac:dyDescent="0.25">
      <c r="A610" s="59"/>
      <c r="C610" s="77"/>
      <c r="D610" s="81"/>
      <c r="E610" s="81"/>
      <c r="F610" s="81"/>
      <c r="G610" s="81">
        <v>0</v>
      </c>
      <c r="H610" s="81"/>
      <c r="I610" s="81"/>
      <c r="J610" s="81"/>
      <c r="K610" s="101"/>
      <c r="L610" s="101"/>
      <c r="M610" s="101"/>
      <c r="N610" s="101"/>
      <c r="O610" s="101"/>
      <c r="P610" s="101"/>
      <c r="Q610" s="101"/>
      <c r="R610" s="101"/>
    </row>
    <row r="611" spans="1:18" x14ac:dyDescent="0.25">
      <c r="A611" s="43" t="s">
        <v>375</v>
      </c>
      <c r="C611" s="59"/>
      <c r="D611" s="50"/>
      <c r="E611" s="81"/>
      <c r="F611" s="81"/>
      <c r="G611" s="81">
        <v>0</v>
      </c>
      <c r="H611" s="81"/>
      <c r="I611" s="81"/>
      <c r="J611" s="81"/>
      <c r="K611" s="81"/>
      <c r="L611" s="81"/>
      <c r="M611" s="81"/>
      <c r="N611" s="81"/>
      <c r="O611" s="81"/>
      <c r="P611" s="81"/>
      <c r="Q611" s="81"/>
      <c r="R611" s="81"/>
    </row>
    <row r="612" spans="1:18" x14ac:dyDescent="0.25">
      <c r="A612" s="52" t="s">
        <v>386</v>
      </c>
      <c r="B612" s="53"/>
      <c r="C612" s="59">
        <v>15000</v>
      </c>
      <c r="D612" s="54">
        <v>15000</v>
      </c>
      <c r="E612" s="54">
        <v>15000</v>
      </c>
      <c r="F612" s="54">
        <v>15000</v>
      </c>
      <c r="G612" s="54">
        <v>15000</v>
      </c>
      <c r="H612" s="54">
        <v>15000</v>
      </c>
      <c r="I612" s="54">
        <f>H612*1.023</f>
        <v>15344.999999999998</v>
      </c>
      <c r="J612" s="54">
        <f t="shared" ref="J612:K612" si="448">I612*1.024</f>
        <v>15713.279999999999</v>
      </c>
      <c r="K612" s="54">
        <f t="shared" si="448"/>
        <v>16090.398719999999</v>
      </c>
      <c r="L612" s="54">
        <f t="shared" ref="L612" si="449">K612*1.023</f>
        <v>16460.477890559996</v>
      </c>
      <c r="M612" s="54">
        <f t="shared" ref="M612" si="450">L612*1.022</f>
        <v>16822.608404152317</v>
      </c>
      <c r="N612" s="54">
        <f t="shared" ref="N612" si="451">M612*1.023</f>
        <v>17209.528397447819</v>
      </c>
      <c r="O612" s="54">
        <f t="shared" ref="O612:P612" si="452">N612*1.025</f>
        <v>17639.766607384012</v>
      </c>
      <c r="P612" s="54">
        <f t="shared" si="452"/>
        <v>18080.76077256861</v>
      </c>
      <c r="Q612" s="54">
        <f t="shared" ref="Q612:R612" si="453">P612*1.024</f>
        <v>18514.699031110256</v>
      </c>
      <c r="R612" s="54">
        <f t="shared" si="453"/>
        <v>18959.051807856904</v>
      </c>
    </row>
    <row r="613" spans="1:18" x14ac:dyDescent="0.25">
      <c r="A613" s="43" t="s">
        <v>377</v>
      </c>
      <c r="C613" s="59"/>
      <c r="D613" s="50"/>
      <c r="E613" s="50"/>
      <c r="F613" s="50"/>
      <c r="G613" s="50"/>
      <c r="H613" s="50"/>
      <c r="I613" s="50"/>
      <c r="J613" s="50"/>
      <c r="K613" s="50"/>
      <c r="L613" s="50"/>
      <c r="M613" s="50"/>
      <c r="N613" s="50"/>
      <c r="O613" s="50"/>
      <c r="P613" s="50"/>
      <c r="Q613" s="50"/>
      <c r="R613" s="50"/>
    </row>
    <row r="614" spans="1:18" x14ac:dyDescent="0.25">
      <c r="A614" s="52" t="s">
        <v>387</v>
      </c>
      <c r="B614" s="53"/>
      <c r="C614" s="59">
        <v>3256</v>
      </c>
      <c r="D614" s="50">
        <v>2031</v>
      </c>
      <c r="E614" s="50">
        <v>5787</v>
      </c>
      <c r="F614" s="50">
        <v>4423</v>
      </c>
      <c r="G614" s="50">
        <v>2417</v>
      </c>
      <c r="H614" s="50">
        <v>5200</v>
      </c>
      <c r="I614" s="50">
        <v>5352.7999999999993</v>
      </c>
      <c r="J614" s="50">
        <v>5508.0977999999996</v>
      </c>
      <c r="K614" s="50">
        <v>5669.265007199996</v>
      </c>
      <c r="L614" s="50">
        <v>5832.3791925156002</v>
      </c>
      <c r="M614" s="50">
        <v>5996.0780671356442</v>
      </c>
      <c r="N614" s="50">
        <v>6168.5132419916554</v>
      </c>
      <c r="O614" s="50">
        <v>6356.4799552819713</v>
      </c>
      <c r="P614" s="50">
        <v>6551.7591423815538</v>
      </c>
      <c r="Q614" s="50">
        <v>6748.966693819184</v>
      </c>
      <c r="R614" s="50">
        <v>6952.8239484637561</v>
      </c>
    </row>
    <row r="615" spans="1:18" x14ac:dyDescent="0.25">
      <c r="A615" s="43" t="s">
        <v>302</v>
      </c>
      <c r="B615" s="103"/>
      <c r="C615" s="52">
        <v>0</v>
      </c>
      <c r="D615" s="50"/>
      <c r="E615" s="50"/>
      <c r="F615" s="50"/>
      <c r="G615" s="50">
        <v>0</v>
      </c>
      <c r="H615" s="50"/>
      <c r="I615" s="50"/>
      <c r="J615" s="50"/>
      <c r="K615" s="50"/>
      <c r="L615" s="50"/>
      <c r="M615" s="50"/>
      <c r="N615" s="50"/>
      <c r="O615" s="50"/>
      <c r="P615" s="50"/>
      <c r="Q615" s="50"/>
      <c r="R615" s="50"/>
    </row>
    <row r="616" spans="1:18" x14ac:dyDescent="0.25">
      <c r="A616" s="43" t="s">
        <v>388</v>
      </c>
      <c r="C616" s="74">
        <v>10872</v>
      </c>
      <c r="D616" s="74">
        <v>13069</v>
      </c>
      <c r="E616" s="72">
        <v>13069</v>
      </c>
      <c r="F616" s="74">
        <v>13069</v>
      </c>
      <c r="G616" s="73">
        <v>13069</v>
      </c>
      <c r="H616" s="73">
        <v>13610</v>
      </c>
      <c r="I616" s="73">
        <v>13900</v>
      </c>
      <c r="J616" s="73">
        <v>14220</v>
      </c>
      <c r="K616" s="73">
        <v>14560</v>
      </c>
      <c r="L616" s="73">
        <v>14890</v>
      </c>
      <c r="M616" s="73">
        <v>15200</v>
      </c>
      <c r="N616" s="73">
        <v>15540</v>
      </c>
      <c r="O616" s="73">
        <v>15930</v>
      </c>
      <c r="P616" s="73">
        <v>16330</v>
      </c>
      <c r="Q616" s="73">
        <v>16330</v>
      </c>
      <c r="R616" s="73">
        <v>16330</v>
      </c>
    </row>
    <row r="617" spans="1:18" x14ac:dyDescent="0.25">
      <c r="A617" s="52" t="s">
        <v>389</v>
      </c>
      <c r="C617" s="81">
        <v>666</v>
      </c>
      <c r="D617" s="81">
        <v>1323</v>
      </c>
      <c r="E617" s="81">
        <v>1358</v>
      </c>
      <c r="F617" s="81">
        <v>1358</v>
      </c>
      <c r="G617" s="79">
        <v>1358</v>
      </c>
      <c r="H617" s="101">
        <v>1410</v>
      </c>
      <c r="I617" s="101">
        <v>1450</v>
      </c>
      <c r="J617" s="101">
        <v>1470</v>
      </c>
      <c r="K617" s="101">
        <v>1510</v>
      </c>
      <c r="L617" s="101">
        <v>1550</v>
      </c>
      <c r="M617" s="101">
        <v>1580</v>
      </c>
      <c r="N617" s="101">
        <v>1610</v>
      </c>
      <c r="O617" s="101">
        <v>1650</v>
      </c>
      <c r="P617" s="101">
        <v>1700</v>
      </c>
      <c r="Q617" s="101">
        <v>1700</v>
      </c>
      <c r="R617" s="101">
        <v>1700</v>
      </c>
    </row>
    <row r="618" spans="1:18" x14ac:dyDescent="0.25">
      <c r="A618" s="52" t="s">
        <v>390</v>
      </c>
      <c r="B618" s="53"/>
      <c r="C618" s="59">
        <v>0</v>
      </c>
      <c r="D618" s="54">
        <v>0</v>
      </c>
      <c r="E618" s="54">
        <v>0</v>
      </c>
      <c r="F618" s="50">
        <v>0</v>
      </c>
      <c r="G618" s="50">
        <v>0</v>
      </c>
      <c r="H618" s="50">
        <f>300-300</f>
        <v>0</v>
      </c>
      <c r="I618" s="54">
        <f>H618*1.02</f>
        <v>0</v>
      </c>
      <c r="J618" s="54">
        <f t="shared" ref="J618" si="454">I618*1.021</f>
        <v>0</v>
      </c>
      <c r="K618" s="54">
        <f t="shared" ref="K618" si="455">J618*1.023</f>
        <v>0</v>
      </c>
      <c r="L618" s="54">
        <f t="shared" ref="L618" si="456">K618*1.024</f>
        <v>0</v>
      </c>
      <c r="M618" s="54">
        <f t="shared" ref="M618" si="457">L618*1.023</f>
        <v>0</v>
      </c>
      <c r="N618" s="54">
        <f t="shared" ref="N618" si="458">M618*1.021</f>
        <v>0</v>
      </c>
      <c r="O618" s="54">
        <f t="shared" ref="O618" si="459">N618*1.022</f>
        <v>0</v>
      </c>
      <c r="P618" s="54">
        <f t="shared" ref="P618:R618" si="460">O618*1.025</f>
        <v>0</v>
      </c>
      <c r="Q618" s="54">
        <f t="shared" si="460"/>
        <v>0</v>
      </c>
      <c r="R618" s="54">
        <f t="shared" si="460"/>
        <v>0</v>
      </c>
    </row>
    <row r="619" spans="1:18" x14ac:dyDescent="0.25">
      <c r="A619" s="52" t="s">
        <v>379</v>
      </c>
      <c r="B619" s="53"/>
      <c r="C619" s="59">
        <v>6379</v>
      </c>
      <c r="D619" s="50">
        <v>6447</v>
      </c>
      <c r="E619" s="50">
        <v>5259</v>
      </c>
      <c r="F619" s="54">
        <v>8140</v>
      </c>
      <c r="G619" s="50">
        <v>7728</v>
      </c>
      <c r="H619" s="54">
        <v>7080</v>
      </c>
      <c r="I619" s="50">
        <v>7287.5999999999985</v>
      </c>
      <c r="J619" s="50">
        <v>7498.7142999999996</v>
      </c>
      <c r="K619" s="50">
        <v>7718.2617857000005</v>
      </c>
      <c r="L619" s="50">
        <v>7942.9910699460997</v>
      </c>
      <c r="M619" s="50">
        <v>8170.3761715402507</v>
      </c>
      <c r="N619" s="50">
        <v>8407.0449162029763</v>
      </c>
      <c r="O619" s="50">
        <v>8661.0761155320652</v>
      </c>
      <c r="P619" s="50">
        <v>8925.5020723955531</v>
      </c>
      <c r="Q619" s="50">
        <v>9194.6933712053724</v>
      </c>
      <c r="R619" s="50">
        <v>9472.8769154541296</v>
      </c>
    </row>
    <row r="620" spans="1:18" x14ac:dyDescent="0.25">
      <c r="A620" s="43" t="s">
        <v>391</v>
      </c>
      <c r="C620" s="102">
        <v>9281</v>
      </c>
      <c r="D620" s="74">
        <v>10657</v>
      </c>
      <c r="E620" s="74">
        <v>10657</v>
      </c>
      <c r="F620" s="102">
        <v>10657</v>
      </c>
      <c r="G620" s="73">
        <v>10657</v>
      </c>
      <c r="H620" s="73">
        <v>11100</v>
      </c>
      <c r="I620" s="73">
        <v>11330</v>
      </c>
      <c r="J620" s="73">
        <v>11590</v>
      </c>
      <c r="K620" s="73">
        <v>11870</v>
      </c>
      <c r="L620" s="73">
        <v>12140</v>
      </c>
      <c r="M620" s="73">
        <v>12400</v>
      </c>
      <c r="N620" s="73">
        <v>12670</v>
      </c>
      <c r="O620" s="73">
        <v>12990</v>
      </c>
      <c r="P620" s="73">
        <v>13310</v>
      </c>
      <c r="Q620" s="73">
        <v>13310</v>
      </c>
      <c r="R620" s="73">
        <v>13310</v>
      </c>
    </row>
    <row r="621" spans="1:18" x14ac:dyDescent="0.25">
      <c r="A621" s="52" t="s">
        <v>389</v>
      </c>
      <c r="C621" s="80">
        <v>65</v>
      </c>
      <c r="D621" s="80">
        <v>65</v>
      </c>
      <c r="E621" s="81">
        <v>246</v>
      </c>
      <c r="F621" s="81">
        <v>246</v>
      </c>
      <c r="G621" s="79">
        <v>246</v>
      </c>
      <c r="H621" s="101">
        <v>260</v>
      </c>
      <c r="I621" s="101">
        <v>260</v>
      </c>
      <c r="J621" s="101">
        <v>270</v>
      </c>
      <c r="K621" s="101">
        <v>270</v>
      </c>
      <c r="L621" s="101">
        <v>280</v>
      </c>
      <c r="M621" s="101">
        <v>290</v>
      </c>
      <c r="N621" s="101">
        <v>290</v>
      </c>
      <c r="O621" s="101">
        <v>300</v>
      </c>
      <c r="P621" s="101">
        <v>310</v>
      </c>
      <c r="Q621" s="101">
        <v>310</v>
      </c>
      <c r="R621" s="101">
        <v>310</v>
      </c>
    </row>
    <row r="622" spans="1:18" x14ac:dyDescent="0.25">
      <c r="A622" s="43" t="s">
        <v>380</v>
      </c>
      <c r="C622" s="59"/>
      <c r="D622" s="50"/>
      <c r="E622" s="50"/>
      <c r="F622" s="50"/>
      <c r="G622" s="50">
        <v>0</v>
      </c>
      <c r="H622" s="50"/>
      <c r="I622" s="50"/>
      <c r="J622" s="50"/>
      <c r="K622" s="50"/>
      <c r="L622" s="50"/>
      <c r="M622" s="50"/>
      <c r="N622" s="50"/>
      <c r="O622" s="50"/>
      <c r="P622" s="50"/>
      <c r="Q622" s="50"/>
      <c r="R622" s="50"/>
    </row>
    <row r="623" spans="1:18" x14ac:dyDescent="0.25">
      <c r="A623" s="52" t="s">
        <v>392</v>
      </c>
      <c r="B623" s="53"/>
      <c r="C623" s="68">
        <v>14611</v>
      </c>
      <c r="D623" s="50">
        <v>17936</v>
      </c>
      <c r="E623" s="50">
        <v>19457</v>
      </c>
      <c r="F623">
        <v>18560</v>
      </c>
      <c r="G623" s="43">
        <v>18848</v>
      </c>
      <c r="H623" s="43">
        <v>25000</v>
      </c>
      <c r="I623" s="50">
        <v>25627.199999999993</v>
      </c>
      <c r="J623" s="50">
        <v>26300.784099999997</v>
      </c>
      <c r="K623" s="50">
        <v>27005.685035899995</v>
      </c>
      <c r="L623" s="50">
        <v>27732.025174050686</v>
      </c>
      <c r="M623" s="50">
        <v>28459.976353522346</v>
      </c>
      <c r="N623" s="50">
        <v>29205.714393663082</v>
      </c>
      <c r="O623" s="50">
        <v>30011.330832867548</v>
      </c>
      <c r="P623" s="50">
        <v>30855.208345927509</v>
      </c>
      <c r="Q623" s="50">
        <v>31710.744218453197</v>
      </c>
      <c r="R623" s="50">
        <v>32591.077195258738</v>
      </c>
    </row>
    <row r="624" spans="1:18" x14ac:dyDescent="0.25">
      <c r="A624" s="43" t="s">
        <v>302</v>
      </c>
      <c r="C624" s="69">
        <v>227</v>
      </c>
      <c r="D624" s="70">
        <v>227</v>
      </c>
      <c r="E624" s="70">
        <v>227</v>
      </c>
      <c r="F624" s="69">
        <v>344</v>
      </c>
      <c r="G624" s="104">
        <v>344</v>
      </c>
      <c r="H624" s="104">
        <v>240</v>
      </c>
      <c r="I624" s="104">
        <v>240</v>
      </c>
      <c r="J624" s="104">
        <v>250</v>
      </c>
      <c r="K624" s="104">
        <v>250</v>
      </c>
      <c r="L624" s="70">
        <v>260</v>
      </c>
      <c r="M624" s="70">
        <v>260</v>
      </c>
      <c r="N624" s="70">
        <v>270</v>
      </c>
      <c r="O624" s="70">
        <v>280</v>
      </c>
      <c r="P624" s="70">
        <v>280</v>
      </c>
      <c r="Q624" s="70">
        <v>280</v>
      </c>
      <c r="R624" s="70">
        <v>280</v>
      </c>
    </row>
    <row r="625" spans="1:18" x14ac:dyDescent="0.25">
      <c r="A625" s="43" t="s">
        <v>303</v>
      </c>
      <c r="C625" s="74">
        <v>6098</v>
      </c>
      <c r="D625" s="74">
        <v>6098</v>
      </c>
      <c r="E625" s="72">
        <v>6309</v>
      </c>
      <c r="F625" s="74">
        <v>6309</v>
      </c>
      <c r="G625" s="105">
        <v>6309</v>
      </c>
      <c r="H625" s="73">
        <v>6570</v>
      </c>
      <c r="I625" s="73">
        <v>6710</v>
      </c>
      <c r="J625" s="73">
        <v>6860</v>
      </c>
      <c r="K625" s="73">
        <v>7030</v>
      </c>
      <c r="L625" s="73">
        <v>7190</v>
      </c>
      <c r="M625" s="73">
        <v>7340</v>
      </c>
      <c r="N625" s="73">
        <v>7500</v>
      </c>
      <c r="O625" s="73">
        <v>7690</v>
      </c>
      <c r="P625" s="73">
        <v>7880</v>
      </c>
      <c r="Q625" s="73">
        <v>7880</v>
      </c>
      <c r="R625" s="73">
        <v>7880</v>
      </c>
    </row>
    <row r="626" spans="1:18" x14ac:dyDescent="0.25">
      <c r="A626" s="52" t="s">
        <v>393</v>
      </c>
      <c r="B626" s="53"/>
      <c r="C626" s="68">
        <v>7380</v>
      </c>
      <c r="D626" s="50">
        <v>7792</v>
      </c>
      <c r="E626" s="50">
        <v>8767</v>
      </c>
      <c r="F626" s="50">
        <v>8621</v>
      </c>
      <c r="G626" s="50">
        <v>8242</v>
      </c>
      <c r="H626" s="50">
        <v>11230</v>
      </c>
      <c r="I626" s="50">
        <v>11517.55</v>
      </c>
      <c r="J626" s="50">
        <v>11821.797349999997</v>
      </c>
      <c r="K626" s="50">
        <v>12138.28921015</v>
      </c>
      <c r="L626" s="50">
        <v>12460.329893970946</v>
      </c>
      <c r="M626" s="50">
        <v>12781.994424948363</v>
      </c>
      <c r="N626" s="50">
        <v>13116.033373758466</v>
      </c>
      <c r="O626" s="50">
        <v>13479.252715617989</v>
      </c>
      <c r="P626" s="50">
        <v>13857.483719792199</v>
      </c>
      <c r="Q626" s="50">
        <v>14238.716975562216</v>
      </c>
      <c r="R626" s="50">
        <v>14631.103727019752</v>
      </c>
    </row>
    <row r="627" spans="1:18" x14ac:dyDescent="0.25">
      <c r="A627" s="43" t="s">
        <v>302</v>
      </c>
      <c r="C627" s="69">
        <v>182</v>
      </c>
      <c r="D627" s="69">
        <v>182</v>
      </c>
      <c r="E627" s="70">
        <v>182</v>
      </c>
      <c r="F627" s="69">
        <v>182</v>
      </c>
      <c r="G627" s="104">
        <v>182</v>
      </c>
      <c r="H627" s="104">
        <v>190</v>
      </c>
      <c r="I627" s="104">
        <v>190</v>
      </c>
      <c r="J627" s="104">
        <v>200</v>
      </c>
      <c r="K627" s="104">
        <v>200</v>
      </c>
      <c r="L627" s="104">
        <v>210</v>
      </c>
      <c r="M627" s="70">
        <v>210</v>
      </c>
      <c r="N627" s="70">
        <v>220</v>
      </c>
      <c r="O627" s="70">
        <v>220</v>
      </c>
      <c r="P627" s="70">
        <v>230</v>
      </c>
      <c r="Q627" s="70">
        <v>230</v>
      </c>
      <c r="R627" s="70">
        <v>230</v>
      </c>
    </row>
    <row r="628" spans="1:18" x14ac:dyDescent="0.25">
      <c r="A628" s="43" t="s">
        <v>303</v>
      </c>
      <c r="C628" s="74">
        <v>5832</v>
      </c>
      <c r="D628" s="74">
        <v>5832</v>
      </c>
      <c r="E628" s="74">
        <v>5832</v>
      </c>
      <c r="F628" s="74">
        <v>5832</v>
      </c>
      <c r="G628" s="73">
        <v>5832</v>
      </c>
      <c r="H628" s="73">
        <v>6070</v>
      </c>
      <c r="I628" s="73">
        <v>6200</v>
      </c>
      <c r="J628" s="73">
        <v>6340</v>
      </c>
      <c r="K628" s="73">
        <v>6500</v>
      </c>
      <c r="L628" s="73">
        <v>6650</v>
      </c>
      <c r="M628" s="73">
        <v>6780</v>
      </c>
      <c r="N628" s="73">
        <v>6930</v>
      </c>
      <c r="O628" s="77">
        <v>7110</v>
      </c>
      <c r="P628" s="77">
        <v>7290</v>
      </c>
      <c r="Q628" s="77">
        <v>7290</v>
      </c>
      <c r="R628" s="77">
        <v>7290</v>
      </c>
    </row>
    <row r="629" spans="1:18" x14ac:dyDescent="0.25">
      <c r="C629" s="50"/>
      <c r="D629" s="50"/>
      <c r="E629" s="50"/>
      <c r="F629" s="50"/>
      <c r="G629" s="50"/>
      <c r="H629" s="50"/>
      <c r="I629" s="50"/>
      <c r="J629" s="50"/>
      <c r="K629" s="50"/>
      <c r="L629" s="50"/>
      <c r="M629" s="50"/>
      <c r="N629" s="50"/>
      <c r="O629" s="50"/>
      <c r="P629" s="50"/>
      <c r="Q629" s="50"/>
      <c r="R629" s="50"/>
    </row>
    <row r="630" spans="1:18" x14ac:dyDescent="0.25">
      <c r="A630" s="41" t="s">
        <v>230</v>
      </c>
      <c r="B630" s="44"/>
      <c r="C630" s="51">
        <f t="shared" ref="C630" si="461">SUM(C604:C629)</f>
        <v>107547</v>
      </c>
      <c r="D630" s="51">
        <f t="shared" ref="D630:R630" si="462">SUM(D604:D629)</f>
        <v>120374</v>
      </c>
      <c r="E630" s="51">
        <f t="shared" si="462"/>
        <v>125753</v>
      </c>
      <c r="F630" s="51">
        <f t="shared" si="462"/>
        <v>144508</v>
      </c>
      <c r="G630" s="51">
        <f t="shared" si="462"/>
        <v>127849</v>
      </c>
      <c r="H630" s="51">
        <f t="shared" si="462"/>
        <v>149340</v>
      </c>
      <c r="I630" s="51">
        <f t="shared" si="462"/>
        <v>152907.59999999998</v>
      </c>
      <c r="J630" s="51">
        <f t="shared" si="462"/>
        <v>156709.32149999999</v>
      </c>
      <c r="K630" s="51">
        <f t="shared" si="462"/>
        <v>160689.03304349998</v>
      </c>
      <c r="L630" s="51">
        <f t="shared" si="462"/>
        <v>164707.49630667549</v>
      </c>
      <c r="M630" s="51">
        <f t="shared" si="462"/>
        <v>168602.13553739592</v>
      </c>
      <c r="N630" s="51">
        <f t="shared" si="462"/>
        <v>172720.0573906356</v>
      </c>
      <c r="O630" s="51">
        <f t="shared" si="462"/>
        <v>177278.64330571346</v>
      </c>
      <c r="P630" s="51">
        <f t="shared" si="462"/>
        <v>181984.15058337594</v>
      </c>
      <c r="Q630" s="51">
        <f t="shared" si="462"/>
        <v>185026.87965692006</v>
      </c>
      <c r="R630" s="51">
        <f t="shared" si="462"/>
        <v>188156.26149296464</v>
      </c>
    </row>
    <row r="631" spans="1:18" x14ac:dyDescent="0.25">
      <c r="C631" s="50"/>
      <c r="D631" s="50"/>
      <c r="E631" s="50"/>
      <c r="F631" s="50"/>
      <c r="G631" s="50"/>
      <c r="H631" s="50"/>
      <c r="I631" s="50"/>
      <c r="J631" s="50"/>
      <c r="K631" s="50"/>
      <c r="L631" s="50"/>
      <c r="M631" s="50"/>
      <c r="N631" s="50"/>
      <c r="O631" s="50"/>
      <c r="P631" s="50"/>
      <c r="Q631" s="50"/>
      <c r="R631" s="50"/>
    </row>
    <row r="632" spans="1:18" x14ac:dyDescent="0.25">
      <c r="A632" s="41" t="s">
        <v>251</v>
      </c>
      <c r="B632" s="44"/>
      <c r="C632" s="50"/>
      <c r="D632" s="50"/>
      <c r="E632" s="50"/>
      <c r="F632" s="50"/>
      <c r="G632" s="50"/>
      <c r="H632" s="50"/>
      <c r="I632" s="50"/>
      <c r="J632" s="50"/>
      <c r="K632" s="50"/>
      <c r="L632" s="50"/>
      <c r="M632" s="50"/>
      <c r="N632" s="50"/>
      <c r="O632" s="50"/>
      <c r="P632" s="50"/>
      <c r="Q632" s="50"/>
      <c r="R632" s="50"/>
    </row>
    <row r="633" spans="1:18" x14ac:dyDescent="0.25">
      <c r="C633" s="50"/>
      <c r="D633" s="50"/>
      <c r="E633" s="50"/>
      <c r="F633" s="50"/>
      <c r="G633" s="50"/>
      <c r="H633" s="50"/>
      <c r="I633" s="50"/>
      <c r="J633" s="50"/>
      <c r="K633" s="50"/>
      <c r="L633" s="50"/>
      <c r="M633" s="50"/>
      <c r="N633" s="50"/>
      <c r="O633" s="50"/>
      <c r="P633" s="50"/>
      <c r="Q633" s="50"/>
      <c r="R633" s="50"/>
    </row>
    <row r="634" spans="1:18" x14ac:dyDescent="0.25">
      <c r="A634" s="43" t="s">
        <v>394</v>
      </c>
      <c r="C634" s="50">
        <v>0</v>
      </c>
      <c r="D634" s="54">
        <f>C634*1.025</f>
        <v>0</v>
      </c>
      <c r="E634" s="54">
        <f>D634*1.025</f>
        <v>0</v>
      </c>
      <c r="F634" s="54">
        <v>0</v>
      </c>
      <c r="G634" s="54">
        <v>0</v>
      </c>
      <c r="H634" s="54">
        <v>0</v>
      </c>
      <c r="I634" s="54">
        <v>0</v>
      </c>
      <c r="J634" s="54">
        <v>0</v>
      </c>
      <c r="K634" s="54">
        <v>0</v>
      </c>
      <c r="L634" s="54">
        <v>0</v>
      </c>
      <c r="M634" s="54">
        <v>0</v>
      </c>
      <c r="N634" s="54">
        <v>0</v>
      </c>
      <c r="O634" s="54">
        <v>0</v>
      </c>
      <c r="P634" s="54">
        <v>0</v>
      </c>
      <c r="Q634" s="54">
        <f>P634*1.025</f>
        <v>0</v>
      </c>
      <c r="R634" s="54">
        <f>Q634*1.025</f>
        <v>0</v>
      </c>
    </row>
    <row r="635" spans="1:18" x14ac:dyDescent="0.25">
      <c r="C635" s="50"/>
      <c r="D635" s="50"/>
      <c r="E635" s="50"/>
      <c r="F635" s="50"/>
      <c r="G635" s="50"/>
      <c r="H635" s="50"/>
      <c r="I635" s="50"/>
      <c r="J635" s="50"/>
      <c r="K635" s="50"/>
      <c r="L635" s="50"/>
      <c r="M635" s="50"/>
      <c r="N635" s="50"/>
      <c r="O635" s="50"/>
      <c r="P635" s="50"/>
      <c r="Q635" s="50"/>
      <c r="R635" s="50"/>
    </row>
    <row r="636" spans="1:18" x14ac:dyDescent="0.25">
      <c r="A636" s="41" t="s">
        <v>254</v>
      </c>
      <c r="B636" s="44"/>
      <c r="C636" s="51">
        <f t="shared" ref="C636" si="463">SUM(C634:C635)</f>
        <v>0</v>
      </c>
      <c r="D636" s="51">
        <f t="shared" ref="D636:E636" si="464">SUM(D634:D635)</f>
        <v>0</v>
      </c>
      <c r="E636" s="51">
        <f t="shared" si="464"/>
        <v>0</v>
      </c>
      <c r="F636" s="51">
        <v>0</v>
      </c>
      <c r="G636" s="51">
        <v>0</v>
      </c>
      <c r="H636" s="51">
        <v>0</v>
      </c>
      <c r="I636" s="51">
        <v>0</v>
      </c>
      <c r="J636" s="51">
        <v>0</v>
      </c>
      <c r="K636" s="51">
        <v>0</v>
      </c>
      <c r="L636" s="51">
        <v>0</v>
      </c>
      <c r="M636" s="51">
        <v>0</v>
      </c>
      <c r="N636" s="51">
        <v>0</v>
      </c>
      <c r="O636" s="51">
        <v>0</v>
      </c>
      <c r="P636" s="51">
        <v>0</v>
      </c>
      <c r="Q636" s="51">
        <f>SUM(Q634:Q635)</f>
        <v>0</v>
      </c>
      <c r="R636" s="51">
        <f>SUM(R634:R635)</f>
        <v>0</v>
      </c>
    </row>
    <row r="637" spans="1:18" x14ac:dyDescent="0.25">
      <c r="A637" s="41"/>
      <c r="B637" s="44"/>
      <c r="C637" s="50"/>
      <c r="D637" s="50"/>
      <c r="E637" s="50"/>
      <c r="F637" s="50"/>
      <c r="G637" s="50"/>
      <c r="H637" s="50"/>
      <c r="I637" s="50"/>
      <c r="J637" s="50"/>
      <c r="K637" s="50"/>
      <c r="L637" s="50"/>
      <c r="M637" s="50"/>
      <c r="N637" s="50"/>
      <c r="O637" s="50"/>
      <c r="P637" s="50"/>
      <c r="Q637" s="50"/>
      <c r="R637" s="50"/>
    </row>
    <row r="638" spans="1:18" x14ac:dyDescent="0.25">
      <c r="A638" s="41" t="s">
        <v>171</v>
      </c>
      <c r="B638" s="44"/>
      <c r="C638" s="50"/>
      <c r="D638" s="50"/>
      <c r="E638" s="50"/>
      <c r="F638" s="50"/>
      <c r="G638" s="50"/>
      <c r="H638" s="50"/>
      <c r="I638" s="50"/>
      <c r="J638" s="50"/>
      <c r="K638" s="50"/>
      <c r="L638" s="50"/>
      <c r="M638" s="50"/>
      <c r="N638" s="50"/>
      <c r="O638" s="50"/>
      <c r="P638" s="50"/>
      <c r="Q638" s="50"/>
      <c r="R638" s="50"/>
    </row>
    <row r="639" spans="1:18" x14ac:dyDescent="0.25">
      <c r="A639" s="41"/>
      <c r="B639" s="44"/>
      <c r="C639" s="50"/>
      <c r="D639" s="50"/>
      <c r="E639" s="50"/>
      <c r="F639" s="50"/>
      <c r="G639" s="50"/>
      <c r="H639" s="50"/>
      <c r="I639" s="50"/>
      <c r="J639" s="50"/>
      <c r="K639" s="50"/>
      <c r="L639" s="50"/>
      <c r="M639" s="50"/>
      <c r="N639" s="50"/>
      <c r="O639" s="50"/>
      <c r="P639" s="50"/>
      <c r="Q639" s="50"/>
      <c r="R639" s="50"/>
    </row>
    <row r="640" spans="1:18" x14ac:dyDescent="0.25">
      <c r="A640" s="41" t="s">
        <v>395</v>
      </c>
      <c r="B640" s="44"/>
      <c r="C640" s="50"/>
      <c r="D640" s="50"/>
      <c r="E640" s="50"/>
      <c r="F640" s="50"/>
      <c r="G640" s="50"/>
      <c r="H640" s="50"/>
      <c r="I640" s="50"/>
      <c r="J640" s="50"/>
      <c r="K640" s="50"/>
      <c r="L640" s="50"/>
      <c r="M640" s="50"/>
      <c r="N640" s="50"/>
      <c r="O640" s="50"/>
      <c r="P640" s="50"/>
      <c r="Q640" s="50"/>
      <c r="R640" s="50"/>
    </row>
    <row r="641" spans="1:18" x14ac:dyDescent="0.25">
      <c r="A641" s="83" t="s">
        <v>319</v>
      </c>
      <c r="B641" s="84" t="s">
        <v>317</v>
      </c>
      <c r="C641" s="50">
        <v>0</v>
      </c>
      <c r="D641" s="50">
        <v>0</v>
      </c>
      <c r="E641" s="50">
        <v>0</v>
      </c>
      <c r="F641" s="85"/>
      <c r="G641" s="50"/>
      <c r="H641" s="50"/>
      <c r="I641" s="50">
        <v>0</v>
      </c>
      <c r="J641" s="50">
        <v>0</v>
      </c>
      <c r="K641" s="50">
        <v>0</v>
      </c>
      <c r="L641" s="50">
        <v>0</v>
      </c>
      <c r="M641" s="50">
        <v>0</v>
      </c>
      <c r="N641" s="50">
        <v>0</v>
      </c>
      <c r="O641" s="50"/>
      <c r="P641" s="50"/>
      <c r="Q641" s="50"/>
      <c r="R641" s="50"/>
    </row>
    <row r="642" spans="1:18" x14ac:dyDescent="0.25">
      <c r="A642" s="106" t="s">
        <v>326</v>
      </c>
      <c r="B642" s="84"/>
      <c r="C642" s="59">
        <v>0</v>
      </c>
      <c r="D642" s="50"/>
      <c r="E642" s="50"/>
      <c r="F642" s="50"/>
      <c r="G642" s="50"/>
      <c r="H642" s="50"/>
      <c r="I642" s="50"/>
      <c r="J642" s="50"/>
      <c r="K642" s="50"/>
      <c r="L642" s="50"/>
      <c r="M642" s="50"/>
      <c r="N642" s="50"/>
      <c r="O642" s="50"/>
      <c r="P642" s="50"/>
      <c r="Q642" s="50"/>
      <c r="R642" s="50"/>
    </row>
    <row r="643" spans="1:18" x14ac:dyDescent="0.25">
      <c r="A643" s="93" t="s">
        <v>321</v>
      </c>
      <c r="B643" s="88" t="s">
        <v>330</v>
      </c>
      <c r="C643" s="50"/>
      <c r="D643" s="50"/>
      <c r="E643" s="50"/>
      <c r="F643" s="50"/>
      <c r="G643" s="50"/>
      <c r="H643" s="50"/>
      <c r="I643" s="50"/>
      <c r="J643" s="50"/>
      <c r="K643" s="50"/>
      <c r="L643" s="50"/>
      <c r="M643" s="50"/>
      <c r="N643" s="50"/>
      <c r="O643" s="50"/>
      <c r="P643" s="50"/>
      <c r="Q643" s="50"/>
      <c r="R643" s="50"/>
    </row>
    <row r="644" spans="1:18" x14ac:dyDescent="0.25">
      <c r="A644" s="93" t="s">
        <v>396</v>
      </c>
      <c r="B644" s="88" t="s">
        <v>330</v>
      </c>
      <c r="C644" s="50"/>
      <c r="D644" s="50"/>
      <c r="E644" s="50"/>
      <c r="F644" s="50"/>
      <c r="G644" s="50"/>
      <c r="H644" s="50"/>
      <c r="I644" s="50"/>
      <c r="J644" s="50"/>
      <c r="K644" s="50"/>
      <c r="L644" s="50"/>
      <c r="M644" s="50"/>
      <c r="N644" s="50"/>
      <c r="O644" s="50"/>
      <c r="P644" s="50"/>
      <c r="Q644" s="50"/>
      <c r="R644" s="50"/>
    </row>
    <row r="645" spans="1:18" x14ac:dyDescent="0.25">
      <c r="A645" s="93" t="s">
        <v>397</v>
      </c>
      <c r="B645" s="88" t="s">
        <v>330</v>
      </c>
      <c r="C645" s="50"/>
      <c r="D645" s="50"/>
      <c r="E645" s="50"/>
      <c r="F645" s="50"/>
      <c r="G645" s="50"/>
      <c r="H645" s="50"/>
      <c r="I645" s="50"/>
      <c r="J645" s="50"/>
      <c r="K645" s="50"/>
      <c r="L645" s="50"/>
      <c r="M645" s="50"/>
      <c r="N645" s="50"/>
      <c r="O645" s="50"/>
      <c r="P645" s="50"/>
      <c r="Q645" s="50"/>
      <c r="R645" s="50"/>
    </row>
    <row r="646" spans="1:18" x14ac:dyDescent="0.25">
      <c r="A646" s="86" t="s">
        <v>398</v>
      </c>
      <c r="B646" s="84" t="s">
        <v>317</v>
      </c>
      <c r="C646" s="50"/>
      <c r="D646" s="50"/>
      <c r="E646" s="50"/>
      <c r="F646" s="50">
        <v>1173</v>
      </c>
      <c r="G646" s="50"/>
      <c r="H646" s="50"/>
      <c r="I646" s="50"/>
      <c r="J646" s="50"/>
      <c r="K646" s="50"/>
      <c r="L646" s="50"/>
      <c r="M646" s="50"/>
      <c r="N646" s="50"/>
      <c r="O646" s="50"/>
      <c r="P646" s="50"/>
      <c r="Q646" s="50"/>
      <c r="R646" s="50"/>
    </row>
    <row r="647" spans="1:18" x14ac:dyDescent="0.25">
      <c r="A647" s="86" t="s">
        <v>344</v>
      </c>
      <c r="B647" s="84" t="s">
        <v>317</v>
      </c>
      <c r="C647" s="50"/>
      <c r="D647" s="50"/>
      <c r="E647" s="85">
        <v>4228</v>
      </c>
      <c r="F647" s="50"/>
      <c r="G647" s="50"/>
      <c r="H647" s="50"/>
      <c r="I647" s="50"/>
      <c r="J647" s="50"/>
      <c r="K647" s="50"/>
      <c r="L647" s="50"/>
      <c r="M647" s="50"/>
      <c r="N647" s="50"/>
      <c r="O647" s="50"/>
      <c r="P647" s="50"/>
      <c r="Q647" s="50"/>
      <c r="R647" s="50"/>
    </row>
    <row r="648" spans="1:18" s="43" customFormat="1" x14ac:dyDescent="0.25">
      <c r="A648" s="87" t="s">
        <v>322</v>
      </c>
      <c r="B648" s="88" t="s">
        <v>323</v>
      </c>
      <c r="C648" s="50"/>
      <c r="D648" s="50"/>
      <c r="E648" s="50"/>
      <c r="F648" s="50"/>
      <c r="G648" s="50"/>
      <c r="H648" s="50"/>
      <c r="I648" s="89">
        <v>20000</v>
      </c>
      <c r="J648" s="50"/>
      <c r="K648" s="50"/>
      <c r="L648" s="50"/>
      <c r="M648" s="50"/>
      <c r="N648" s="50"/>
      <c r="O648" s="50"/>
      <c r="P648" s="50"/>
      <c r="Q648" s="89">
        <v>20000</v>
      </c>
      <c r="R648" s="89"/>
    </row>
    <row r="649" spans="1:18" s="43" customFormat="1" x14ac:dyDescent="0.25">
      <c r="A649" s="87" t="s">
        <v>324</v>
      </c>
      <c r="B649" s="88" t="s">
        <v>323</v>
      </c>
      <c r="C649" s="50"/>
      <c r="D649" s="50"/>
      <c r="E649" s="50"/>
      <c r="F649" s="50"/>
      <c r="G649" s="50"/>
      <c r="H649" s="50"/>
      <c r="I649" s="50"/>
      <c r="J649" s="50"/>
      <c r="K649" s="89">
        <v>25000</v>
      </c>
      <c r="L649" s="50"/>
      <c r="M649" s="50"/>
      <c r="N649" s="50"/>
      <c r="O649" s="50"/>
      <c r="P649" s="50"/>
      <c r="Q649" s="50"/>
      <c r="R649" s="89">
        <v>20000</v>
      </c>
    </row>
    <row r="650" spans="1:18" x14ac:dyDescent="0.25">
      <c r="A650" s="41" t="s">
        <v>399</v>
      </c>
      <c r="B650" s="44"/>
      <c r="C650" s="50"/>
      <c r="D650" s="50"/>
      <c r="E650" s="50"/>
      <c r="F650" s="50"/>
      <c r="G650" s="50"/>
      <c r="H650" s="50"/>
      <c r="I650" s="50"/>
      <c r="J650" s="50"/>
      <c r="K650" s="50"/>
      <c r="L650" s="50"/>
      <c r="M650" s="50"/>
      <c r="N650" s="50"/>
      <c r="O650" s="50"/>
      <c r="P650" s="50"/>
      <c r="Q650" s="50"/>
      <c r="R650" s="50"/>
    </row>
    <row r="651" spans="1:18" x14ac:dyDescent="0.25">
      <c r="A651" s="83" t="s">
        <v>400</v>
      </c>
      <c r="B651" s="84" t="s">
        <v>317</v>
      </c>
      <c r="C651" s="50">
        <v>0</v>
      </c>
      <c r="D651" s="85">
        <v>6880</v>
      </c>
      <c r="E651" s="50">
        <v>0</v>
      </c>
      <c r="F651" s="50">
        <v>0</v>
      </c>
      <c r="G651" s="50">
        <v>0</v>
      </c>
      <c r="H651" s="50">
        <v>0</v>
      </c>
      <c r="I651" s="50">
        <v>0</v>
      </c>
      <c r="J651" s="50">
        <v>0</v>
      </c>
      <c r="K651" s="50">
        <v>0</v>
      </c>
      <c r="L651" s="50">
        <v>0</v>
      </c>
      <c r="M651" s="50"/>
      <c r="N651" s="50"/>
      <c r="O651" s="50"/>
      <c r="P651" s="50"/>
      <c r="Q651" s="50"/>
      <c r="R651" s="50"/>
    </row>
    <row r="652" spans="1:18" x14ac:dyDescent="0.25">
      <c r="A652" s="107" t="s">
        <v>401</v>
      </c>
      <c r="B652" s="88" t="s">
        <v>323</v>
      </c>
      <c r="C652" s="50"/>
      <c r="D652" s="50"/>
      <c r="E652" s="50"/>
      <c r="F652" s="50"/>
      <c r="G652" s="50"/>
      <c r="H652" s="50"/>
      <c r="I652" s="50"/>
      <c r="J652" s="50"/>
      <c r="K652" s="50"/>
      <c r="L652" s="50"/>
      <c r="M652" s="50"/>
      <c r="N652" s="50"/>
      <c r="O652" s="50"/>
      <c r="P652" s="89">
        <v>15000</v>
      </c>
      <c r="Q652" s="50"/>
      <c r="R652" s="50"/>
    </row>
    <row r="653" spans="1:18" x14ac:dyDescent="0.25">
      <c r="A653" s="41" t="s">
        <v>402</v>
      </c>
      <c r="B653" s="44"/>
      <c r="C653" s="50"/>
      <c r="D653" s="50"/>
      <c r="E653" s="50"/>
      <c r="F653" s="50"/>
      <c r="G653" s="50"/>
      <c r="H653" s="50"/>
      <c r="I653" s="50"/>
      <c r="J653" s="50"/>
      <c r="K653" s="50"/>
      <c r="L653" s="50"/>
      <c r="M653" s="50"/>
      <c r="N653" s="50"/>
      <c r="O653" s="50"/>
      <c r="P653" s="50"/>
      <c r="Q653" s="50"/>
      <c r="R653" s="50"/>
    </row>
    <row r="654" spans="1:18" x14ac:dyDescent="0.25">
      <c r="A654" s="83" t="s">
        <v>400</v>
      </c>
      <c r="B654" s="84" t="s">
        <v>317</v>
      </c>
      <c r="C654" s="50">
        <v>0</v>
      </c>
      <c r="D654" s="85">
        <v>10985</v>
      </c>
      <c r="E654" s="50">
        <v>0</v>
      </c>
      <c r="F654" s="50">
        <v>0</v>
      </c>
      <c r="G654" s="50">
        <v>0</v>
      </c>
      <c r="H654" s="50">
        <v>0</v>
      </c>
      <c r="I654" s="50">
        <v>0</v>
      </c>
      <c r="J654" s="50">
        <v>0</v>
      </c>
      <c r="K654" s="50">
        <v>0</v>
      </c>
      <c r="L654" s="50">
        <v>0</v>
      </c>
      <c r="M654" s="50">
        <v>0</v>
      </c>
      <c r="N654" s="50">
        <v>0</v>
      </c>
      <c r="O654" s="50">
        <v>0</v>
      </c>
      <c r="P654" s="50">
        <v>0</v>
      </c>
      <c r="Q654" s="50">
        <v>0</v>
      </c>
      <c r="R654" s="50">
        <v>0</v>
      </c>
    </row>
    <row r="655" spans="1:18" s="43" customFormat="1" x14ac:dyDescent="0.25">
      <c r="A655" s="93" t="s">
        <v>403</v>
      </c>
      <c r="B655" s="88" t="s">
        <v>330</v>
      </c>
      <c r="C655" s="50"/>
      <c r="D655" s="50"/>
      <c r="E655" s="50"/>
      <c r="F655" s="50"/>
      <c r="G655" s="50"/>
      <c r="H655" s="50"/>
      <c r="I655" s="50"/>
      <c r="J655" s="50"/>
      <c r="K655" s="50"/>
      <c r="L655" s="50"/>
      <c r="M655" s="50"/>
      <c r="N655" s="50"/>
      <c r="O655" s="50"/>
      <c r="P655" s="50"/>
      <c r="Q655" s="50"/>
      <c r="R655" s="50"/>
    </row>
    <row r="656" spans="1:18" s="43" customFormat="1" x14ac:dyDescent="0.25">
      <c r="A656" s="93" t="s">
        <v>404</v>
      </c>
      <c r="B656" s="88" t="s">
        <v>330</v>
      </c>
      <c r="C656" s="50"/>
      <c r="D656" s="50"/>
      <c r="E656" s="50"/>
      <c r="F656" s="50"/>
      <c r="G656" s="50"/>
      <c r="H656" s="50"/>
      <c r="I656" s="50"/>
      <c r="J656" s="50"/>
      <c r="K656" s="50"/>
      <c r="L656" s="50"/>
      <c r="M656" s="50"/>
      <c r="N656" s="50"/>
      <c r="O656" s="50"/>
      <c r="P656" s="50"/>
      <c r="Q656" s="50"/>
      <c r="R656" s="50"/>
    </row>
    <row r="657" spans="1:18" s="43" customFormat="1" x14ac:dyDescent="0.25">
      <c r="A657" s="93" t="s">
        <v>405</v>
      </c>
      <c r="B657" s="88" t="s">
        <v>330</v>
      </c>
      <c r="C657" s="50"/>
      <c r="D657" s="50"/>
      <c r="E657" s="50"/>
      <c r="F657" s="50"/>
      <c r="G657" s="50"/>
      <c r="H657" s="50"/>
      <c r="I657" s="50"/>
      <c r="J657" s="50"/>
      <c r="K657" s="50"/>
      <c r="L657" s="50"/>
      <c r="M657" s="50"/>
      <c r="N657" s="50"/>
      <c r="O657" s="50"/>
      <c r="P657" s="50"/>
      <c r="Q657" s="50"/>
      <c r="R657" s="50"/>
    </row>
    <row r="658" spans="1:18" s="43" customFormat="1" x14ac:dyDescent="0.25">
      <c r="A658" s="107" t="s">
        <v>406</v>
      </c>
      <c r="B658" s="88" t="s">
        <v>323</v>
      </c>
      <c r="C658" s="50"/>
      <c r="D658" s="50"/>
      <c r="E658" s="50"/>
      <c r="F658" s="50"/>
      <c r="G658" s="50"/>
      <c r="H658" s="50"/>
      <c r="I658" s="50"/>
      <c r="J658" s="50"/>
      <c r="K658" s="50"/>
      <c r="L658" s="50"/>
      <c r="M658" s="50"/>
      <c r="N658" s="50"/>
      <c r="O658" s="50"/>
      <c r="P658" s="50"/>
      <c r="Q658" s="50"/>
      <c r="R658" s="89">
        <v>25000</v>
      </c>
    </row>
    <row r="659" spans="1:18" s="43" customFormat="1" x14ac:dyDescent="0.25">
      <c r="A659" s="108" t="s">
        <v>407</v>
      </c>
      <c r="B659" s="88" t="s">
        <v>323</v>
      </c>
      <c r="C659" s="50"/>
      <c r="D659" s="50"/>
      <c r="E659" s="50"/>
      <c r="F659" s="50"/>
      <c r="G659" s="50"/>
      <c r="H659" s="50"/>
      <c r="I659" s="50"/>
      <c r="J659" s="89">
        <v>8000</v>
      </c>
      <c r="K659" s="50"/>
      <c r="L659" s="50"/>
      <c r="M659" s="50"/>
      <c r="N659" s="50"/>
      <c r="O659" s="50"/>
      <c r="P659" s="50"/>
      <c r="Q659" s="50"/>
      <c r="R659" s="50"/>
    </row>
    <row r="660" spans="1:18" s="43" customFormat="1" x14ac:dyDescent="0.25">
      <c r="A660" s="41" t="s">
        <v>385</v>
      </c>
      <c r="B660" s="42"/>
      <c r="C660" s="50"/>
      <c r="D660" s="50"/>
      <c r="E660" s="50"/>
      <c r="F660" s="50"/>
      <c r="G660" s="50"/>
      <c r="H660" s="50"/>
      <c r="I660" s="50"/>
      <c r="J660" s="50"/>
      <c r="K660" s="50"/>
      <c r="L660" s="50"/>
      <c r="M660" s="50"/>
      <c r="N660" s="50"/>
      <c r="O660" s="50"/>
      <c r="P660" s="50"/>
      <c r="Q660" s="50"/>
      <c r="R660" s="50"/>
    </row>
    <row r="661" spans="1:18" s="43" customFormat="1" x14ac:dyDescent="0.25">
      <c r="A661" s="93" t="s">
        <v>396</v>
      </c>
      <c r="B661" s="88" t="s">
        <v>330</v>
      </c>
      <c r="C661" s="50"/>
      <c r="D661" s="50"/>
      <c r="E661" s="50"/>
      <c r="F661" s="50"/>
      <c r="G661" s="50"/>
      <c r="H661" s="50"/>
      <c r="I661" s="50"/>
      <c r="J661" s="50"/>
      <c r="K661" s="50"/>
      <c r="L661" s="50"/>
      <c r="M661" s="50"/>
      <c r="N661" s="50"/>
      <c r="O661" s="50"/>
      <c r="P661" s="50"/>
      <c r="Q661" s="50"/>
      <c r="R661" s="50"/>
    </row>
    <row r="662" spans="1:18" s="43" customFormat="1" x14ac:dyDescent="0.25">
      <c r="A662" s="93" t="s">
        <v>321</v>
      </c>
      <c r="B662" s="88" t="s">
        <v>330</v>
      </c>
      <c r="C662" s="50"/>
      <c r="D662" s="50"/>
      <c r="E662" s="50"/>
      <c r="F662" s="50"/>
      <c r="G662" s="50"/>
      <c r="H662" s="50"/>
      <c r="I662" s="50"/>
      <c r="J662" s="50"/>
      <c r="K662" s="50"/>
      <c r="L662" s="50"/>
      <c r="M662" s="50"/>
      <c r="N662" s="50"/>
      <c r="O662" s="50"/>
      <c r="P662" s="50"/>
      <c r="Q662" s="50"/>
      <c r="R662" s="50"/>
    </row>
    <row r="663" spans="1:18" s="43" customFormat="1" x14ac:dyDescent="0.25">
      <c r="A663" s="93" t="s">
        <v>408</v>
      </c>
      <c r="B663" s="88" t="s">
        <v>330</v>
      </c>
      <c r="C663" s="50"/>
      <c r="D663" s="50"/>
      <c r="E663" s="50"/>
      <c r="F663" s="50"/>
      <c r="G663" s="50"/>
      <c r="H663" s="50"/>
      <c r="I663" s="50"/>
      <c r="J663" s="50"/>
      <c r="K663" s="50"/>
      <c r="L663" s="50"/>
      <c r="M663" s="50"/>
      <c r="N663" s="50"/>
      <c r="O663" s="50"/>
      <c r="P663" s="50"/>
      <c r="Q663" s="50"/>
      <c r="R663" s="50"/>
    </row>
    <row r="664" spans="1:18" s="43" customFormat="1" x14ac:dyDescent="0.25">
      <c r="A664" s="107" t="s">
        <v>406</v>
      </c>
      <c r="B664" s="88" t="s">
        <v>323</v>
      </c>
      <c r="C664" s="50"/>
      <c r="D664" s="50"/>
      <c r="E664" s="50"/>
      <c r="F664" s="50"/>
      <c r="G664" s="50"/>
      <c r="H664" s="50"/>
      <c r="I664" s="50"/>
      <c r="J664" s="50"/>
      <c r="K664" s="89">
        <v>10000</v>
      </c>
      <c r="L664" s="50"/>
      <c r="M664" s="50"/>
      <c r="N664" s="50"/>
      <c r="O664" s="50"/>
      <c r="P664" s="89">
        <v>25000</v>
      </c>
      <c r="Q664" s="50"/>
      <c r="R664" s="50"/>
    </row>
    <row r="665" spans="1:18" s="43" customFormat="1" x14ac:dyDescent="0.25">
      <c r="A665" s="86" t="s">
        <v>409</v>
      </c>
      <c r="B665" s="84" t="s">
        <v>317</v>
      </c>
      <c r="C665" s="50"/>
      <c r="D665" s="50"/>
      <c r="E665" s="50"/>
      <c r="F665" s="50"/>
      <c r="G665" s="50"/>
      <c r="H665" s="50"/>
      <c r="I665" s="50"/>
      <c r="J665" s="50"/>
      <c r="K665" s="50"/>
      <c r="L665" s="50"/>
      <c r="M665" s="50"/>
      <c r="N665" s="50"/>
      <c r="O665" s="50"/>
      <c r="P665" s="50"/>
      <c r="Q665" s="50"/>
      <c r="R665" s="50"/>
    </row>
    <row r="666" spans="1:18" x14ac:dyDescent="0.25">
      <c r="C666" s="50"/>
      <c r="D666" s="50"/>
      <c r="E666" s="50"/>
      <c r="F666" s="50"/>
      <c r="G666" s="50"/>
      <c r="H666" s="50"/>
      <c r="I666" s="50"/>
      <c r="J666" s="50"/>
      <c r="K666" s="50"/>
      <c r="L666" s="50"/>
      <c r="M666" s="50"/>
      <c r="N666" s="50"/>
      <c r="O666" s="50"/>
      <c r="P666" s="50"/>
      <c r="Q666" s="50"/>
      <c r="R666" s="50"/>
    </row>
    <row r="667" spans="1:18" x14ac:dyDescent="0.25">
      <c r="A667" s="41" t="s">
        <v>107</v>
      </c>
      <c r="B667" s="44"/>
      <c r="C667" s="51">
        <f t="shared" ref="C667:R667" si="465">SUM(C640:C666)</f>
        <v>0</v>
      </c>
      <c r="D667" s="51">
        <f t="shared" si="465"/>
        <v>17865</v>
      </c>
      <c r="E667" s="51">
        <f t="shared" si="465"/>
        <v>4228</v>
      </c>
      <c r="F667" s="51">
        <f t="shared" si="465"/>
        <v>1173</v>
      </c>
      <c r="G667" s="51">
        <f t="shared" si="465"/>
        <v>0</v>
      </c>
      <c r="H667" s="51">
        <f t="shared" si="465"/>
        <v>0</v>
      </c>
      <c r="I667" s="51">
        <f t="shared" si="465"/>
        <v>20000</v>
      </c>
      <c r="J667" s="51">
        <f t="shared" si="465"/>
        <v>8000</v>
      </c>
      <c r="K667" s="51">
        <f t="shared" si="465"/>
        <v>35000</v>
      </c>
      <c r="L667" s="51">
        <f t="shared" si="465"/>
        <v>0</v>
      </c>
      <c r="M667" s="51">
        <f t="shared" si="465"/>
        <v>0</v>
      </c>
      <c r="N667" s="51">
        <f t="shared" si="465"/>
        <v>0</v>
      </c>
      <c r="O667" s="51">
        <f t="shared" si="465"/>
        <v>0</v>
      </c>
      <c r="P667" s="51">
        <f t="shared" si="465"/>
        <v>40000</v>
      </c>
      <c r="Q667" s="51">
        <f t="shared" si="465"/>
        <v>20000</v>
      </c>
      <c r="R667" s="51">
        <f t="shared" si="465"/>
        <v>45000</v>
      </c>
    </row>
    <row r="668" spans="1:18" x14ac:dyDescent="0.25">
      <c r="C668" s="50"/>
      <c r="D668" s="50"/>
      <c r="E668" s="50"/>
      <c r="F668" s="50"/>
      <c r="G668" s="50"/>
      <c r="H668" s="50"/>
      <c r="I668" s="50"/>
      <c r="J668" s="50"/>
      <c r="K668" s="50"/>
      <c r="L668" s="50"/>
      <c r="M668" s="50"/>
      <c r="N668" s="50"/>
      <c r="O668" s="50"/>
      <c r="P668" s="50"/>
      <c r="Q668" s="50"/>
      <c r="R668" s="50"/>
    </row>
    <row r="669" spans="1:18" x14ac:dyDescent="0.25">
      <c r="A669" s="41" t="s">
        <v>410</v>
      </c>
      <c r="B669" s="44"/>
      <c r="C669" s="51">
        <f t="shared" ref="C669:R669" si="466">C667+C630-C599-C636</f>
        <v>35730</v>
      </c>
      <c r="D669" s="51">
        <f t="shared" si="466"/>
        <v>59023</v>
      </c>
      <c r="E669" s="51">
        <f t="shared" si="466"/>
        <v>55335</v>
      </c>
      <c r="F669" s="51">
        <f t="shared" si="466"/>
        <v>20931</v>
      </c>
      <c r="G669" s="51">
        <f t="shared" si="466"/>
        <v>6688</v>
      </c>
      <c r="H669" s="51">
        <f t="shared" si="466"/>
        <v>25460</v>
      </c>
      <c r="I669" s="51">
        <f t="shared" si="466"/>
        <v>46169.399999999994</v>
      </c>
      <c r="J669" s="51">
        <f t="shared" si="466"/>
        <v>34841.404700000014</v>
      </c>
      <c r="K669" s="51">
        <f t="shared" si="466"/>
        <v>62698.686240299983</v>
      </c>
      <c r="L669" s="51">
        <f t="shared" si="466"/>
        <v>28712.631527001911</v>
      </c>
      <c r="M669" s="51">
        <f t="shared" si="466"/>
        <v>29668.14373256953</v>
      </c>
      <c r="N669" s="51">
        <f t="shared" si="466"/>
        <v>30523.003774298209</v>
      </c>
      <c r="O669" s="51">
        <f t="shared" si="466"/>
        <v>31462.163348967646</v>
      </c>
      <c r="P669" s="51">
        <f t="shared" si="466"/>
        <v>72519.758627711504</v>
      </c>
      <c r="Q669" s="51">
        <f t="shared" si="466"/>
        <v>52032.622294319677</v>
      </c>
      <c r="R669" s="51">
        <f t="shared" si="466"/>
        <v>76506.461953661841</v>
      </c>
    </row>
    <row r="670" spans="1:18" x14ac:dyDescent="0.25">
      <c r="C670" s="50"/>
      <c r="D670" s="50"/>
      <c r="E670" s="50"/>
      <c r="F670" s="50"/>
      <c r="G670" s="50"/>
      <c r="H670" s="50"/>
      <c r="I670" s="50"/>
      <c r="J670" s="50"/>
      <c r="K670" s="50"/>
      <c r="L670" s="50"/>
      <c r="M670" s="50"/>
      <c r="N670" s="50"/>
      <c r="O670" s="50"/>
      <c r="P670" s="50"/>
      <c r="Q670" s="50"/>
      <c r="R670" s="50"/>
    </row>
    <row r="671" spans="1:18" x14ac:dyDescent="0.25">
      <c r="C671" s="50"/>
      <c r="D671" s="50"/>
      <c r="E671" s="50"/>
      <c r="F671" s="50"/>
      <c r="G671" s="50"/>
      <c r="H671" s="50"/>
      <c r="I671" s="50"/>
      <c r="J671" s="50"/>
      <c r="K671" s="50"/>
      <c r="L671" s="50"/>
      <c r="M671" s="50"/>
      <c r="N671" s="50"/>
      <c r="O671" s="50"/>
      <c r="P671" s="50"/>
      <c r="Q671" s="50"/>
      <c r="R671" s="50"/>
    </row>
    <row r="672" spans="1:18" x14ac:dyDescent="0.25">
      <c r="A672" s="41" t="s">
        <v>411</v>
      </c>
      <c r="B672" s="44"/>
      <c r="C672" s="50"/>
      <c r="D672" s="50"/>
      <c r="E672" s="50"/>
      <c r="F672" s="50"/>
      <c r="G672" s="50"/>
      <c r="H672" s="50"/>
      <c r="I672" s="50"/>
      <c r="J672" s="50"/>
      <c r="K672" s="50"/>
      <c r="L672" s="50"/>
      <c r="M672" s="50"/>
      <c r="N672" s="50"/>
      <c r="O672" s="50"/>
      <c r="P672" s="50"/>
      <c r="Q672" s="50"/>
      <c r="R672" s="50"/>
    </row>
    <row r="673" spans="1:18" x14ac:dyDescent="0.25">
      <c r="C673" s="50"/>
      <c r="D673" s="50"/>
      <c r="E673" s="50"/>
      <c r="F673" s="50"/>
      <c r="G673" s="50"/>
      <c r="H673" s="50"/>
      <c r="I673" s="50"/>
      <c r="J673" s="50"/>
      <c r="K673" s="50"/>
      <c r="L673" s="50"/>
      <c r="M673" s="50"/>
      <c r="N673" s="50"/>
      <c r="O673" s="50"/>
      <c r="P673" s="50"/>
      <c r="Q673" s="50"/>
      <c r="R673" s="50"/>
    </row>
    <row r="674" spans="1:18" x14ac:dyDescent="0.25">
      <c r="A674" s="41" t="s">
        <v>202</v>
      </c>
      <c r="B674" s="44"/>
      <c r="C674" s="50"/>
      <c r="D674" s="50"/>
      <c r="E674" s="50"/>
      <c r="F674" s="50"/>
      <c r="G674" s="50"/>
      <c r="H674" s="50"/>
      <c r="I674" s="50"/>
      <c r="J674" s="50"/>
      <c r="K674" s="50"/>
      <c r="L674" s="50"/>
      <c r="M674" s="50"/>
      <c r="N674" s="50"/>
      <c r="O674" s="50"/>
      <c r="P674" s="50"/>
      <c r="Q674" s="50"/>
      <c r="R674" s="50"/>
    </row>
    <row r="675" spans="1:18" x14ac:dyDescent="0.25">
      <c r="C675" s="50"/>
      <c r="D675" s="50"/>
      <c r="E675" s="50"/>
      <c r="F675" s="50"/>
      <c r="G675" s="50"/>
      <c r="H675" s="50"/>
      <c r="I675" s="50"/>
      <c r="J675" s="50"/>
      <c r="K675" s="50"/>
      <c r="L675" s="50"/>
      <c r="M675" s="50"/>
      <c r="N675" s="50"/>
      <c r="O675" s="50"/>
      <c r="P675" s="50"/>
      <c r="Q675" s="50"/>
      <c r="R675" s="50"/>
    </row>
    <row r="676" spans="1:18" x14ac:dyDescent="0.25">
      <c r="A676" s="43" t="s">
        <v>258</v>
      </c>
      <c r="C676" s="43">
        <v>39850</v>
      </c>
      <c r="D676" s="54">
        <v>40238</v>
      </c>
      <c r="E676" s="54">
        <v>40604</v>
      </c>
      <c r="F676" s="43">
        <v>41600</v>
      </c>
      <c r="G676" s="43">
        <v>41808</v>
      </c>
      <c r="H676" s="43">
        <v>43400</v>
      </c>
      <c r="I676" s="50">
        <v>39740</v>
      </c>
      <c r="J676" s="54">
        <f t="shared" ref="J676:K677" si="467">I676*1.024</f>
        <v>40693.760000000002</v>
      </c>
      <c r="K676" s="54">
        <f t="shared" si="467"/>
        <v>41670.410240000005</v>
      </c>
      <c r="L676" s="54">
        <f t="shared" ref="L676:L677" si="468">K676*1.023</f>
        <v>42628.829675519999</v>
      </c>
      <c r="M676" s="54">
        <f t="shared" ref="M676:M677" si="469">L676*1.022</f>
        <v>43566.663928381437</v>
      </c>
      <c r="N676" s="54">
        <f t="shared" ref="N676:N677" si="470">M676*1.023</f>
        <v>44568.697198734204</v>
      </c>
      <c r="O676" s="54">
        <f t="shared" ref="O676:P677" si="471">N676*1.025</f>
        <v>45682.914628702558</v>
      </c>
      <c r="P676" s="54">
        <f t="shared" si="471"/>
        <v>46824.987494420115</v>
      </c>
      <c r="Q676" s="54">
        <f t="shared" ref="Q676:R677" si="472">P676*1.024</f>
        <v>47948.787194286197</v>
      </c>
      <c r="R676" s="54">
        <f t="shared" si="472"/>
        <v>49099.558086949066</v>
      </c>
    </row>
    <row r="677" spans="1:18" x14ac:dyDescent="0.25">
      <c r="A677" s="43" t="s">
        <v>412</v>
      </c>
      <c r="C677" s="54">
        <v>5890</v>
      </c>
      <c r="D677" s="54">
        <v>6720</v>
      </c>
      <c r="E677" s="54">
        <v>6720</v>
      </c>
      <c r="F677" s="43">
        <v>6168</v>
      </c>
      <c r="G677" s="43">
        <v>6149</v>
      </c>
      <c r="H677" s="43">
        <v>7000</v>
      </c>
      <c r="I677" s="50">
        <v>5095</v>
      </c>
      <c r="J677" s="54">
        <f t="shared" si="467"/>
        <v>5217.28</v>
      </c>
      <c r="K677" s="54">
        <f t="shared" si="467"/>
        <v>5342.4947199999997</v>
      </c>
      <c r="L677" s="54">
        <f t="shared" si="468"/>
        <v>5465.3720985599994</v>
      </c>
      <c r="M677" s="54">
        <f t="shared" si="469"/>
        <v>5585.6102847283191</v>
      </c>
      <c r="N677" s="54">
        <f t="shared" si="470"/>
        <v>5714.0793212770695</v>
      </c>
      <c r="O677" s="54">
        <f t="shared" si="471"/>
        <v>5856.931304308996</v>
      </c>
      <c r="P677" s="54">
        <f t="shared" si="471"/>
        <v>6003.3545869167201</v>
      </c>
      <c r="Q677" s="54">
        <f t="shared" si="472"/>
        <v>6147.4350970027217</v>
      </c>
      <c r="R677" s="54">
        <f t="shared" si="472"/>
        <v>6294.9735393307874</v>
      </c>
    </row>
    <row r="678" spans="1:18" x14ac:dyDescent="0.25">
      <c r="C678" s="50"/>
      <c r="D678" s="50"/>
      <c r="E678" s="50"/>
      <c r="F678" s="50"/>
      <c r="G678" s="50"/>
      <c r="H678" s="50"/>
      <c r="I678" s="50"/>
      <c r="J678" s="50"/>
      <c r="K678" s="50"/>
      <c r="L678" s="50"/>
      <c r="M678" s="50"/>
      <c r="N678" s="50"/>
      <c r="O678" s="50"/>
      <c r="P678" s="50"/>
      <c r="Q678" s="50"/>
      <c r="R678" s="50"/>
    </row>
    <row r="679" spans="1:18" x14ac:dyDescent="0.25">
      <c r="A679" s="41" t="s">
        <v>216</v>
      </c>
      <c r="B679" s="44"/>
      <c r="C679" s="51">
        <f t="shared" ref="C679" si="473">SUM(C676:C678)</f>
        <v>45740</v>
      </c>
      <c r="D679" s="51">
        <f t="shared" ref="D679:R679" si="474">SUM(D676:D678)</f>
        <v>46958</v>
      </c>
      <c r="E679" s="51">
        <f t="shared" si="474"/>
        <v>47324</v>
      </c>
      <c r="F679" s="51">
        <f t="shared" si="474"/>
        <v>47768</v>
      </c>
      <c r="G679" s="51">
        <f t="shared" si="474"/>
        <v>47957</v>
      </c>
      <c r="H679" s="51">
        <f t="shared" si="474"/>
        <v>50400</v>
      </c>
      <c r="I679" s="51">
        <f t="shared" si="474"/>
        <v>44835</v>
      </c>
      <c r="J679" s="51">
        <f t="shared" si="474"/>
        <v>45911.040000000001</v>
      </c>
      <c r="K679" s="51">
        <f t="shared" si="474"/>
        <v>47012.904960000007</v>
      </c>
      <c r="L679" s="51">
        <f t="shared" si="474"/>
        <v>48094.20177408</v>
      </c>
      <c r="M679" s="51">
        <f t="shared" si="474"/>
        <v>49152.274213109755</v>
      </c>
      <c r="N679" s="51">
        <f t="shared" si="474"/>
        <v>50282.776520011277</v>
      </c>
      <c r="O679" s="51">
        <f t="shared" si="474"/>
        <v>51539.845933011551</v>
      </c>
      <c r="P679" s="51">
        <f t="shared" si="474"/>
        <v>52828.342081336836</v>
      </c>
      <c r="Q679" s="51">
        <f t="shared" si="474"/>
        <v>54096.222291288919</v>
      </c>
      <c r="R679" s="51">
        <f t="shared" si="474"/>
        <v>55394.531626279851</v>
      </c>
    </row>
    <row r="680" spans="1:18" x14ac:dyDescent="0.25">
      <c r="C680" s="50"/>
      <c r="D680" s="50"/>
      <c r="E680" s="50"/>
      <c r="F680" s="50"/>
      <c r="G680" s="50"/>
      <c r="H680" s="50"/>
      <c r="I680" s="50"/>
      <c r="J680" s="50"/>
      <c r="K680" s="50"/>
      <c r="L680" s="50"/>
      <c r="M680" s="50"/>
      <c r="N680" s="50"/>
      <c r="O680" s="50"/>
      <c r="P680" s="50"/>
      <c r="Q680" s="50"/>
      <c r="R680" s="50"/>
    </row>
    <row r="681" spans="1:18" x14ac:dyDescent="0.25">
      <c r="C681" s="50"/>
      <c r="D681" s="50"/>
      <c r="E681" s="50"/>
      <c r="F681" s="50"/>
      <c r="G681" s="50"/>
      <c r="H681" s="50"/>
      <c r="I681" s="50"/>
      <c r="J681" s="50"/>
      <c r="K681" s="50"/>
      <c r="L681" s="50"/>
      <c r="M681" s="50"/>
      <c r="N681" s="50"/>
      <c r="O681" s="50"/>
      <c r="P681" s="50"/>
      <c r="Q681" s="50"/>
      <c r="R681" s="50"/>
    </row>
    <row r="682" spans="1:18" x14ac:dyDescent="0.25">
      <c r="A682" s="41" t="s">
        <v>165</v>
      </c>
      <c r="B682" s="44"/>
      <c r="C682" s="50"/>
      <c r="D682" s="50"/>
      <c r="E682" s="50"/>
      <c r="F682" s="50"/>
      <c r="G682" s="50"/>
      <c r="H682" s="50"/>
      <c r="I682" s="50"/>
      <c r="J682" s="50"/>
      <c r="K682" s="50"/>
      <c r="L682" s="50"/>
      <c r="M682" s="50"/>
      <c r="N682" s="50"/>
      <c r="O682" s="50"/>
      <c r="P682" s="50"/>
      <c r="Q682" s="50"/>
      <c r="R682" s="50"/>
    </row>
    <row r="683" spans="1:18" x14ac:dyDescent="0.25">
      <c r="C683" s="50"/>
      <c r="D683" s="50"/>
      <c r="E683" s="50"/>
      <c r="F683" s="50"/>
      <c r="G683" s="50"/>
      <c r="H683" s="50"/>
      <c r="I683" s="50"/>
      <c r="J683" s="50"/>
      <c r="K683" s="50"/>
      <c r="L683" s="50"/>
      <c r="M683" s="50"/>
      <c r="N683" s="50"/>
      <c r="O683" s="50"/>
      <c r="P683" s="50"/>
      <c r="Q683" s="50"/>
      <c r="R683" s="50"/>
    </row>
    <row r="684" spans="1:18" x14ac:dyDescent="0.25">
      <c r="A684" s="52" t="s">
        <v>413</v>
      </c>
      <c r="B684" s="53"/>
      <c r="C684" s="54">
        <v>569860</v>
      </c>
      <c r="D684" s="50">
        <v>583996</v>
      </c>
      <c r="E684" s="50">
        <v>643580</v>
      </c>
      <c r="F684" s="50">
        <v>706407</v>
      </c>
      <c r="G684" s="50">
        <v>717003</v>
      </c>
      <c r="H684" s="50">
        <v>733500</v>
      </c>
      <c r="I684" s="50">
        <v>753304.49999999988</v>
      </c>
      <c r="J684" s="50">
        <f t="shared" ref="J684:R684" si="475">(I684)*1.025</f>
        <v>772137.11249999981</v>
      </c>
      <c r="K684" s="50">
        <f t="shared" si="475"/>
        <v>791440.54031249974</v>
      </c>
      <c r="L684" s="50">
        <f t="shared" si="475"/>
        <v>811226.55382031214</v>
      </c>
      <c r="M684" s="50">
        <f t="shared" si="475"/>
        <v>831507.21766581992</v>
      </c>
      <c r="N684" s="50">
        <f t="shared" si="475"/>
        <v>852294.89810746536</v>
      </c>
      <c r="O684" s="50">
        <f t="shared" si="475"/>
        <v>873602.2705601519</v>
      </c>
      <c r="P684" s="50">
        <f t="shared" si="475"/>
        <v>895442.3273241556</v>
      </c>
      <c r="Q684" s="50">
        <f t="shared" si="475"/>
        <v>917828.3855072594</v>
      </c>
      <c r="R684" s="50">
        <f t="shared" si="475"/>
        <v>940774.09514494077</v>
      </c>
    </row>
    <row r="685" spans="1:18" x14ac:dyDescent="0.25">
      <c r="A685" s="43" t="s">
        <v>412</v>
      </c>
      <c r="C685" s="54">
        <v>8810</v>
      </c>
      <c r="D685" s="54">
        <v>6720</v>
      </c>
      <c r="E685" s="54">
        <v>6720</v>
      </c>
      <c r="F685">
        <v>6215</v>
      </c>
      <c r="G685">
        <v>6202</v>
      </c>
      <c r="H685">
        <v>7000</v>
      </c>
      <c r="I685" s="50">
        <v>5095</v>
      </c>
      <c r="J685" s="54">
        <f t="shared" ref="J685:K685" si="476">I685*1.024</f>
        <v>5217.28</v>
      </c>
      <c r="K685" s="54">
        <f t="shared" si="476"/>
        <v>5342.4947199999997</v>
      </c>
      <c r="L685" s="54">
        <f t="shared" ref="L685" si="477">K685*1.023</f>
        <v>5465.3720985599994</v>
      </c>
      <c r="M685" s="54">
        <f t="shared" ref="M685" si="478">L685*1.022</f>
        <v>5585.6102847283191</v>
      </c>
      <c r="N685" s="54">
        <f t="shared" ref="N685" si="479">M685*1.023</f>
        <v>5714.0793212770695</v>
      </c>
      <c r="O685" s="54">
        <f t="shared" ref="O685:P685" si="480">N685*1.025</f>
        <v>5856.931304308996</v>
      </c>
      <c r="P685" s="54">
        <f t="shared" si="480"/>
        <v>6003.3545869167201</v>
      </c>
      <c r="Q685" s="54">
        <f t="shared" ref="Q685:R685" si="481">P685*1.024</f>
        <v>6147.4350970027217</v>
      </c>
      <c r="R685" s="54">
        <f t="shared" si="481"/>
        <v>6294.9735393307874</v>
      </c>
    </row>
    <row r="686" spans="1:18" x14ac:dyDescent="0.25">
      <c r="A686" s="109" t="s">
        <v>414</v>
      </c>
      <c r="C686" s="50"/>
      <c r="D686" s="54"/>
      <c r="E686" s="54"/>
      <c r="F686" s="54"/>
      <c r="G686" s="54"/>
      <c r="H686" s="50">
        <v>40000</v>
      </c>
      <c r="I686" s="54"/>
      <c r="J686" s="54"/>
      <c r="K686" s="54"/>
      <c r="L686" s="54"/>
      <c r="M686" s="54"/>
      <c r="N686" s="54"/>
      <c r="O686" s="54"/>
      <c r="P686" s="54"/>
      <c r="Q686" s="54"/>
      <c r="R686" s="54"/>
    </row>
    <row r="687" spans="1:18" x14ac:dyDescent="0.25">
      <c r="C687" s="50"/>
      <c r="D687" s="50"/>
      <c r="E687" s="50"/>
      <c r="F687" s="50"/>
      <c r="G687" s="50"/>
      <c r="H687" s="50"/>
      <c r="I687" s="50"/>
      <c r="J687" s="50"/>
      <c r="K687" s="50"/>
      <c r="L687" s="50"/>
      <c r="M687" s="50"/>
      <c r="N687" s="50"/>
      <c r="O687" s="50"/>
      <c r="P687" s="50"/>
      <c r="Q687" s="50"/>
      <c r="R687" s="50"/>
    </row>
    <row r="688" spans="1:18" x14ac:dyDescent="0.25">
      <c r="A688" s="41" t="s">
        <v>230</v>
      </c>
      <c r="B688" s="44"/>
      <c r="C688" s="51">
        <f t="shared" ref="C688:R688" si="482">SUM(C684:C687)</f>
        <v>578670</v>
      </c>
      <c r="D688" s="51">
        <f t="shared" si="482"/>
        <v>590716</v>
      </c>
      <c r="E688" s="51">
        <f t="shared" si="482"/>
        <v>650300</v>
      </c>
      <c r="F688" s="51">
        <f t="shared" si="482"/>
        <v>712622</v>
      </c>
      <c r="G688" s="51">
        <f t="shared" si="482"/>
        <v>723205</v>
      </c>
      <c r="H688" s="51">
        <f t="shared" si="482"/>
        <v>780500</v>
      </c>
      <c r="I688" s="51">
        <f t="shared" si="482"/>
        <v>758399.49999999988</v>
      </c>
      <c r="J688" s="51">
        <f t="shared" si="482"/>
        <v>777354.39249999984</v>
      </c>
      <c r="K688" s="51">
        <f t="shared" si="482"/>
        <v>796783.0350324997</v>
      </c>
      <c r="L688" s="51">
        <f t="shared" si="482"/>
        <v>816691.92591887212</v>
      </c>
      <c r="M688" s="51">
        <f t="shared" si="482"/>
        <v>837092.82795054826</v>
      </c>
      <c r="N688" s="51">
        <f t="shared" si="482"/>
        <v>858008.97742874245</v>
      </c>
      <c r="O688" s="51">
        <f t="shared" si="482"/>
        <v>879459.20186446095</v>
      </c>
      <c r="P688" s="51">
        <f t="shared" si="482"/>
        <v>901445.68191107234</v>
      </c>
      <c r="Q688" s="51">
        <f t="shared" si="482"/>
        <v>923975.82060426218</v>
      </c>
      <c r="R688" s="51">
        <f t="shared" si="482"/>
        <v>947069.06868427154</v>
      </c>
    </row>
    <row r="689" spans="1:18" x14ac:dyDescent="0.25">
      <c r="C689" s="50"/>
      <c r="D689" s="50"/>
      <c r="E689" s="50"/>
      <c r="F689" s="50"/>
      <c r="G689" s="50"/>
      <c r="H689" s="50"/>
      <c r="I689" s="50"/>
      <c r="J689" s="50"/>
      <c r="K689" s="50"/>
      <c r="L689" s="50"/>
      <c r="M689" s="50"/>
      <c r="N689" s="50"/>
      <c r="O689" s="50"/>
      <c r="P689" s="50"/>
      <c r="Q689" s="50"/>
      <c r="R689" s="50"/>
    </row>
    <row r="690" spans="1:18" x14ac:dyDescent="0.25">
      <c r="A690" s="41" t="s">
        <v>415</v>
      </c>
      <c r="B690" s="44"/>
      <c r="C690" s="51">
        <f t="shared" ref="C690:R690" si="483">C688-C679</f>
        <v>532930</v>
      </c>
      <c r="D690" s="51">
        <f t="shared" si="483"/>
        <v>543758</v>
      </c>
      <c r="E690" s="51">
        <f t="shared" si="483"/>
        <v>602976</v>
      </c>
      <c r="F690" s="51">
        <f t="shared" si="483"/>
        <v>664854</v>
      </c>
      <c r="G690" s="51">
        <f t="shared" si="483"/>
        <v>675248</v>
      </c>
      <c r="H690" s="51">
        <f t="shared" si="483"/>
        <v>730100</v>
      </c>
      <c r="I690" s="51">
        <f t="shared" si="483"/>
        <v>713564.49999999988</v>
      </c>
      <c r="J690" s="51">
        <f t="shared" si="483"/>
        <v>731443.3524999998</v>
      </c>
      <c r="K690" s="51">
        <f t="shared" si="483"/>
        <v>749770.13007249974</v>
      </c>
      <c r="L690" s="51">
        <f t="shared" si="483"/>
        <v>768597.72414479207</v>
      </c>
      <c r="M690" s="51">
        <f t="shared" si="483"/>
        <v>787940.55373743852</v>
      </c>
      <c r="N690" s="51">
        <f t="shared" si="483"/>
        <v>807726.2009087312</v>
      </c>
      <c r="O690" s="51">
        <f t="shared" si="483"/>
        <v>827919.35593144945</v>
      </c>
      <c r="P690" s="51">
        <f t="shared" si="483"/>
        <v>848617.33982973546</v>
      </c>
      <c r="Q690" s="51">
        <f t="shared" si="483"/>
        <v>869879.59831297328</v>
      </c>
      <c r="R690" s="51">
        <f t="shared" si="483"/>
        <v>891674.53705799172</v>
      </c>
    </row>
    <row r="691" spans="1:18" x14ac:dyDescent="0.25">
      <c r="C691" s="50"/>
      <c r="D691" s="50"/>
      <c r="E691" s="50"/>
      <c r="F691" s="50"/>
      <c r="G691" s="50"/>
      <c r="H691" s="50"/>
      <c r="I691" s="50"/>
      <c r="J691" s="50"/>
      <c r="K691" s="50"/>
      <c r="L691" s="50"/>
      <c r="M691" s="50"/>
      <c r="N691" s="50"/>
      <c r="O691" s="50"/>
      <c r="P691" s="50"/>
      <c r="Q691" s="50"/>
      <c r="R691" s="50"/>
    </row>
    <row r="692" spans="1:18" x14ac:dyDescent="0.25">
      <c r="A692" s="41" t="s">
        <v>416</v>
      </c>
      <c r="B692" s="44"/>
      <c r="C692" s="50"/>
      <c r="D692" s="50"/>
      <c r="E692" s="50"/>
      <c r="F692" s="50"/>
      <c r="G692" s="50"/>
      <c r="H692" s="50"/>
      <c r="I692" s="50"/>
      <c r="J692" s="50"/>
      <c r="K692" s="50"/>
      <c r="L692" s="50"/>
      <c r="M692" s="50"/>
      <c r="N692" s="50"/>
      <c r="O692" s="50"/>
      <c r="P692" s="50"/>
      <c r="Q692" s="50"/>
      <c r="R692" s="50"/>
    </row>
    <row r="693" spans="1:18" x14ac:dyDescent="0.25">
      <c r="A693" s="41"/>
      <c r="B693" s="44"/>
      <c r="C693" s="50"/>
      <c r="D693" s="50"/>
      <c r="E693" s="50"/>
      <c r="F693" s="50"/>
      <c r="G693" s="50"/>
      <c r="H693" s="50"/>
      <c r="I693" s="50"/>
      <c r="J693" s="50"/>
      <c r="K693" s="50"/>
      <c r="L693" s="50"/>
      <c r="M693" s="50"/>
      <c r="N693" s="50"/>
      <c r="O693" s="50"/>
      <c r="P693" s="50"/>
      <c r="Q693" s="50"/>
      <c r="R693" s="50"/>
    </row>
    <row r="694" spans="1:18" x14ac:dyDescent="0.25">
      <c r="A694" s="41" t="s">
        <v>202</v>
      </c>
      <c r="B694" s="44"/>
      <c r="C694" s="50"/>
      <c r="D694" s="50"/>
      <c r="E694" s="50"/>
      <c r="F694" s="50"/>
      <c r="G694" s="50"/>
      <c r="H694" s="50"/>
      <c r="I694" s="50"/>
      <c r="J694" s="50"/>
      <c r="K694" s="50"/>
      <c r="L694" s="50"/>
      <c r="M694" s="50"/>
      <c r="N694" s="50"/>
      <c r="O694" s="50"/>
      <c r="P694" s="50"/>
      <c r="Q694" s="50"/>
      <c r="R694" s="50"/>
    </row>
    <row r="695" spans="1:18" x14ac:dyDescent="0.25">
      <c r="C695" s="50"/>
      <c r="D695" s="50"/>
      <c r="E695" s="50"/>
      <c r="F695" s="50"/>
      <c r="G695" s="50"/>
      <c r="H695" s="50"/>
      <c r="I695" s="50"/>
      <c r="J695" s="50"/>
      <c r="K695" s="50"/>
      <c r="L695" s="50"/>
      <c r="M695" s="50"/>
      <c r="N695" s="50"/>
      <c r="O695" s="50"/>
      <c r="P695" s="50"/>
      <c r="Q695" s="50"/>
      <c r="R695" s="50"/>
    </row>
    <row r="696" spans="1:18" x14ac:dyDescent="0.25">
      <c r="A696" s="52" t="s">
        <v>417</v>
      </c>
      <c r="B696" s="53"/>
      <c r="C696" s="50"/>
      <c r="D696" s="50"/>
      <c r="E696" s="50"/>
      <c r="F696" s="50"/>
      <c r="G696" s="50"/>
      <c r="H696" s="50"/>
      <c r="I696" s="50"/>
      <c r="J696" s="50"/>
      <c r="K696" s="50"/>
      <c r="L696" s="50"/>
      <c r="M696" s="50"/>
      <c r="N696" s="50"/>
      <c r="O696" s="50"/>
      <c r="P696" s="50"/>
      <c r="Q696" s="50"/>
      <c r="R696" s="50"/>
    </row>
    <row r="697" spans="1:18" x14ac:dyDescent="0.25">
      <c r="A697" s="52" t="s">
        <v>418</v>
      </c>
      <c r="B697" s="53"/>
      <c r="C697" s="59">
        <v>33896</v>
      </c>
      <c r="D697" s="54">
        <v>42840</v>
      </c>
      <c r="E697" s="54">
        <v>44241</v>
      </c>
      <c r="F697" s="54">
        <v>48585</v>
      </c>
      <c r="G697" s="54">
        <v>70493</v>
      </c>
      <c r="H697" s="54">
        <v>46500</v>
      </c>
      <c r="I697" s="54">
        <f t="shared" ref="I697:I698" si="484">H697*1.023</f>
        <v>47569.499999999993</v>
      </c>
      <c r="J697" s="54">
        <f t="shared" ref="J697:K698" si="485">I697*1.024</f>
        <v>48711.167999999991</v>
      </c>
      <c r="K697" s="54">
        <f t="shared" si="485"/>
        <v>49880.236031999993</v>
      </c>
      <c r="L697" s="54">
        <f t="shared" ref="L697:L698" si="486">K697*1.023</f>
        <v>51027.481460735988</v>
      </c>
      <c r="M697" s="54">
        <f t="shared" ref="M697:M698" si="487">L697*1.022</f>
        <v>52150.086052872182</v>
      </c>
      <c r="N697" s="54">
        <f t="shared" ref="N697:N698" si="488">M697*1.023</f>
        <v>53349.53803208824</v>
      </c>
      <c r="O697" s="54">
        <f t="shared" ref="O697:P698" si="489">N697*1.025</f>
        <v>54683.27648289044</v>
      </c>
      <c r="P697" s="54">
        <f t="shared" si="489"/>
        <v>56050.358394962699</v>
      </c>
      <c r="Q697" s="54">
        <f t="shared" ref="Q697:R698" si="490">P697*1.024</f>
        <v>57395.566996441805</v>
      </c>
      <c r="R697" s="54">
        <f t="shared" si="490"/>
        <v>58773.060604356411</v>
      </c>
    </row>
    <row r="698" spans="1:18" x14ac:dyDescent="0.25">
      <c r="A698" s="52" t="s">
        <v>419</v>
      </c>
      <c r="B698" s="53"/>
      <c r="C698" s="59"/>
      <c r="D698" s="54"/>
      <c r="E698" s="54"/>
      <c r="F698" s="54">
        <v>1004</v>
      </c>
      <c r="G698" s="50">
        <v>8504</v>
      </c>
      <c r="H698" s="50">
        <v>7000</v>
      </c>
      <c r="I698" s="54">
        <f t="shared" si="484"/>
        <v>7160.9999999999991</v>
      </c>
      <c r="J698" s="54">
        <f t="shared" si="485"/>
        <v>7332.8639999999996</v>
      </c>
      <c r="K698" s="54">
        <f t="shared" si="485"/>
        <v>7508.8527359999998</v>
      </c>
      <c r="L698" s="54">
        <f t="shared" si="486"/>
        <v>7681.5563489279994</v>
      </c>
      <c r="M698" s="54">
        <f t="shared" si="487"/>
        <v>7850.5505886044157</v>
      </c>
      <c r="N698" s="54">
        <f t="shared" si="488"/>
        <v>8031.1132521423169</v>
      </c>
      <c r="O698" s="54">
        <f t="shared" si="489"/>
        <v>8231.8910834458748</v>
      </c>
      <c r="P698" s="54">
        <f t="shared" si="489"/>
        <v>8437.6883605320218</v>
      </c>
      <c r="Q698" s="54">
        <f t="shared" si="490"/>
        <v>8640.1928811847902</v>
      </c>
      <c r="R698" s="54">
        <f t="shared" si="490"/>
        <v>8847.5575103332249</v>
      </c>
    </row>
    <row r="699" spans="1:18" x14ac:dyDescent="0.25">
      <c r="A699" s="52" t="s">
        <v>420</v>
      </c>
      <c r="B699" s="53"/>
      <c r="C699" s="59"/>
      <c r="D699" s="54"/>
      <c r="E699" s="54"/>
      <c r="F699" s="54">
        <v>20000</v>
      </c>
      <c r="G699" s="54">
        <v>0</v>
      </c>
      <c r="H699" s="54"/>
      <c r="I699" s="54"/>
      <c r="J699" s="54"/>
      <c r="K699" s="54"/>
      <c r="L699" s="54"/>
      <c r="M699" s="54"/>
      <c r="N699" s="54"/>
      <c r="O699" s="54"/>
      <c r="P699" s="54"/>
      <c r="Q699" s="54"/>
      <c r="R699" s="54"/>
    </row>
    <row r="700" spans="1:18" x14ac:dyDescent="0.25">
      <c r="A700" s="52" t="s">
        <v>421</v>
      </c>
      <c r="B700" s="53"/>
      <c r="C700" s="59"/>
      <c r="D700" s="54"/>
      <c r="E700" s="54"/>
      <c r="F700" s="54"/>
      <c r="G700" s="54">
        <v>0</v>
      </c>
      <c r="H700" s="54"/>
      <c r="I700" s="54"/>
      <c r="J700" s="54"/>
      <c r="K700" s="54"/>
      <c r="L700" s="54"/>
      <c r="M700" s="54"/>
      <c r="N700" s="54"/>
      <c r="O700" s="54"/>
      <c r="P700" s="54"/>
      <c r="Q700" s="54"/>
      <c r="R700" s="54"/>
    </row>
    <row r="701" spans="1:18" x14ac:dyDescent="0.25">
      <c r="A701" s="52" t="s">
        <v>422</v>
      </c>
      <c r="B701" s="53"/>
      <c r="C701" s="59"/>
      <c r="D701" s="50"/>
      <c r="E701" s="50"/>
      <c r="F701" s="50"/>
      <c r="G701" s="50">
        <v>0</v>
      </c>
      <c r="H701" s="50"/>
      <c r="I701" s="50"/>
      <c r="J701" s="50"/>
      <c r="K701" s="50"/>
      <c r="L701" s="50"/>
      <c r="M701" s="50"/>
      <c r="N701" s="50"/>
      <c r="O701" s="50"/>
      <c r="P701" s="50"/>
      <c r="Q701" s="50"/>
      <c r="R701" s="50"/>
    </row>
    <row r="702" spans="1:18" x14ac:dyDescent="0.25">
      <c r="A702" s="52" t="s">
        <v>423</v>
      </c>
      <c r="B702" s="53"/>
      <c r="C702" s="59"/>
      <c r="D702" s="50"/>
      <c r="E702" s="50"/>
      <c r="F702" s="50"/>
      <c r="G702" s="50">
        <v>0</v>
      </c>
      <c r="H702" s="50"/>
      <c r="I702" s="50"/>
      <c r="J702" s="50"/>
      <c r="K702" s="50"/>
      <c r="L702" s="50"/>
      <c r="M702" s="50"/>
      <c r="N702" s="50"/>
      <c r="O702" s="50"/>
      <c r="P702" s="50"/>
      <c r="Q702" s="50"/>
      <c r="R702" s="50"/>
    </row>
    <row r="703" spans="1:18" x14ac:dyDescent="0.25">
      <c r="A703" s="52" t="s">
        <v>424</v>
      </c>
      <c r="B703" s="53"/>
      <c r="C703" s="59"/>
      <c r="D703" s="50"/>
      <c r="E703" s="50"/>
      <c r="F703" s="50"/>
      <c r="G703" s="50">
        <v>0</v>
      </c>
      <c r="H703" s="50"/>
      <c r="I703" s="50"/>
      <c r="J703" s="50"/>
      <c r="K703" s="50"/>
      <c r="L703" s="50"/>
      <c r="M703" s="50"/>
      <c r="N703" s="50"/>
      <c r="O703" s="50"/>
      <c r="P703" s="50"/>
      <c r="Q703" s="50"/>
      <c r="R703" s="50"/>
    </row>
    <row r="704" spans="1:18" x14ac:dyDescent="0.25">
      <c r="A704" s="52" t="s">
        <v>425</v>
      </c>
      <c r="B704" s="53"/>
      <c r="C704" s="59">
        <v>1338</v>
      </c>
      <c r="D704" s="50">
        <v>13333</v>
      </c>
      <c r="E704" s="50"/>
      <c r="F704" s="50"/>
      <c r="G704" s="50">
        <v>0</v>
      </c>
      <c r="H704" s="50"/>
      <c r="I704" s="50"/>
      <c r="J704" s="50"/>
      <c r="K704" s="50"/>
      <c r="L704" s="50"/>
      <c r="M704" s="50"/>
      <c r="N704" s="50"/>
      <c r="O704" s="50"/>
      <c r="P704" s="50"/>
      <c r="Q704" s="50"/>
      <c r="R704" s="50"/>
    </row>
    <row r="705" spans="1:18" x14ac:dyDescent="0.25">
      <c r="A705" s="59" t="s">
        <v>426</v>
      </c>
      <c r="B705" s="53"/>
      <c r="C705" s="59"/>
      <c r="D705" s="50">
        <v>30000</v>
      </c>
      <c r="E705" s="50"/>
      <c r="F705" s="50"/>
      <c r="G705" s="50">
        <v>0</v>
      </c>
      <c r="H705" s="50"/>
      <c r="I705" s="50"/>
      <c r="J705" s="50"/>
      <c r="K705" s="50"/>
      <c r="L705" s="50"/>
      <c r="M705" s="50"/>
      <c r="N705" s="50"/>
      <c r="O705" s="50"/>
      <c r="P705" s="50"/>
      <c r="Q705" s="50"/>
      <c r="R705" s="50"/>
    </row>
    <row r="706" spans="1:18" x14ac:dyDescent="0.25">
      <c r="A706" s="43" t="s">
        <v>427</v>
      </c>
      <c r="C706" s="52">
        <v>365564</v>
      </c>
      <c r="D706" s="50">
        <v>337574</v>
      </c>
      <c r="E706" s="50">
        <v>360125</v>
      </c>
      <c r="F706" s="50">
        <v>332407</v>
      </c>
      <c r="G706" s="50">
        <v>553935</v>
      </c>
      <c r="H706" s="50">
        <v>330000</v>
      </c>
      <c r="I706" s="54">
        <f t="shared" ref="I706:I708" si="491">H706*1.023</f>
        <v>337589.99999999994</v>
      </c>
      <c r="J706" s="54">
        <f t="shared" ref="J706:K709" si="492">I706*1.024</f>
        <v>345692.15999999997</v>
      </c>
      <c r="K706" s="54">
        <f t="shared" si="492"/>
        <v>353988.77184</v>
      </c>
      <c r="L706" s="54">
        <f t="shared" ref="L706:L709" si="493">K706*1.023</f>
        <v>362130.51359231997</v>
      </c>
      <c r="M706" s="54">
        <f t="shared" ref="M706:M709" si="494">L706*1.022</f>
        <v>370097.38489135104</v>
      </c>
      <c r="N706" s="54">
        <f t="shared" ref="N706:N709" si="495">M706*1.023</f>
        <v>378609.62474385207</v>
      </c>
      <c r="O706" s="54">
        <f t="shared" ref="O706:P709" si="496">N706*1.025</f>
        <v>388074.86536244833</v>
      </c>
      <c r="P706" s="54">
        <f t="shared" si="496"/>
        <v>397776.73699650948</v>
      </c>
      <c r="Q706" s="54">
        <f t="shared" ref="Q706:R710" si="497">P706*1.024</f>
        <v>407323.37868442573</v>
      </c>
      <c r="R706" s="54">
        <f t="shared" si="497"/>
        <v>417099.13977285195</v>
      </c>
    </row>
    <row r="707" spans="1:18" x14ac:dyDescent="0.25">
      <c r="A707" s="43" t="s">
        <v>428</v>
      </c>
      <c r="C707" s="68">
        <v>20743</v>
      </c>
      <c r="D707" s="50">
        <v>30286</v>
      </c>
      <c r="E707" s="50">
        <v>31797</v>
      </c>
      <c r="F707" s="50">
        <v>28347</v>
      </c>
      <c r="G707" s="50">
        <v>24402</v>
      </c>
      <c r="H707" s="50">
        <v>32000</v>
      </c>
      <c r="I707" s="54">
        <f t="shared" si="491"/>
        <v>32735.999999999996</v>
      </c>
      <c r="J707" s="54">
        <f t="shared" si="492"/>
        <v>33521.663999999997</v>
      </c>
      <c r="K707" s="54">
        <f t="shared" si="492"/>
        <v>34326.183936000001</v>
      </c>
      <c r="L707" s="54">
        <f t="shared" si="493"/>
        <v>35115.686166528001</v>
      </c>
      <c r="M707" s="54">
        <f t="shared" si="494"/>
        <v>35888.231262191621</v>
      </c>
      <c r="N707" s="54">
        <f t="shared" si="495"/>
        <v>36713.660581222022</v>
      </c>
      <c r="O707" s="54">
        <f t="shared" si="496"/>
        <v>37631.50209575257</v>
      </c>
      <c r="P707" s="54">
        <f t="shared" si="496"/>
        <v>38572.289648146383</v>
      </c>
      <c r="Q707" s="54">
        <f t="shared" si="497"/>
        <v>39498.024599701894</v>
      </c>
      <c r="R707" s="54">
        <f t="shared" si="497"/>
        <v>40445.977190094738</v>
      </c>
    </row>
    <row r="708" spans="1:18" x14ac:dyDescent="0.25">
      <c r="A708" s="109" t="s">
        <v>429</v>
      </c>
      <c r="C708" s="68"/>
      <c r="D708" s="50"/>
      <c r="E708" s="50"/>
      <c r="F708" s="50">
        <v>2719</v>
      </c>
      <c r="G708" s="67">
        <v>6670</v>
      </c>
      <c r="H708" s="67">
        <v>7000</v>
      </c>
      <c r="I708" s="54">
        <f t="shared" si="491"/>
        <v>7160.9999999999991</v>
      </c>
      <c r="J708" s="54">
        <f t="shared" si="492"/>
        <v>7332.8639999999996</v>
      </c>
      <c r="K708" s="54">
        <f t="shared" si="492"/>
        <v>7508.8527359999998</v>
      </c>
      <c r="L708" s="54">
        <f t="shared" si="493"/>
        <v>7681.5563489279994</v>
      </c>
      <c r="M708" s="54">
        <f t="shared" si="494"/>
        <v>7850.5505886044157</v>
      </c>
      <c r="N708" s="54">
        <f t="shared" si="495"/>
        <v>8031.1132521423169</v>
      </c>
      <c r="O708" s="54">
        <f t="shared" si="496"/>
        <v>8231.8910834458748</v>
      </c>
      <c r="P708" s="54">
        <f t="shared" si="496"/>
        <v>8437.6883605320218</v>
      </c>
      <c r="Q708" s="54">
        <f t="shared" si="497"/>
        <v>8640.1928811847902</v>
      </c>
      <c r="R708" s="54">
        <f t="shared" si="497"/>
        <v>8847.5575103332249</v>
      </c>
    </row>
    <row r="709" spans="1:18" x14ac:dyDescent="0.25">
      <c r="A709" s="43" t="s">
        <v>430</v>
      </c>
      <c r="C709" s="50">
        <v>94</v>
      </c>
      <c r="D709" s="50">
        <v>0</v>
      </c>
      <c r="E709" s="50">
        <v>0</v>
      </c>
      <c r="F709" s="50">
        <v>0</v>
      </c>
      <c r="G709" s="50">
        <v>0</v>
      </c>
      <c r="H709" s="50">
        <v>20000</v>
      </c>
      <c r="I709" s="54">
        <v>40000</v>
      </c>
      <c r="J709" s="54">
        <f t="shared" si="492"/>
        <v>40960</v>
      </c>
      <c r="K709" s="54">
        <f t="shared" si="492"/>
        <v>41943.040000000001</v>
      </c>
      <c r="L709" s="54">
        <f t="shared" si="493"/>
        <v>42907.729919999998</v>
      </c>
      <c r="M709" s="54">
        <f t="shared" si="494"/>
        <v>43851.699978240002</v>
      </c>
      <c r="N709" s="54">
        <f t="shared" si="495"/>
        <v>44860.289077739515</v>
      </c>
      <c r="O709" s="54">
        <f t="shared" si="496"/>
        <v>45981.796304682997</v>
      </c>
      <c r="P709" s="54">
        <f t="shared" si="496"/>
        <v>47131.341212300067</v>
      </c>
      <c r="Q709" s="54">
        <f t="shared" si="497"/>
        <v>48262.493401395266</v>
      </c>
      <c r="R709" s="54">
        <f t="shared" si="497"/>
        <v>49420.793243028755</v>
      </c>
    </row>
    <row r="710" spans="1:18" x14ac:dyDescent="0.25">
      <c r="A710" s="43" t="s">
        <v>431</v>
      </c>
      <c r="C710" s="59">
        <v>0</v>
      </c>
      <c r="D710" s="50">
        <v>0</v>
      </c>
      <c r="E710" s="50">
        <v>0</v>
      </c>
      <c r="F710" s="50">
        <v>0</v>
      </c>
      <c r="G710" s="50">
        <v>0</v>
      </c>
      <c r="H710" s="50">
        <v>0</v>
      </c>
      <c r="I710" s="54">
        <v>0</v>
      </c>
      <c r="J710" s="54">
        <v>0</v>
      </c>
      <c r="K710" s="54">
        <v>0</v>
      </c>
      <c r="L710" s="54">
        <v>0</v>
      </c>
      <c r="M710" s="54">
        <v>0</v>
      </c>
      <c r="N710" s="54">
        <v>0</v>
      </c>
      <c r="O710" s="54">
        <v>0</v>
      </c>
      <c r="P710" s="54">
        <v>0</v>
      </c>
      <c r="Q710" s="54">
        <f t="shared" si="497"/>
        <v>0</v>
      </c>
      <c r="R710" s="54">
        <f t="shared" si="497"/>
        <v>0</v>
      </c>
    </row>
    <row r="711" spans="1:18" x14ac:dyDescent="0.25">
      <c r="A711" s="52" t="s">
        <v>432</v>
      </c>
      <c r="C711" s="59">
        <v>0</v>
      </c>
      <c r="D711" s="50"/>
      <c r="E711" s="50"/>
      <c r="F711" s="50"/>
      <c r="G711" s="50">
        <v>0</v>
      </c>
      <c r="H711" s="50"/>
      <c r="I711" s="50"/>
      <c r="J711" s="50"/>
      <c r="K711" s="50"/>
      <c r="L711" s="50"/>
      <c r="M711" s="50"/>
      <c r="N711" s="50"/>
      <c r="O711" s="50"/>
      <c r="P711" s="50"/>
      <c r="Q711" s="50"/>
      <c r="R711" s="50"/>
    </row>
    <row r="712" spans="1:18" x14ac:dyDescent="0.25">
      <c r="A712" s="52" t="s">
        <v>433</v>
      </c>
      <c r="C712" s="59">
        <v>0</v>
      </c>
      <c r="D712" s="50"/>
      <c r="E712" s="50"/>
      <c r="F712" s="50"/>
      <c r="G712" s="50">
        <v>0</v>
      </c>
      <c r="H712" s="50"/>
      <c r="I712" s="50"/>
      <c r="J712" s="50"/>
      <c r="K712" s="50"/>
      <c r="L712" s="50"/>
      <c r="M712" s="50"/>
      <c r="N712" s="50"/>
      <c r="O712" s="50"/>
      <c r="P712" s="50"/>
      <c r="Q712" s="50"/>
      <c r="R712" s="50"/>
    </row>
    <row r="713" spans="1:18" x14ac:dyDescent="0.25">
      <c r="A713" s="43" t="s">
        <v>434</v>
      </c>
      <c r="B713" s="53"/>
      <c r="C713" s="50">
        <v>0</v>
      </c>
      <c r="D713" s="50">
        <v>1320</v>
      </c>
      <c r="E713" s="50">
        <v>0</v>
      </c>
      <c r="F713" s="50">
        <v>0</v>
      </c>
      <c r="G713" s="50">
        <v>0</v>
      </c>
      <c r="H713" s="50">
        <v>0</v>
      </c>
      <c r="I713" s="50">
        <v>0</v>
      </c>
      <c r="J713" s="50">
        <v>0</v>
      </c>
      <c r="K713" s="50">
        <v>0</v>
      </c>
      <c r="L713" s="50">
        <v>0</v>
      </c>
      <c r="M713" s="50">
        <v>0</v>
      </c>
      <c r="N713" s="50">
        <v>0</v>
      </c>
      <c r="O713" s="50">
        <v>0</v>
      </c>
      <c r="P713" s="50">
        <v>0</v>
      </c>
      <c r="Q713" s="50">
        <v>0</v>
      </c>
      <c r="R713" s="50">
        <v>0</v>
      </c>
    </row>
    <row r="714" spans="1:18" x14ac:dyDescent="0.25">
      <c r="A714" s="43" t="s">
        <v>435</v>
      </c>
      <c r="C714" s="50">
        <v>0</v>
      </c>
      <c r="D714" s="50">
        <v>0</v>
      </c>
      <c r="E714" s="50">
        <v>0</v>
      </c>
      <c r="F714" s="50">
        <v>0</v>
      </c>
      <c r="G714" s="50">
        <v>0</v>
      </c>
      <c r="H714" s="50">
        <v>0</v>
      </c>
      <c r="I714" s="50">
        <v>0</v>
      </c>
      <c r="J714" s="50">
        <v>0</v>
      </c>
      <c r="K714" s="50">
        <v>0</v>
      </c>
      <c r="L714" s="50">
        <v>0</v>
      </c>
      <c r="M714" s="50">
        <v>0</v>
      </c>
      <c r="N714" s="50">
        <v>0</v>
      </c>
      <c r="O714" s="50">
        <v>0</v>
      </c>
      <c r="P714" s="50">
        <v>0</v>
      </c>
      <c r="Q714" s="50">
        <v>0</v>
      </c>
      <c r="R714" s="50">
        <v>0</v>
      </c>
    </row>
    <row r="715" spans="1:18" x14ac:dyDescent="0.25">
      <c r="A715" s="52" t="s">
        <v>436</v>
      </c>
      <c r="C715" s="50"/>
      <c r="D715" s="50"/>
      <c r="E715" s="50"/>
      <c r="F715" s="50">
        <v>21900</v>
      </c>
      <c r="G715" s="50"/>
      <c r="H715" s="50"/>
      <c r="I715" s="50"/>
      <c r="J715" s="50"/>
      <c r="K715" s="50"/>
      <c r="L715" s="50"/>
      <c r="M715" s="50"/>
      <c r="N715" s="50"/>
      <c r="O715" s="50"/>
      <c r="P715" s="50"/>
      <c r="Q715" s="50"/>
      <c r="R715" s="50"/>
    </row>
    <row r="716" spans="1:18" x14ac:dyDescent="0.25">
      <c r="A716" s="41"/>
      <c r="B716" s="44"/>
      <c r="C716" s="50"/>
      <c r="D716" s="50"/>
      <c r="E716" s="50"/>
      <c r="F716" s="50"/>
      <c r="G716" s="50"/>
      <c r="H716" s="50"/>
      <c r="I716" s="50"/>
      <c r="J716" s="50"/>
      <c r="K716" s="50"/>
      <c r="L716" s="50"/>
      <c r="M716" s="50"/>
      <c r="N716" s="50"/>
      <c r="O716" s="50"/>
      <c r="P716" s="50"/>
      <c r="Q716" s="50"/>
      <c r="R716" s="50"/>
    </row>
    <row r="717" spans="1:18" x14ac:dyDescent="0.25">
      <c r="A717" s="41" t="s">
        <v>216</v>
      </c>
      <c r="B717" s="44"/>
      <c r="C717" s="51">
        <f t="shared" ref="C717:R717" si="498">SUM(C697:C716)</f>
        <v>421635</v>
      </c>
      <c r="D717" s="51">
        <f t="shared" si="498"/>
        <v>455353</v>
      </c>
      <c r="E717" s="51">
        <f t="shared" si="498"/>
        <v>436163</v>
      </c>
      <c r="F717" s="51">
        <f t="shared" si="498"/>
        <v>454962</v>
      </c>
      <c r="G717" s="51">
        <f t="shared" si="498"/>
        <v>664004</v>
      </c>
      <c r="H717" s="51">
        <f t="shared" si="498"/>
        <v>442500</v>
      </c>
      <c r="I717" s="51">
        <f t="shared" si="498"/>
        <v>472217.49999999994</v>
      </c>
      <c r="J717" s="51">
        <f t="shared" si="498"/>
        <v>483550.71999999997</v>
      </c>
      <c r="K717" s="51">
        <f t="shared" si="498"/>
        <v>495155.93727999995</v>
      </c>
      <c r="L717" s="51">
        <f t="shared" si="498"/>
        <v>506544.52383744001</v>
      </c>
      <c r="M717" s="51">
        <f t="shared" si="498"/>
        <v>517688.50336186367</v>
      </c>
      <c r="N717" s="51">
        <f t="shared" si="498"/>
        <v>529595.33893918642</v>
      </c>
      <c r="O717" s="51">
        <f t="shared" si="498"/>
        <v>542835.22241266607</v>
      </c>
      <c r="P717" s="51">
        <f t="shared" si="498"/>
        <v>556406.10297298268</v>
      </c>
      <c r="Q717" s="51">
        <f t="shared" si="498"/>
        <v>569759.84944433428</v>
      </c>
      <c r="R717" s="51">
        <f t="shared" si="498"/>
        <v>583434.08583099837</v>
      </c>
    </row>
    <row r="718" spans="1:18" x14ac:dyDescent="0.25">
      <c r="C718" s="50"/>
      <c r="D718" s="50"/>
      <c r="E718" s="50"/>
      <c r="F718" s="50"/>
      <c r="G718" s="50"/>
      <c r="H718" s="50"/>
      <c r="I718" s="50"/>
      <c r="J718" s="50"/>
      <c r="K718" s="50"/>
      <c r="L718" s="50"/>
      <c r="M718" s="50"/>
      <c r="N718" s="50"/>
      <c r="O718" s="50"/>
      <c r="P718" s="50"/>
      <c r="Q718" s="50"/>
      <c r="R718" s="50"/>
    </row>
    <row r="719" spans="1:18" x14ac:dyDescent="0.25">
      <c r="A719" s="41" t="s">
        <v>165</v>
      </c>
      <c r="B719" s="44"/>
      <c r="C719" s="50"/>
      <c r="D719" s="50"/>
      <c r="E719" s="50"/>
      <c r="F719" s="50"/>
      <c r="G719" s="50"/>
      <c r="H719" s="50"/>
      <c r="I719" s="50"/>
      <c r="J719" s="50"/>
      <c r="K719" s="50"/>
      <c r="L719" s="50"/>
      <c r="M719" s="50"/>
      <c r="N719" s="50"/>
      <c r="O719" s="50"/>
      <c r="P719" s="50"/>
      <c r="Q719" s="50"/>
      <c r="R719" s="50"/>
    </row>
    <row r="720" spans="1:18" x14ac:dyDescent="0.25">
      <c r="C720" s="50"/>
      <c r="D720" s="50"/>
      <c r="E720" s="50"/>
      <c r="F720" s="50"/>
      <c r="G720" s="50"/>
      <c r="H720" s="50"/>
      <c r="I720" s="50"/>
      <c r="J720" s="50"/>
      <c r="K720" s="50"/>
      <c r="L720" s="50"/>
      <c r="M720" s="50"/>
      <c r="N720" s="50"/>
      <c r="O720" s="50"/>
      <c r="P720" s="50"/>
      <c r="Q720" s="50"/>
      <c r="R720" s="50"/>
    </row>
    <row r="721" spans="1:18" x14ac:dyDescent="0.25">
      <c r="A721" s="52" t="s">
        <v>437</v>
      </c>
      <c r="B721" s="53"/>
      <c r="C721" s="50"/>
      <c r="D721" s="50"/>
      <c r="E721" s="50"/>
      <c r="F721" s="50"/>
      <c r="G721" s="50"/>
      <c r="H721" s="50"/>
      <c r="I721" s="50"/>
      <c r="J721" s="50"/>
      <c r="K721" s="50"/>
      <c r="L721" s="50"/>
      <c r="M721" s="50"/>
      <c r="N721" s="50"/>
      <c r="O721" s="50"/>
      <c r="P721" s="50"/>
      <c r="Q721" s="50"/>
      <c r="R721" s="50"/>
    </row>
    <row r="722" spans="1:18" x14ac:dyDescent="0.25">
      <c r="A722" s="43" t="s">
        <v>217</v>
      </c>
      <c r="C722" s="59">
        <v>63176</v>
      </c>
      <c r="D722" s="54">
        <v>70645</v>
      </c>
      <c r="E722" s="50">
        <v>82743</v>
      </c>
      <c r="F722" s="50">
        <v>66600</v>
      </c>
      <c r="G722" s="50">
        <v>64861</v>
      </c>
      <c r="H722" s="50">
        <v>71300</v>
      </c>
      <c r="I722" s="54">
        <f>H722*1.025</f>
        <v>73082.5</v>
      </c>
      <c r="J722" s="50">
        <f>I722*1.029</f>
        <v>75201.892499999987</v>
      </c>
      <c r="K722" s="54">
        <f>J722*1.031</f>
        <v>77533.151167499978</v>
      </c>
      <c r="L722" s="54">
        <f>K722*1.033</f>
        <v>80091.745156027479</v>
      </c>
      <c r="M722" s="54">
        <f>L722*1.032</f>
        <v>82654.681001020363</v>
      </c>
      <c r="N722" s="54">
        <f>M722*1.03</f>
        <v>85134.321431050979</v>
      </c>
      <c r="O722" s="54">
        <f>N722*1.032</f>
        <v>87858.619716844609</v>
      </c>
      <c r="P722" s="54">
        <f>O722*1.034</f>
        <v>90845.812787217321</v>
      </c>
      <c r="Q722" s="54">
        <f>P722*1.034</f>
        <v>93934.570421982717</v>
      </c>
      <c r="R722" s="54">
        <f>Q722*1.034</f>
        <v>97128.345816330126</v>
      </c>
    </row>
    <row r="723" spans="1:18" x14ac:dyDescent="0.25">
      <c r="A723" s="43" t="s">
        <v>219</v>
      </c>
      <c r="C723" s="59">
        <v>7052</v>
      </c>
      <c r="D723" s="50">
        <v>5088</v>
      </c>
      <c r="E723" s="50">
        <v>7004</v>
      </c>
      <c r="F723" s="50">
        <v>1447</v>
      </c>
      <c r="G723" s="50">
        <v>4207</v>
      </c>
      <c r="H723" s="50">
        <v>4500</v>
      </c>
      <c r="I723" s="54">
        <f>H723*1.023</f>
        <v>4603.5</v>
      </c>
      <c r="J723" s="54">
        <f t="shared" ref="J723:K723" si="499">I723*1.024</f>
        <v>4713.9840000000004</v>
      </c>
      <c r="K723" s="54">
        <f t="shared" si="499"/>
        <v>4827.1196160000009</v>
      </c>
      <c r="L723" s="54">
        <f t="shared" ref="L723" si="500">K723*1.023</f>
        <v>4938.1433671680006</v>
      </c>
      <c r="M723" s="54">
        <f t="shared" ref="M723" si="501">L723*1.022</f>
        <v>5046.7825212456964</v>
      </c>
      <c r="N723" s="54">
        <f t="shared" ref="N723" si="502">M723*1.023</f>
        <v>5162.8585192343471</v>
      </c>
      <c r="O723" s="54">
        <f t="shared" ref="O723:P723" si="503">N723*1.025</f>
        <v>5291.9299822152052</v>
      </c>
      <c r="P723" s="54">
        <f t="shared" si="503"/>
        <v>5424.2282317705849</v>
      </c>
      <c r="Q723" s="54">
        <f t="shared" ref="Q723:R723" si="504">P723*1.024</f>
        <v>5554.4097093330793</v>
      </c>
      <c r="R723" s="54">
        <f t="shared" si="504"/>
        <v>5687.715542357073</v>
      </c>
    </row>
    <row r="724" spans="1:18" x14ac:dyDescent="0.25">
      <c r="A724" s="43" t="s">
        <v>220</v>
      </c>
      <c r="C724" s="52">
        <v>8128</v>
      </c>
      <c r="D724" s="50">
        <v>3721</v>
      </c>
      <c r="E724" s="50">
        <v>38918</v>
      </c>
      <c r="F724" s="50">
        <v>7515</v>
      </c>
      <c r="G724" s="50">
        <v>7665</v>
      </c>
      <c r="H724" s="50">
        <v>8100</v>
      </c>
      <c r="I724" s="54">
        <f>H724*1.025</f>
        <v>8302.5</v>
      </c>
      <c r="J724" s="50">
        <f>I724*1.029</f>
        <v>8543.2724999999991</v>
      </c>
      <c r="K724" s="54">
        <f>J724*1.031</f>
        <v>8808.1139474999982</v>
      </c>
      <c r="L724" s="54">
        <f>K724*1.033</f>
        <v>9098.7817077674972</v>
      </c>
      <c r="M724" s="54">
        <f>L724*1.032</f>
        <v>9389.9427224160572</v>
      </c>
      <c r="N724" s="54">
        <f>M724*1.03</f>
        <v>9671.6410040885385</v>
      </c>
      <c r="O724" s="54">
        <f>N724*1.032</f>
        <v>9981.1335162193718</v>
      </c>
      <c r="P724" s="54">
        <f>O724*1.034</f>
        <v>10320.49205577083</v>
      </c>
      <c r="Q724" s="54">
        <f>P724*1.034</f>
        <v>10671.388785667039</v>
      </c>
      <c r="R724" s="54">
        <f>Q724*1.034</f>
        <v>11034.216004379719</v>
      </c>
    </row>
    <row r="725" spans="1:18" x14ac:dyDescent="0.25">
      <c r="A725" s="43" t="s">
        <v>221</v>
      </c>
      <c r="C725" s="58">
        <v>5696</v>
      </c>
      <c r="D725" s="98">
        <v>4392</v>
      </c>
      <c r="E725" s="98">
        <v>4377</v>
      </c>
      <c r="F725" s="98">
        <v>7393</v>
      </c>
      <c r="G725" s="98">
        <v>4394</v>
      </c>
      <c r="H725" s="98">
        <v>4400</v>
      </c>
      <c r="I725" s="98">
        <v>4400</v>
      </c>
      <c r="J725" s="98">
        <v>5000</v>
      </c>
      <c r="K725" s="98">
        <v>5000</v>
      </c>
      <c r="L725" s="98">
        <v>5000</v>
      </c>
      <c r="M725" s="98">
        <v>5400</v>
      </c>
      <c r="N725" s="98">
        <v>5400</v>
      </c>
      <c r="O725" s="98">
        <v>5400</v>
      </c>
      <c r="P725" s="98">
        <v>5800</v>
      </c>
      <c r="Q725" s="98">
        <v>5800</v>
      </c>
      <c r="R725" s="98">
        <v>5800</v>
      </c>
    </row>
    <row r="726" spans="1:18" x14ac:dyDescent="0.25">
      <c r="A726" s="52" t="s">
        <v>438</v>
      </c>
      <c r="B726" s="53"/>
      <c r="C726" s="59">
        <v>589</v>
      </c>
      <c r="D726" s="54">
        <v>914</v>
      </c>
      <c r="E726" s="54">
        <v>974</v>
      </c>
      <c r="F726" s="54">
        <v>1075</v>
      </c>
      <c r="G726" s="50">
        <v>837</v>
      </c>
      <c r="H726" s="50">
        <v>1300</v>
      </c>
      <c r="I726" s="54">
        <f>H726*1.023</f>
        <v>1329.8999999999999</v>
      </c>
      <c r="J726" s="54">
        <f t="shared" ref="J726:K726" si="505">I726*1.024</f>
        <v>1361.8175999999999</v>
      </c>
      <c r="K726" s="54">
        <f t="shared" si="505"/>
        <v>1394.5012224</v>
      </c>
      <c r="L726" s="54">
        <f t="shared" ref="L726" si="506">K726*1.023</f>
        <v>1426.5747505151999</v>
      </c>
      <c r="M726" s="54">
        <f t="shared" ref="M726" si="507">L726*1.022</f>
        <v>1457.9593950265344</v>
      </c>
      <c r="N726" s="54">
        <f t="shared" ref="N726" si="508">M726*1.023</f>
        <v>1491.4924611121446</v>
      </c>
      <c r="O726" s="54">
        <f t="shared" ref="O726:P726" si="509">N726*1.025</f>
        <v>1528.7797726399481</v>
      </c>
      <c r="P726" s="54">
        <f t="shared" si="509"/>
        <v>1566.9992669559467</v>
      </c>
      <c r="Q726" s="54">
        <f t="shared" ref="Q726:R726" si="510">P726*1.024</f>
        <v>1604.6072493628894</v>
      </c>
      <c r="R726" s="54">
        <f t="shared" si="510"/>
        <v>1643.1178233475989</v>
      </c>
    </row>
    <row r="727" spans="1:18" x14ac:dyDescent="0.25">
      <c r="A727" s="52" t="s">
        <v>439</v>
      </c>
      <c r="B727" s="53"/>
      <c r="C727" s="59"/>
      <c r="D727" s="50"/>
      <c r="E727" s="50"/>
      <c r="F727" s="50"/>
      <c r="G727" s="50"/>
      <c r="H727" s="50"/>
      <c r="I727" s="50"/>
      <c r="J727" s="54"/>
      <c r="K727" s="50"/>
      <c r="L727" s="50"/>
      <c r="M727" s="50"/>
      <c r="N727" s="50"/>
      <c r="O727" s="50"/>
      <c r="P727" s="50"/>
      <c r="Q727" s="50"/>
      <c r="R727" s="50"/>
    </row>
    <row r="728" spans="1:18" x14ac:dyDescent="0.25">
      <c r="A728" s="52" t="s">
        <v>220</v>
      </c>
      <c r="B728" s="53"/>
      <c r="C728" s="59"/>
      <c r="D728" s="50"/>
      <c r="E728" s="50"/>
      <c r="F728" s="50"/>
      <c r="G728" s="50"/>
      <c r="H728" s="50"/>
      <c r="I728" s="50"/>
      <c r="J728" s="54"/>
      <c r="K728" s="50"/>
      <c r="L728" s="50"/>
      <c r="M728" s="50"/>
      <c r="N728" s="50"/>
      <c r="O728" s="50"/>
      <c r="P728" s="50"/>
      <c r="Q728" s="50"/>
      <c r="R728" s="50"/>
    </row>
    <row r="729" spans="1:18" x14ac:dyDescent="0.25">
      <c r="A729" s="52" t="s">
        <v>440</v>
      </c>
      <c r="B729" s="53"/>
      <c r="C729" s="59"/>
      <c r="D729" s="50"/>
      <c r="E729" s="50"/>
      <c r="F729" s="50"/>
      <c r="G729" s="50"/>
      <c r="H729" s="50"/>
      <c r="I729" s="50"/>
      <c r="J729" s="54"/>
      <c r="K729" s="50"/>
      <c r="L729" s="50"/>
      <c r="M729" s="50"/>
      <c r="N729" s="50"/>
      <c r="O729" s="50"/>
      <c r="P729" s="50"/>
      <c r="Q729" s="50"/>
      <c r="R729" s="50"/>
    </row>
    <row r="730" spans="1:18" x14ac:dyDescent="0.25">
      <c r="A730" s="52" t="s">
        <v>441</v>
      </c>
      <c r="B730" s="53"/>
      <c r="C730" s="59"/>
      <c r="D730" s="50"/>
      <c r="E730" s="50"/>
      <c r="F730" s="50"/>
      <c r="G730" s="50"/>
      <c r="H730" s="50"/>
      <c r="I730" s="50"/>
      <c r="J730" s="50"/>
      <c r="K730" s="50"/>
      <c r="L730" s="50"/>
      <c r="M730" s="50"/>
      <c r="N730" s="50"/>
      <c r="O730" s="50"/>
      <c r="P730" s="50"/>
      <c r="Q730" s="50"/>
      <c r="R730" s="50"/>
    </row>
    <row r="731" spans="1:18" x14ac:dyDescent="0.25">
      <c r="A731" s="52" t="s">
        <v>442</v>
      </c>
      <c r="B731" s="53"/>
      <c r="C731" s="59">
        <v>489</v>
      </c>
      <c r="D731" s="50">
        <v>501</v>
      </c>
      <c r="E731" s="50">
        <v>480</v>
      </c>
      <c r="F731" s="50">
        <v>1004</v>
      </c>
      <c r="G731" s="50">
        <v>532</v>
      </c>
      <c r="H731" s="50">
        <v>700</v>
      </c>
      <c r="I731" s="50">
        <v>719.7</v>
      </c>
      <c r="J731" s="50">
        <v>739.72620000000006</v>
      </c>
      <c r="K731" s="50">
        <v>760.37069880000013</v>
      </c>
      <c r="L731" s="50">
        <v>781.01160312240017</v>
      </c>
      <c r="M731" s="50">
        <v>801.62644804109277</v>
      </c>
      <c r="N731" s="50">
        <v>823.53935336666291</v>
      </c>
      <c r="O731" s="50">
        <v>847.50679263754819</v>
      </c>
      <c r="P731" s="50">
        <v>872.24236566204127</v>
      </c>
      <c r="Q731" s="50">
        <v>897.05049274167231</v>
      </c>
      <c r="R731" s="50">
        <v>922.64773038640124</v>
      </c>
    </row>
    <row r="732" spans="1:18" x14ac:dyDescent="0.25">
      <c r="A732" s="43" t="s">
        <v>304</v>
      </c>
      <c r="C732" s="77">
        <v>0</v>
      </c>
      <c r="D732" s="77">
        <v>0</v>
      </c>
      <c r="E732" s="74">
        <v>0</v>
      </c>
      <c r="F732" s="74">
        <v>0</v>
      </c>
      <c r="G732" s="74">
        <v>0</v>
      </c>
      <c r="H732" s="74">
        <v>0</v>
      </c>
      <c r="I732" s="74">
        <v>0</v>
      </c>
      <c r="J732" s="74">
        <v>0</v>
      </c>
      <c r="K732" s="74">
        <v>0</v>
      </c>
      <c r="L732" s="74">
        <v>0</v>
      </c>
      <c r="M732" s="74">
        <v>0</v>
      </c>
      <c r="N732" s="74">
        <v>0</v>
      </c>
      <c r="O732" s="74">
        <v>0</v>
      </c>
      <c r="P732" s="74">
        <v>0</v>
      </c>
      <c r="Q732" s="74">
        <v>0</v>
      </c>
      <c r="R732" s="74">
        <v>0</v>
      </c>
    </row>
    <row r="733" spans="1:18" x14ac:dyDescent="0.25">
      <c r="A733" s="52" t="s">
        <v>443</v>
      </c>
      <c r="C733" s="110">
        <v>3747</v>
      </c>
      <c r="D733" s="110">
        <v>3747</v>
      </c>
      <c r="E733" s="111">
        <v>1140</v>
      </c>
      <c r="F733" s="112">
        <v>1140</v>
      </c>
      <c r="G733" s="113">
        <v>1140</v>
      </c>
      <c r="H733" s="101">
        <v>1170</v>
      </c>
      <c r="I733" s="101">
        <v>1190</v>
      </c>
      <c r="J733" s="101">
        <v>1220</v>
      </c>
      <c r="K733" s="101">
        <v>1250</v>
      </c>
      <c r="L733" s="101">
        <v>1290</v>
      </c>
      <c r="M733" s="101">
        <v>1310</v>
      </c>
      <c r="N733" s="101">
        <v>1340</v>
      </c>
      <c r="O733" s="101">
        <v>1380</v>
      </c>
      <c r="P733" s="101">
        <v>1410</v>
      </c>
      <c r="Q733" s="101">
        <v>1440</v>
      </c>
      <c r="R733" s="101">
        <v>1440</v>
      </c>
    </row>
    <row r="734" spans="1:18" x14ac:dyDescent="0.25">
      <c r="A734" s="52" t="s">
        <v>444</v>
      </c>
      <c r="B734" s="53"/>
      <c r="C734" s="54">
        <v>4450</v>
      </c>
      <c r="D734" s="50">
        <v>7571</v>
      </c>
      <c r="E734" s="50">
        <v>16882</v>
      </c>
      <c r="F734" s="50">
        <v>13557</v>
      </c>
      <c r="G734" s="50">
        <v>3878</v>
      </c>
      <c r="H734" s="50">
        <v>13690</v>
      </c>
      <c r="I734" s="50">
        <v>14046.650000000001</v>
      </c>
      <c r="J734" s="50">
        <v>14431.397449999997</v>
      </c>
      <c r="K734" s="50">
        <v>14836.560830050003</v>
      </c>
      <c r="L734" s="50">
        <v>15254.644274853646</v>
      </c>
      <c r="M734" s="50">
        <v>15671.525553846972</v>
      </c>
      <c r="N734" s="50">
        <v>16099.61129892349</v>
      </c>
      <c r="O734" s="50">
        <v>16569.288296737654</v>
      </c>
      <c r="P734" s="50">
        <v>17064.248285779046</v>
      </c>
      <c r="Q734" s="50">
        <v>17565.074306366507</v>
      </c>
      <c r="R734" s="50">
        <v>18081.578530199011</v>
      </c>
    </row>
    <row r="735" spans="1:18" x14ac:dyDescent="0.25">
      <c r="A735" s="43" t="s">
        <v>304</v>
      </c>
      <c r="C735" s="77">
        <v>2711</v>
      </c>
      <c r="D735" s="74">
        <v>2711</v>
      </c>
      <c r="E735" s="72">
        <v>2711</v>
      </c>
      <c r="F735" s="74">
        <v>2711</v>
      </c>
      <c r="G735" s="105">
        <v>2711</v>
      </c>
      <c r="H735" s="73">
        <v>4440</v>
      </c>
      <c r="I735" s="73">
        <v>4540</v>
      </c>
      <c r="J735" s="73">
        <v>4650</v>
      </c>
      <c r="K735" s="73">
        <v>4760</v>
      </c>
      <c r="L735" s="73">
        <v>4870</v>
      </c>
      <c r="M735" s="73">
        <v>4980</v>
      </c>
      <c r="N735" s="73">
        <v>5100</v>
      </c>
      <c r="O735" s="73">
        <v>5220</v>
      </c>
      <c r="P735" s="73">
        <v>5350</v>
      </c>
      <c r="Q735" s="73">
        <v>5480</v>
      </c>
      <c r="R735" s="73">
        <v>5480</v>
      </c>
    </row>
    <row r="736" spans="1:18" x14ac:dyDescent="0.25">
      <c r="A736" s="52" t="s">
        <v>443</v>
      </c>
      <c r="C736" s="81">
        <v>21071</v>
      </c>
      <c r="D736" s="81">
        <v>22053</v>
      </c>
      <c r="E736" s="79">
        <v>8721</v>
      </c>
      <c r="F736" s="79">
        <v>8721</v>
      </c>
      <c r="G736" s="79">
        <v>8804</v>
      </c>
      <c r="H736" s="101">
        <v>9000</v>
      </c>
      <c r="I736" s="101">
        <v>9210</v>
      </c>
      <c r="J736" s="101">
        <v>9430</v>
      </c>
      <c r="K736" s="101">
        <v>9660</v>
      </c>
      <c r="L736" s="101">
        <v>9880</v>
      </c>
      <c r="M736" s="101">
        <v>10100</v>
      </c>
      <c r="N736" s="101">
        <v>10330</v>
      </c>
      <c r="O736" s="101">
        <v>10580</v>
      </c>
      <c r="P736" s="101">
        <v>10850</v>
      </c>
      <c r="Q736" s="101">
        <v>11170</v>
      </c>
      <c r="R736" s="101">
        <v>11170</v>
      </c>
    </row>
    <row r="737" spans="1:20" x14ac:dyDescent="0.25">
      <c r="A737" s="52" t="s">
        <v>445</v>
      </c>
      <c r="B737" s="53"/>
      <c r="C737" s="50"/>
      <c r="D737" s="50"/>
      <c r="E737" s="50"/>
      <c r="F737" s="50"/>
      <c r="G737" s="50"/>
      <c r="H737" s="50"/>
      <c r="I737" s="50"/>
      <c r="J737" s="50"/>
      <c r="K737" s="50"/>
      <c r="L737" s="50"/>
      <c r="M737" s="50"/>
      <c r="N737" s="50"/>
      <c r="O737" s="50"/>
      <c r="P737" s="50"/>
      <c r="Q737" s="50"/>
      <c r="R737" s="50"/>
    </row>
    <row r="738" spans="1:20" x14ac:dyDescent="0.25">
      <c r="A738" s="52" t="s">
        <v>446</v>
      </c>
      <c r="B738" s="53"/>
      <c r="C738" s="59">
        <v>73178</v>
      </c>
      <c r="D738" s="50">
        <v>73620</v>
      </c>
      <c r="E738" s="50">
        <v>68270</v>
      </c>
      <c r="F738" s="50">
        <v>80203</v>
      </c>
      <c r="G738" s="50">
        <v>71905</v>
      </c>
      <c r="H738" s="50">
        <v>80000</v>
      </c>
      <c r="I738" s="50">
        <v>81899.599999999977</v>
      </c>
      <c r="J738" s="50">
        <v>84017.915399999983</v>
      </c>
      <c r="K738" s="50">
        <v>86254.361004599981</v>
      </c>
      <c r="L738" s="50">
        <v>88562.262907255776</v>
      </c>
      <c r="M738" s="50">
        <v>90845.377993550559</v>
      </c>
      <c r="N738" s="50">
        <v>93176.641693809128</v>
      </c>
      <c r="O738" s="50">
        <v>95755.132342753481</v>
      </c>
      <c r="P738" s="50">
        <v>98479.49707219268</v>
      </c>
      <c r="Q738" s="50">
        <v>101222.69717879193</v>
      </c>
      <c r="R738" s="50">
        <v>104044.64362196304</v>
      </c>
    </row>
    <row r="739" spans="1:20" x14ac:dyDescent="0.25">
      <c r="A739" s="52" t="s">
        <v>447</v>
      </c>
      <c r="B739" s="53"/>
      <c r="C739" s="59">
        <v>17725</v>
      </c>
      <c r="D739" s="50">
        <v>21501</v>
      </c>
      <c r="E739" s="50">
        <v>24980</v>
      </c>
      <c r="F739" s="50">
        <v>32625</v>
      </c>
      <c r="G739" s="50">
        <v>27151</v>
      </c>
      <c r="H739" s="50">
        <v>32700</v>
      </c>
      <c r="I739" s="50">
        <v>33480.300000000003</v>
      </c>
      <c r="J739" s="50">
        <v>34356.089699999997</v>
      </c>
      <c r="K739" s="50">
        <v>35284.737210299994</v>
      </c>
      <c r="L739" s="50">
        <v>36249.612594111895</v>
      </c>
      <c r="M739" s="50">
        <v>37205.490271280534</v>
      </c>
      <c r="N739" s="50">
        <v>38175.634738470908</v>
      </c>
      <c r="O739" s="50">
        <v>39247.876343612123</v>
      </c>
      <c r="P739" s="50">
        <v>40385.444343956529</v>
      </c>
      <c r="Q739" s="50">
        <v>41534.348018071199</v>
      </c>
      <c r="R739" s="50">
        <v>42716.933582699858</v>
      </c>
    </row>
    <row r="740" spans="1:20" x14ac:dyDescent="0.25">
      <c r="A740" s="52" t="s">
        <v>448</v>
      </c>
      <c r="B740" s="53"/>
      <c r="C740" s="59">
        <v>13844</v>
      </c>
      <c r="D740" s="50">
        <v>17793</v>
      </c>
      <c r="E740" s="50">
        <v>14005</v>
      </c>
      <c r="F740" s="50">
        <v>10683</v>
      </c>
      <c r="G740" s="50">
        <v>25065</v>
      </c>
      <c r="H740" s="50">
        <v>16700</v>
      </c>
      <c r="I740" s="50">
        <v>17102.899999999998</v>
      </c>
      <c r="J740" s="50">
        <v>17561.544599999994</v>
      </c>
      <c r="K740" s="50">
        <v>18052.422575399996</v>
      </c>
      <c r="L740" s="50">
        <v>18569.845913284196</v>
      </c>
      <c r="M740" s="50">
        <v>19083.973323441896</v>
      </c>
      <c r="N740" s="50">
        <v>19599.18350384834</v>
      </c>
      <c r="O740" s="50">
        <v>20167.730249230848</v>
      </c>
      <c r="P740" s="50">
        <v>20776.170899964356</v>
      </c>
      <c r="Q740" s="50">
        <v>21394.567674803311</v>
      </c>
      <c r="R740" s="50">
        <v>22031.878107128552</v>
      </c>
    </row>
    <row r="741" spans="1:20" x14ac:dyDescent="0.25">
      <c r="A741" s="52" t="s">
        <v>449</v>
      </c>
      <c r="B741" s="53"/>
      <c r="C741" s="59">
        <v>0</v>
      </c>
      <c r="D741" s="50">
        <v>2383</v>
      </c>
      <c r="E741" s="50">
        <v>71</v>
      </c>
      <c r="F741" s="50">
        <v>980</v>
      </c>
      <c r="G741" s="50">
        <v>506</v>
      </c>
      <c r="H741" s="50">
        <v>3000</v>
      </c>
      <c r="I741" s="50">
        <v>3073.2000000000003</v>
      </c>
      <c r="J741" s="50">
        <v>3157.7192999999997</v>
      </c>
      <c r="K741" s="50">
        <v>3249.0090206999994</v>
      </c>
      <c r="L741" s="50">
        <v>3346.5720791510989</v>
      </c>
      <c r="M741" s="50">
        <v>3443.786098949598</v>
      </c>
      <c r="N741" s="50">
        <v>3540.0341863883423</v>
      </c>
      <c r="O741" s="50">
        <v>3646.0872784258404</v>
      </c>
      <c r="P741" s="50">
        <v>3760.528771924332</v>
      </c>
      <c r="Q741" s="50">
        <v>3877.5382937062182</v>
      </c>
      <c r="R741" s="50">
        <v>3998.2657762735635</v>
      </c>
    </row>
    <row r="742" spans="1:20" x14ac:dyDescent="0.25">
      <c r="A742" s="52" t="s">
        <v>450</v>
      </c>
      <c r="B742" s="53"/>
      <c r="C742" s="59">
        <v>1779</v>
      </c>
      <c r="D742" s="50">
        <v>1373</v>
      </c>
      <c r="E742" s="50">
        <v>1509</v>
      </c>
      <c r="F742" s="50">
        <f>2357-672</f>
        <v>1685</v>
      </c>
      <c r="G742" s="50">
        <v>548</v>
      </c>
      <c r="H742" s="50">
        <v>6000</v>
      </c>
      <c r="I742" s="50">
        <v>6144.7999999999993</v>
      </c>
      <c r="J742" s="50">
        <v>6309.7002000000002</v>
      </c>
      <c r="K742" s="50">
        <v>6486.2354598000002</v>
      </c>
      <c r="L742" s="50">
        <v>6672.3912055253995</v>
      </c>
      <c r="M742" s="50">
        <v>6857.3762290919085</v>
      </c>
      <c r="N742" s="50">
        <v>7042.6860844342937</v>
      </c>
      <c r="O742" s="50">
        <v>7247.1711446806203</v>
      </c>
      <c r="P742" s="50">
        <v>7466.0569276922433</v>
      </c>
      <c r="Q742" s="50">
        <v>7688.5628778946593</v>
      </c>
      <c r="R742" s="50">
        <v>7917.8818707558203</v>
      </c>
    </row>
    <row r="743" spans="1:20" x14ac:dyDescent="0.25">
      <c r="A743" s="52" t="s">
        <v>443</v>
      </c>
      <c r="C743" s="114">
        <v>672</v>
      </c>
      <c r="D743" s="115">
        <v>672</v>
      </c>
      <c r="E743" s="115">
        <v>672</v>
      </c>
      <c r="F743" s="116">
        <v>672</v>
      </c>
      <c r="G743" s="117">
        <v>672</v>
      </c>
      <c r="H743" s="111">
        <v>690</v>
      </c>
      <c r="I743" s="111">
        <v>700</v>
      </c>
      <c r="J743" s="111">
        <v>730</v>
      </c>
      <c r="K743" s="111">
        <v>740</v>
      </c>
      <c r="L743" s="111">
        <v>760</v>
      </c>
      <c r="M743" s="111">
        <v>780</v>
      </c>
      <c r="N743" s="111">
        <v>790</v>
      </c>
      <c r="O743" s="111">
        <v>810</v>
      </c>
      <c r="P743" s="111">
        <v>830</v>
      </c>
      <c r="Q743" s="111">
        <v>850</v>
      </c>
      <c r="R743" s="111">
        <v>850</v>
      </c>
    </row>
    <row r="744" spans="1:20" x14ac:dyDescent="0.25">
      <c r="A744" s="52" t="s">
        <v>451</v>
      </c>
      <c r="B744" s="53"/>
      <c r="C744" s="50"/>
      <c r="D744" s="50"/>
      <c r="E744" s="50"/>
      <c r="F744" s="50"/>
      <c r="G744" s="50"/>
      <c r="H744" s="50"/>
      <c r="I744" s="50"/>
      <c r="J744" s="50"/>
      <c r="K744" s="50"/>
      <c r="L744" s="50"/>
      <c r="M744" s="50"/>
      <c r="N744" s="50"/>
      <c r="O744" s="50"/>
      <c r="P744" s="50"/>
      <c r="Q744" s="50"/>
      <c r="R744" s="50"/>
    </row>
    <row r="745" spans="1:20" x14ac:dyDescent="0.25">
      <c r="A745" s="52" t="s">
        <v>452</v>
      </c>
      <c r="B745" s="53"/>
      <c r="C745" s="54">
        <f>565895-67746-2246-7682-48181</f>
        <v>440040</v>
      </c>
      <c r="D745" s="50">
        <v>376917</v>
      </c>
      <c r="E745" s="50">
        <v>399837</v>
      </c>
      <c r="F745" s="50">
        <f>556531-10917-42478-99831-2446-302.18-8761-4257</f>
        <v>387538.82</v>
      </c>
      <c r="G745" s="50">
        <v>329089</v>
      </c>
      <c r="H745" s="50">
        <v>340347.69576679997</v>
      </c>
      <c r="I745" s="50">
        <v>348593.79307841626</v>
      </c>
      <c r="J745" s="50">
        <v>357936.79852541967</v>
      </c>
      <c r="K745" s="50">
        <v>367919.83098830987</v>
      </c>
      <c r="L745" s="50">
        <v>378422.79440813762</v>
      </c>
      <c r="M745" s="50">
        <v>388863.26435530186</v>
      </c>
      <c r="N745" s="50">
        <v>399346.21674847591</v>
      </c>
      <c r="O745" s="50">
        <v>410902.17518670147</v>
      </c>
      <c r="P745" s="50">
        <v>423249.97039456124</v>
      </c>
      <c r="Q745" s="50">
        <v>435795.36827576929</v>
      </c>
      <c r="R745" s="50">
        <f>442898.52335339+5817</f>
        <v>448715.52335338999</v>
      </c>
    </row>
    <row r="746" spans="1:20" x14ac:dyDescent="0.25">
      <c r="A746" s="52" t="s">
        <v>453</v>
      </c>
      <c r="B746" s="53"/>
      <c r="C746" s="54"/>
      <c r="D746" s="50"/>
      <c r="E746" s="50">
        <v>0</v>
      </c>
      <c r="F746" s="50">
        <f>10917</f>
        <v>10917</v>
      </c>
      <c r="G746" s="50">
        <v>23460</v>
      </c>
      <c r="H746" s="50">
        <v>33100</v>
      </c>
      <c r="I746" s="50">
        <v>33896.300000000003</v>
      </c>
      <c r="J746" s="50">
        <v>34799.498699999996</v>
      </c>
      <c r="K746" s="50">
        <v>35763.890481299997</v>
      </c>
      <c r="L746" s="50">
        <v>36776.758720494894</v>
      </c>
      <c r="M746" s="50">
        <v>37782.42602948891</v>
      </c>
      <c r="N746" s="50">
        <v>38793.430221191345</v>
      </c>
      <c r="O746" s="50">
        <v>39909.534621536041</v>
      </c>
      <c r="P746" s="50">
        <v>41101.35058322316</v>
      </c>
      <c r="Q746" s="50">
        <v>42310.756591018027</v>
      </c>
      <c r="R746" s="50">
        <v>43557</v>
      </c>
    </row>
    <row r="747" spans="1:20" x14ac:dyDescent="0.25">
      <c r="A747" s="52" t="s">
        <v>443</v>
      </c>
      <c r="B747" s="53"/>
      <c r="C747" s="54"/>
      <c r="D747" s="50"/>
      <c r="E747" s="50"/>
      <c r="F747" s="50"/>
      <c r="G747" s="50"/>
      <c r="H747" s="115">
        <v>1290</v>
      </c>
      <c r="I747" s="115">
        <v>1320</v>
      </c>
      <c r="J747" s="115">
        <v>1360</v>
      </c>
      <c r="K747" s="115">
        <v>1380</v>
      </c>
      <c r="L747" s="115">
        <v>1420</v>
      </c>
      <c r="M747" s="115">
        <v>1450</v>
      </c>
      <c r="N747" s="115">
        <v>1480</v>
      </c>
      <c r="O747" s="115">
        <v>1520</v>
      </c>
      <c r="P747" s="115">
        <v>1560</v>
      </c>
      <c r="Q747" s="115">
        <v>1600</v>
      </c>
      <c r="R747" s="115">
        <v>1600</v>
      </c>
      <c r="S747" s="115"/>
    </row>
    <row r="748" spans="1:20" x14ac:dyDescent="0.25">
      <c r="A748" s="52" t="s">
        <v>454</v>
      </c>
      <c r="B748" s="53"/>
      <c r="C748" s="52">
        <v>12066</v>
      </c>
      <c r="D748" s="50">
        <v>7069</v>
      </c>
      <c r="E748" s="50">
        <v>14265</v>
      </c>
      <c r="F748" s="43">
        <v>29269</v>
      </c>
      <c r="G748" s="50">
        <v>28836</v>
      </c>
      <c r="H748" s="50">
        <v>28800</v>
      </c>
      <c r="I748" s="54">
        <f>H748*1.023</f>
        <v>29462.399999999998</v>
      </c>
      <c r="J748" s="54">
        <f t="shared" ref="J748:K748" si="511">I748*1.024</f>
        <v>30169.497599999999</v>
      </c>
      <c r="K748" s="54">
        <f t="shared" si="511"/>
        <v>30893.5655424</v>
      </c>
      <c r="L748" s="54">
        <f t="shared" ref="L748" si="512">K748*1.023</f>
        <v>31604.117549875198</v>
      </c>
      <c r="M748" s="54">
        <f t="shared" ref="M748" si="513">L748*1.022</f>
        <v>32299.408135972451</v>
      </c>
      <c r="N748" s="54">
        <f t="shared" ref="N748" si="514">M748*1.023</f>
        <v>33042.294523099816</v>
      </c>
      <c r="O748" s="54">
        <f t="shared" ref="O748:P748" si="515">N748*1.025</f>
        <v>33868.351886177305</v>
      </c>
      <c r="P748" s="54">
        <f t="shared" si="515"/>
        <v>34715.060683331736</v>
      </c>
      <c r="Q748" s="54">
        <f t="shared" ref="Q748:R748" si="516">P748*1.024</f>
        <v>35548.222139731697</v>
      </c>
      <c r="R748" s="54">
        <f t="shared" si="516"/>
        <v>36401.37947108526</v>
      </c>
    </row>
    <row r="749" spans="1:20" x14ac:dyDescent="0.25">
      <c r="A749" s="43" t="s">
        <v>220</v>
      </c>
      <c r="C749" s="50">
        <f>41248+6933</f>
        <v>48181</v>
      </c>
      <c r="D749" s="50">
        <v>43441</v>
      </c>
      <c r="E749" s="50">
        <v>37433</v>
      </c>
      <c r="F749" s="50">
        <v>42478</v>
      </c>
      <c r="G749" s="54">
        <v>53475</v>
      </c>
      <c r="H749" s="54">
        <v>73800</v>
      </c>
      <c r="I749" s="54">
        <f>H749*1.025</f>
        <v>75645</v>
      </c>
      <c r="J749" s="50">
        <f>I749*1.029</f>
        <v>77838.704999999987</v>
      </c>
      <c r="K749" s="54">
        <f>J749*1.031</f>
        <v>80251.704854999974</v>
      </c>
      <c r="L749" s="54">
        <f>K749*1.033</f>
        <v>82900.011115214962</v>
      </c>
      <c r="M749" s="54">
        <f>L749*1.032</f>
        <v>85552.811470901841</v>
      </c>
      <c r="N749" s="54">
        <f>M749*1.03</f>
        <v>88119.395815028896</v>
      </c>
      <c r="O749" s="54">
        <f>N749*1.032</f>
        <v>90939.216481109819</v>
      </c>
      <c r="P749" s="54">
        <f>O749*1.034</f>
        <v>94031.149841467559</v>
      </c>
      <c r="Q749" s="54">
        <f>P749*1.034</f>
        <v>97228.208936077455</v>
      </c>
      <c r="R749" s="54">
        <f>Q749*1.034</f>
        <v>100533.9680399041</v>
      </c>
      <c r="S749" s="54"/>
    </row>
    <row r="750" spans="1:20" x14ac:dyDescent="0.25">
      <c r="A750" s="52" t="s">
        <v>443</v>
      </c>
      <c r="C750" s="118">
        <v>67746</v>
      </c>
      <c r="D750" s="115">
        <v>84994</v>
      </c>
      <c r="E750" s="115">
        <v>107884</v>
      </c>
      <c r="F750" s="117">
        <f>99831+8761</f>
        <v>108592</v>
      </c>
      <c r="G750" s="115">
        <v>118959</v>
      </c>
      <c r="H750" s="117">
        <v>111880</v>
      </c>
      <c r="I750" s="115">
        <v>114400</v>
      </c>
      <c r="J750" s="115">
        <v>117170</v>
      </c>
      <c r="K750" s="115">
        <v>119970</v>
      </c>
      <c r="L750" s="115">
        <v>122760</v>
      </c>
      <c r="M750" s="115">
        <v>125410</v>
      </c>
      <c r="N750" s="115">
        <v>128270</v>
      </c>
      <c r="O750" s="115">
        <v>131460</v>
      </c>
      <c r="P750" s="115">
        <v>134800</v>
      </c>
      <c r="Q750" s="115">
        <v>138000</v>
      </c>
      <c r="R750" s="115">
        <v>138000</v>
      </c>
    </row>
    <row r="751" spans="1:20" x14ac:dyDescent="0.25">
      <c r="A751" s="43" t="s">
        <v>303</v>
      </c>
      <c r="C751" s="105">
        <v>2246</v>
      </c>
      <c r="D751" s="71">
        <v>2246</v>
      </c>
      <c r="E751" s="71">
        <v>2246</v>
      </c>
      <c r="F751" s="105">
        <v>2446</v>
      </c>
      <c r="G751" s="71">
        <v>2246</v>
      </c>
      <c r="H751" s="71">
        <v>5570</v>
      </c>
      <c r="I751" s="71">
        <v>5700</v>
      </c>
      <c r="J751" s="71">
        <v>5840</v>
      </c>
      <c r="K751" s="71">
        <v>5980</v>
      </c>
      <c r="L751" s="71">
        <v>6120</v>
      </c>
      <c r="M751" s="71">
        <v>6250</v>
      </c>
      <c r="N751" s="71">
        <v>6390</v>
      </c>
      <c r="O751" s="71">
        <v>6560</v>
      </c>
      <c r="P751" s="71">
        <v>6720</v>
      </c>
      <c r="Q751" s="71">
        <v>6880</v>
      </c>
      <c r="R751" s="71">
        <v>6880</v>
      </c>
      <c r="T751" s="71">
        <v>769871</v>
      </c>
    </row>
    <row r="752" spans="1:20" x14ac:dyDescent="0.25">
      <c r="A752" s="43" t="s">
        <v>389</v>
      </c>
      <c r="C752" s="117">
        <v>7682</v>
      </c>
      <c r="D752" s="71"/>
      <c r="E752" s="71"/>
      <c r="F752" s="71"/>
      <c r="G752" s="71"/>
      <c r="H752" s="100"/>
      <c r="I752" s="100"/>
      <c r="J752" s="71"/>
      <c r="K752" s="71"/>
      <c r="L752" s="100"/>
      <c r="M752" s="100"/>
      <c r="N752" s="71"/>
      <c r="O752" s="71"/>
      <c r="P752" s="71"/>
      <c r="Q752" s="71"/>
      <c r="R752" s="71"/>
      <c r="T752">
        <v>775698</v>
      </c>
    </row>
    <row r="753" spans="1:18" x14ac:dyDescent="0.25">
      <c r="A753" s="43" t="s">
        <v>455</v>
      </c>
      <c r="C753" s="54">
        <f>126330-18551-32842</f>
        <v>74937</v>
      </c>
      <c r="D753" s="50">
        <v>79825</v>
      </c>
      <c r="E753" s="50">
        <v>80329</v>
      </c>
      <c r="F753" s="50">
        <f>135720-19125-18726-704-20286</f>
        <v>76879</v>
      </c>
      <c r="G753" s="50">
        <v>79964</v>
      </c>
      <c r="H753" s="50">
        <v>98090</v>
      </c>
      <c r="I753" s="50">
        <v>99703.049999999988</v>
      </c>
      <c r="J753" s="50">
        <v>102343.34904999996</v>
      </c>
      <c r="K753" s="50">
        <v>105137.01366345002</v>
      </c>
      <c r="L753" s="50">
        <v>108017.65260708428</v>
      </c>
      <c r="M753" s="50">
        <v>110880.79924331512</v>
      </c>
      <c r="N753" s="50">
        <v>113813.1646092271</v>
      </c>
      <c r="O753" s="50">
        <v>117034.92779558865</v>
      </c>
      <c r="P753" s="50">
        <v>120433.14607607969</v>
      </c>
      <c r="Q753" s="50">
        <v>123863.02865294859</v>
      </c>
      <c r="R753" s="50">
        <v>127395.34463733769</v>
      </c>
    </row>
    <row r="754" spans="1:18" x14ac:dyDescent="0.25">
      <c r="A754" s="43" t="s">
        <v>456</v>
      </c>
      <c r="B754" s="53"/>
      <c r="C754" s="54">
        <f>17988+47+516</f>
        <v>18551</v>
      </c>
      <c r="D754" s="50">
        <v>19822</v>
      </c>
      <c r="E754" s="50">
        <v>15222</v>
      </c>
      <c r="F754" s="50">
        <f>38303-18726-704+252.08</f>
        <v>19125.080000000002</v>
      </c>
      <c r="G754" s="50">
        <v>15688</v>
      </c>
      <c r="H754" s="50">
        <v>18530</v>
      </c>
      <c r="I754" s="50">
        <v>4496.75</v>
      </c>
      <c r="J754" s="50">
        <v>4655.2904499999968</v>
      </c>
      <c r="K754" s="50">
        <v>4820.3498700499986</v>
      </c>
      <c r="L754" s="50">
        <v>4990.9317918896486</v>
      </c>
      <c r="M754" s="50">
        <v>5167.0322126051979</v>
      </c>
      <c r="N754" s="50">
        <v>5351.2192390605123</v>
      </c>
      <c r="O754" s="50">
        <v>5545.4790769102001</v>
      </c>
      <c r="P754" s="50">
        <v>5747.9783115869395</v>
      </c>
      <c r="Q754" s="50">
        <v>5957.4072175616457</v>
      </c>
      <c r="R754" s="50">
        <v>6175.3927925788448</v>
      </c>
    </row>
    <row r="755" spans="1:18" x14ac:dyDescent="0.25">
      <c r="A755" s="52" t="s">
        <v>457</v>
      </c>
      <c r="B755" s="53"/>
      <c r="C755" s="54"/>
      <c r="D755" s="50"/>
      <c r="E755" s="50"/>
      <c r="F755" s="50"/>
      <c r="G755" s="50"/>
      <c r="H755" s="50">
        <v>35000</v>
      </c>
      <c r="I755" s="50"/>
      <c r="J755" s="50"/>
      <c r="K755" s="50"/>
      <c r="L755" s="50"/>
      <c r="M755" s="50"/>
      <c r="N755" s="50"/>
      <c r="O755" s="50"/>
      <c r="P755" s="50"/>
      <c r="Q755" s="50"/>
      <c r="R755" s="50"/>
    </row>
    <row r="756" spans="1:18" x14ac:dyDescent="0.25">
      <c r="A756" s="52" t="s">
        <v>458</v>
      </c>
      <c r="B756" s="53"/>
      <c r="C756" s="77">
        <v>5569</v>
      </c>
      <c r="D756" s="77">
        <v>18726</v>
      </c>
      <c r="E756" s="77">
        <v>18726</v>
      </c>
      <c r="F756" s="77">
        <v>18726</v>
      </c>
      <c r="G756" s="73">
        <v>18726</v>
      </c>
      <c r="H756" s="73">
        <v>51790</v>
      </c>
      <c r="I756" s="73">
        <v>52980</v>
      </c>
      <c r="J756" s="73">
        <v>54260</v>
      </c>
      <c r="K756" s="73">
        <v>55550</v>
      </c>
      <c r="L756" s="73">
        <v>56830</v>
      </c>
      <c r="M756" s="73">
        <v>58080</v>
      </c>
      <c r="N756" s="73">
        <v>59420</v>
      </c>
      <c r="O756" s="73">
        <v>60910</v>
      </c>
      <c r="P756" s="73">
        <v>62430</v>
      </c>
      <c r="Q756" s="73">
        <v>63930</v>
      </c>
      <c r="R756" s="73">
        <v>63930</v>
      </c>
    </row>
    <row r="757" spans="1:18" x14ac:dyDescent="0.25">
      <c r="A757" s="52" t="s">
        <v>443</v>
      </c>
      <c r="B757" s="53"/>
      <c r="C757" s="77"/>
      <c r="D757" s="79">
        <v>704</v>
      </c>
      <c r="E757" s="79">
        <v>704</v>
      </c>
      <c r="F757" s="113">
        <v>704</v>
      </c>
      <c r="G757" s="119">
        <v>704</v>
      </c>
      <c r="H757" s="119">
        <v>720</v>
      </c>
      <c r="I757" s="119">
        <v>740</v>
      </c>
      <c r="J757" s="119">
        <v>760</v>
      </c>
      <c r="K757" s="119">
        <v>770</v>
      </c>
      <c r="L757" s="119">
        <v>790</v>
      </c>
      <c r="M757" s="119">
        <v>810</v>
      </c>
      <c r="N757" s="119">
        <v>830</v>
      </c>
      <c r="O757" s="119">
        <v>850</v>
      </c>
      <c r="P757" s="119">
        <v>870</v>
      </c>
      <c r="Q757" s="119">
        <v>890</v>
      </c>
      <c r="R757" s="119">
        <v>890</v>
      </c>
    </row>
    <row r="758" spans="1:18" x14ac:dyDescent="0.25">
      <c r="A758" s="43" t="s">
        <v>304</v>
      </c>
      <c r="C758" s="120">
        <f>32842-5569</f>
        <v>27273</v>
      </c>
      <c r="D758" s="77">
        <v>18416</v>
      </c>
      <c r="E758" s="73">
        <v>18457</v>
      </c>
      <c r="F758" s="105">
        <v>20286</v>
      </c>
      <c r="G758" s="77">
        <v>21199</v>
      </c>
      <c r="H758" s="77">
        <v>31160</v>
      </c>
      <c r="I758" s="77">
        <v>31900</v>
      </c>
      <c r="J758" s="77">
        <v>32660</v>
      </c>
      <c r="K758" s="77">
        <v>33450</v>
      </c>
      <c r="L758" s="77">
        <v>34210</v>
      </c>
      <c r="M758" s="77">
        <v>34940</v>
      </c>
      <c r="N758" s="77">
        <v>35760</v>
      </c>
      <c r="O758" s="77">
        <v>36660</v>
      </c>
      <c r="P758" s="77">
        <v>37550</v>
      </c>
      <c r="Q758" s="77">
        <v>38460</v>
      </c>
      <c r="R758" s="77">
        <v>38460</v>
      </c>
    </row>
    <row r="759" spans="1:18" x14ac:dyDescent="0.25">
      <c r="A759" s="52" t="s">
        <v>459</v>
      </c>
      <c r="B759" s="53"/>
      <c r="C759" s="51"/>
      <c r="D759" s="51"/>
      <c r="E759" s="51"/>
      <c r="F759" s="51"/>
      <c r="G759" s="51"/>
      <c r="H759" s="51"/>
      <c r="I759" s="51"/>
      <c r="J759" s="51"/>
      <c r="K759" s="51"/>
      <c r="L759" s="51"/>
      <c r="M759" s="51"/>
      <c r="N759" s="51"/>
      <c r="O759" s="51"/>
      <c r="P759" s="51"/>
      <c r="Q759" s="51"/>
      <c r="R759" s="51"/>
    </row>
    <row r="760" spans="1:18" x14ac:dyDescent="0.25">
      <c r="A760" s="52" t="s">
        <v>460</v>
      </c>
      <c r="B760" s="53"/>
      <c r="C760" s="59">
        <v>468</v>
      </c>
      <c r="D760" s="50">
        <v>6767</v>
      </c>
      <c r="E760" s="50">
        <v>8727</v>
      </c>
      <c r="F760" s="50">
        <v>3426</v>
      </c>
      <c r="G760" s="50">
        <v>6793</v>
      </c>
      <c r="H760" s="50">
        <v>9400</v>
      </c>
      <c r="I760" s="50">
        <v>9621.7999999999956</v>
      </c>
      <c r="J760" s="50">
        <v>9867.0731999999989</v>
      </c>
      <c r="K760" s="50">
        <v>10124.555566800002</v>
      </c>
      <c r="L760" s="50">
        <v>10387.868146136403</v>
      </c>
      <c r="M760" s="50">
        <v>10647.853824094302</v>
      </c>
      <c r="N760" s="50">
        <v>10915.475804932335</v>
      </c>
      <c r="O760" s="50">
        <v>11211.765683226033</v>
      </c>
      <c r="P760" s="50">
        <v>11523.112240690476</v>
      </c>
      <c r="Q760" s="50">
        <v>11835.342709474651</v>
      </c>
      <c r="R760" s="50">
        <v>12156.27968585991</v>
      </c>
    </row>
    <row r="761" spans="1:18" x14ac:dyDescent="0.25">
      <c r="A761" s="52" t="s">
        <v>443</v>
      </c>
      <c r="C761" s="114">
        <v>-6587</v>
      </c>
      <c r="D761" s="115">
        <v>18156</v>
      </c>
      <c r="E761" s="117">
        <v>19649</v>
      </c>
      <c r="F761" s="117">
        <v>22364</v>
      </c>
      <c r="G761" s="117">
        <v>24558</v>
      </c>
      <c r="H761" s="115">
        <v>26050</v>
      </c>
      <c r="I761" s="115">
        <v>26660</v>
      </c>
      <c r="J761" s="115">
        <v>27290</v>
      </c>
      <c r="K761" s="115">
        <v>27950</v>
      </c>
      <c r="L761" s="115">
        <v>28610</v>
      </c>
      <c r="M761" s="115">
        <v>29220</v>
      </c>
      <c r="N761" s="115">
        <v>29920</v>
      </c>
      <c r="O761" s="115">
        <v>30650</v>
      </c>
      <c r="P761" s="115">
        <v>31400</v>
      </c>
      <c r="Q761" s="115">
        <v>32140</v>
      </c>
      <c r="R761" s="115">
        <v>32140</v>
      </c>
    </row>
    <row r="762" spans="1:18" x14ac:dyDescent="0.25">
      <c r="A762" s="52" t="s">
        <v>461</v>
      </c>
      <c r="B762" s="53"/>
      <c r="C762" s="68">
        <v>7551</v>
      </c>
      <c r="D762" s="50">
        <v>5354</v>
      </c>
      <c r="E762" s="50">
        <v>10067</v>
      </c>
      <c r="F762" s="50">
        <v>6729.92</v>
      </c>
      <c r="G762" s="50">
        <v>6631</v>
      </c>
      <c r="H762" s="50">
        <v>10800</v>
      </c>
      <c r="I762" s="50">
        <v>11071.8</v>
      </c>
      <c r="J762" s="50">
        <v>11358.6561</v>
      </c>
      <c r="K762" s="50">
        <v>11655.255033900001</v>
      </c>
      <c r="L762" s="50">
        <v>11952.0269624547</v>
      </c>
      <c r="M762" s="50">
        <v>12245.676850981778</v>
      </c>
      <c r="N762" s="50">
        <v>12555.483689462209</v>
      </c>
      <c r="O762" s="50">
        <v>12897.166901766705</v>
      </c>
      <c r="P762" s="50">
        <v>13250.864627078416</v>
      </c>
      <c r="Q762" s="50">
        <v>13603.598453346051</v>
      </c>
      <c r="R762" s="50">
        <v>13966.350069790667</v>
      </c>
    </row>
    <row r="763" spans="1:18" x14ac:dyDescent="0.25">
      <c r="A763" s="52" t="s">
        <v>302</v>
      </c>
      <c r="C763" s="121">
        <v>100</v>
      </c>
      <c r="D763" s="121">
        <v>100</v>
      </c>
      <c r="E763" s="121">
        <v>100</v>
      </c>
      <c r="F763" s="121">
        <v>100</v>
      </c>
      <c r="G763" s="121">
        <v>100</v>
      </c>
      <c r="H763" s="121">
        <v>100</v>
      </c>
      <c r="I763" s="121">
        <v>110</v>
      </c>
      <c r="J763" s="121">
        <v>110</v>
      </c>
      <c r="K763" s="121">
        <v>110</v>
      </c>
      <c r="L763" s="121">
        <v>110</v>
      </c>
      <c r="M763" s="121">
        <v>120</v>
      </c>
      <c r="N763" s="121">
        <v>120</v>
      </c>
      <c r="O763" s="121">
        <v>120</v>
      </c>
      <c r="P763" s="121">
        <v>120</v>
      </c>
      <c r="Q763" s="121">
        <v>130</v>
      </c>
      <c r="R763" s="121">
        <v>130</v>
      </c>
    </row>
    <row r="764" spans="1:18" x14ac:dyDescent="0.25">
      <c r="A764" s="43" t="s">
        <v>303</v>
      </c>
      <c r="C764" s="77">
        <v>5484</v>
      </c>
      <c r="D764" s="71">
        <v>5484</v>
      </c>
      <c r="E764" s="77">
        <v>5484</v>
      </c>
      <c r="F764" s="77">
        <v>5484</v>
      </c>
      <c r="G764" s="77">
        <v>5484</v>
      </c>
      <c r="H764" s="71">
        <v>6130</v>
      </c>
      <c r="I764" s="71">
        <v>6270</v>
      </c>
      <c r="J764" s="71">
        <v>6420</v>
      </c>
      <c r="K764" s="71">
        <v>6570</v>
      </c>
      <c r="L764" s="71">
        <v>6720</v>
      </c>
      <c r="M764" s="71">
        <v>6870</v>
      </c>
      <c r="N764" s="71">
        <v>7030</v>
      </c>
      <c r="O764" s="71">
        <v>7210</v>
      </c>
      <c r="P764" s="71">
        <v>7390</v>
      </c>
      <c r="Q764" s="71">
        <v>7560</v>
      </c>
      <c r="R764" s="71">
        <v>7560</v>
      </c>
    </row>
    <row r="765" spans="1:18" x14ac:dyDescent="0.25">
      <c r="A765" s="43" t="s">
        <v>462</v>
      </c>
      <c r="C765" s="59">
        <v>0</v>
      </c>
      <c r="D765" s="52">
        <v>0</v>
      </c>
      <c r="E765" s="52">
        <v>0</v>
      </c>
      <c r="F765" s="52">
        <v>0</v>
      </c>
      <c r="G765" s="52">
        <v>0</v>
      </c>
      <c r="H765" s="52">
        <v>0</v>
      </c>
      <c r="I765" s="52">
        <v>0</v>
      </c>
      <c r="J765" s="52">
        <v>0</v>
      </c>
      <c r="K765" s="52">
        <v>0</v>
      </c>
      <c r="L765" s="52">
        <v>0</v>
      </c>
      <c r="M765" s="52">
        <v>0</v>
      </c>
      <c r="N765" s="52">
        <v>0</v>
      </c>
      <c r="O765" s="52">
        <v>0</v>
      </c>
      <c r="P765" s="52">
        <v>0</v>
      </c>
      <c r="Q765" s="52">
        <v>0</v>
      </c>
      <c r="R765" s="52">
        <v>0</v>
      </c>
    </row>
    <row r="766" spans="1:18" x14ac:dyDescent="0.25">
      <c r="A766" s="43" t="s">
        <v>463</v>
      </c>
      <c r="C766" s="59">
        <v>0</v>
      </c>
      <c r="D766" s="52">
        <v>0</v>
      </c>
      <c r="E766" s="52">
        <v>0</v>
      </c>
      <c r="F766" s="52">
        <v>0</v>
      </c>
      <c r="G766" s="52">
        <v>0</v>
      </c>
      <c r="H766" s="52">
        <v>0</v>
      </c>
      <c r="I766" s="52">
        <v>0</v>
      </c>
      <c r="J766" s="52">
        <v>0</v>
      </c>
      <c r="K766" s="52">
        <v>0</v>
      </c>
      <c r="L766" s="52">
        <v>0</v>
      </c>
      <c r="M766" s="52">
        <v>0</v>
      </c>
      <c r="N766" s="52">
        <v>0</v>
      </c>
      <c r="O766" s="52">
        <v>0</v>
      </c>
      <c r="P766" s="52">
        <v>0</v>
      </c>
      <c r="Q766" s="52">
        <v>0</v>
      </c>
      <c r="R766" s="52">
        <v>0</v>
      </c>
    </row>
    <row r="767" spans="1:18" x14ac:dyDescent="0.25">
      <c r="A767" s="43" t="s">
        <v>464</v>
      </c>
      <c r="C767" s="122"/>
      <c r="D767" s="123"/>
      <c r="G767" s="43">
        <v>0</v>
      </c>
      <c r="H767" s="43">
        <v>0</v>
      </c>
      <c r="I767" s="52">
        <v>50000</v>
      </c>
      <c r="J767" s="52">
        <v>0</v>
      </c>
      <c r="K767" s="52">
        <v>0</v>
      </c>
      <c r="L767" s="52">
        <v>0</v>
      </c>
      <c r="M767" s="52">
        <v>0</v>
      </c>
      <c r="N767" s="52">
        <v>0</v>
      </c>
      <c r="O767" s="52">
        <v>0</v>
      </c>
      <c r="P767" s="52">
        <v>0</v>
      </c>
      <c r="Q767" s="52">
        <v>0</v>
      </c>
      <c r="R767" s="52">
        <v>0</v>
      </c>
    </row>
    <row r="768" spans="1:18" s="43" customFormat="1" x14ac:dyDescent="0.25">
      <c r="A768" s="52" t="s">
        <v>465</v>
      </c>
      <c r="B768" s="42"/>
      <c r="C768" s="67">
        <v>59932</v>
      </c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</row>
    <row r="769" spans="1:20" s="43" customFormat="1" x14ac:dyDescent="0.25">
      <c r="A769" s="43" t="s">
        <v>303</v>
      </c>
      <c r="B769" s="42"/>
      <c r="C769" s="67"/>
      <c r="D769" s="124">
        <v>0</v>
      </c>
      <c r="E769" s="77">
        <v>0</v>
      </c>
      <c r="F769" s="77"/>
      <c r="G769" s="77"/>
      <c r="H769" s="77"/>
      <c r="I769" s="77"/>
      <c r="J769" s="77"/>
      <c r="K769" s="77"/>
      <c r="L769" s="77"/>
      <c r="M769" s="77"/>
      <c r="N769" s="77"/>
      <c r="O769" s="77"/>
      <c r="P769" s="77"/>
      <c r="Q769" s="77"/>
      <c r="R769" s="77"/>
    </row>
    <row r="770" spans="1:20" s="43" customFormat="1" x14ac:dyDescent="0.25">
      <c r="A770" s="52" t="s">
        <v>443</v>
      </c>
      <c r="B770" s="42"/>
      <c r="C770" s="67"/>
      <c r="D770" s="125">
        <v>8050</v>
      </c>
      <c r="E770" s="113">
        <v>12821</v>
      </c>
      <c r="F770" s="113">
        <v>14410</v>
      </c>
      <c r="G770" s="113">
        <v>14410</v>
      </c>
      <c r="H770" s="113">
        <v>14750</v>
      </c>
      <c r="I770" s="113">
        <v>15100</v>
      </c>
      <c r="J770" s="113">
        <v>15450</v>
      </c>
      <c r="K770" s="113">
        <v>15840</v>
      </c>
      <c r="L770" s="113">
        <v>16200</v>
      </c>
      <c r="M770" s="113">
        <v>16550</v>
      </c>
      <c r="N770" s="113">
        <v>16940</v>
      </c>
      <c r="O770" s="113">
        <v>17350</v>
      </c>
      <c r="P770" s="113">
        <v>17780</v>
      </c>
      <c r="Q770" s="113">
        <v>18210</v>
      </c>
      <c r="R770" s="113">
        <v>18210</v>
      </c>
    </row>
    <row r="771" spans="1:20" x14ac:dyDescent="0.25">
      <c r="C771" s="50"/>
      <c r="D771" s="50"/>
      <c r="E771" s="50"/>
      <c r="F771" s="50"/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50"/>
      <c r="R771" s="50"/>
    </row>
    <row r="772" spans="1:20" x14ac:dyDescent="0.25">
      <c r="A772" s="41" t="s">
        <v>230</v>
      </c>
      <c r="B772" s="44"/>
      <c r="C772" s="51">
        <f t="shared" ref="C772" si="517">SUM(C722:C771)</f>
        <v>995546</v>
      </c>
      <c r="D772" s="51">
        <f t="shared" ref="D772:F772" si="518">SUM(D722:D771)</f>
        <v>934756</v>
      </c>
      <c r="E772" s="51">
        <f t="shared" si="518"/>
        <v>1025408</v>
      </c>
      <c r="F772" s="51">
        <f t="shared" si="518"/>
        <v>1007485.8200000001</v>
      </c>
      <c r="G772" s="51">
        <f>SUM(G722:G771)</f>
        <v>975198</v>
      </c>
      <c r="H772" s="51">
        <f>SUM(H722:H771)</f>
        <v>1154997.6957668001</v>
      </c>
      <c r="I772" s="51">
        <f t="shared" ref="I772:R772" si="519">SUM(I722:I771)</f>
        <v>1181496.4430784164</v>
      </c>
      <c r="J772" s="51">
        <f t="shared" si="519"/>
        <v>1161713.9280754195</v>
      </c>
      <c r="K772" s="51">
        <f t="shared" si="519"/>
        <v>1193032.7487542599</v>
      </c>
      <c r="L772" s="51">
        <f t="shared" si="519"/>
        <v>1225613.7468600704</v>
      </c>
      <c r="M772" s="51">
        <f t="shared" si="519"/>
        <v>1258167.7936805726</v>
      </c>
      <c r="N772" s="51">
        <f t="shared" si="519"/>
        <v>1290974.3249252054</v>
      </c>
      <c r="O772" s="51">
        <f t="shared" si="519"/>
        <v>1327129.8730690137</v>
      </c>
      <c r="P772" s="51">
        <f t="shared" si="519"/>
        <v>1365874.3537669051</v>
      </c>
      <c r="Q772" s="51">
        <f t="shared" si="519"/>
        <v>1404626.7479846487</v>
      </c>
      <c r="R772" s="51">
        <f t="shared" si="519"/>
        <v>1436648.462455767</v>
      </c>
      <c r="S772">
        <v>1436648.1767461381</v>
      </c>
      <c r="T772" s="54">
        <f>S772-R772</f>
        <v>-0.28570962883532047</v>
      </c>
    </row>
    <row r="773" spans="1:20" s="43" customFormat="1" x14ac:dyDescent="0.25">
      <c r="B773" s="42"/>
      <c r="C773" s="50"/>
      <c r="D773" s="50"/>
      <c r="E773" s="50"/>
      <c r="F773" s="50"/>
      <c r="G773" s="50"/>
      <c r="H773" s="50"/>
      <c r="I773" s="67"/>
      <c r="J773" s="50"/>
      <c r="K773" s="50"/>
      <c r="L773" s="50"/>
      <c r="M773" s="50"/>
      <c r="N773" s="50"/>
      <c r="O773" s="50"/>
      <c r="P773" s="50"/>
      <c r="Q773" s="50"/>
      <c r="R773" s="50"/>
    </row>
    <row r="774" spans="1:20" s="43" customFormat="1" x14ac:dyDescent="0.25">
      <c r="B774" s="42"/>
      <c r="C774" s="50"/>
      <c r="D774" s="50"/>
      <c r="E774" s="50"/>
      <c r="F774" s="50"/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50"/>
      <c r="R774" s="50"/>
    </row>
    <row r="775" spans="1:20" x14ac:dyDescent="0.25">
      <c r="A775" s="41" t="s">
        <v>251</v>
      </c>
      <c r="B775" s="44"/>
      <c r="C775" s="50"/>
      <c r="D775" s="50"/>
      <c r="E775" s="50"/>
      <c r="F775" s="50"/>
      <c r="G775" s="50"/>
      <c r="H775" s="50"/>
      <c r="I775" s="50"/>
      <c r="J775" s="50"/>
      <c r="K775" s="50"/>
      <c r="L775" s="50"/>
      <c r="M775" s="50"/>
      <c r="N775" s="50"/>
      <c r="O775" s="50"/>
      <c r="P775" s="50"/>
      <c r="Q775" s="50"/>
      <c r="R775" s="50"/>
    </row>
    <row r="776" spans="1:20" x14ac:dyDescent="0.25">
      <c r="A776" s="41"/>
      <c r="B776" s="44"/>
      <c r="C776" s="50"/>
      <c r="D776" s="50"/>
      <c r="E776" s="50"/>
      <c r="F776" s="50"/>
      <c r="G776" s="50"/>
      <c r="H776" s="50"/>
      <c r="I776" s="50"/>
      <c r="J776" s="50"/>
      <c r="K776" s="50"/>
      <c r="L776" s="50"/>
      <c r="M776" s="50"/>
      <c r="N776" s="50"/>
      <c r="O776" s="50"/>
      <c r="P776" s="50"/>
      <c r="Q776" s="50"/>
      <c r="R776" s="50"/>
    </row>
    <row r="777" spans="1:20" x14ac:dyDescent="0.25">
      <c r="A777" s="52" t="s">
        <v>466</v>
      </c>
      <c r="B777" s="44"/>
      <c r="C777" s="52"/>
      <c r="D777" s="50"/>
      <c r="E777" s="50"/>
      <c r="F777" s="50"/>
      <c r="G777" s="50"/>
      <c r="H777" s="50"/>
      <c r="I777" s="50"/>
      <c r="J777" s="50"/>
      <c r="K777" s="50"/>
      <c r="L777" s="50"/>
      <c r="M777" s="50"/>
      <c r="N777" s="50"/>
      <c r="O777" s="50"/>
      <c r="P777" s="50"/>
      <c r="Q777" s="50"/>
      <c r="R777" s="50"/>
    </row>
    <row r="778" spans="1:20" x14ac:dyDescent="0.25">
      <c r="A778" s="126" t="s">
        <v>467</v>
      </c>
      <c r="B778" s="127" t="s">
        <v>468</v>
      </c>
      <c r="C778" s="50">
        <v>0</v>
      </c>
      <c r="D778" s="50">
        <v>0</v>
      </c>
      <c r="E778" s="50">
        <v>0</v>
      </c>
      <c r="F778" s="50">
        <v>0</v>
      </c>
      <c r="G778" s="50">
        <v>0</v>
      </c>
      <c r="H778" s="50">
        <v>0</v>
      </c>
      <c r="I778" s="50">
        <v>0</v>
      </c>
      <c r="J778" s="50">
        <v>0</v>
      </c>
      <c r="K778" s="50">
        <v>0</v>
      </c>
      <c r="L778" s="50">
        <v>0</v>
      </c>
      <c r="M778" s="50">
        <v>0</v>
      </c>
      <c r="N778" s="50">
        <v>0</v>
      </c>
      <c r="O778" s="50">
        <v>0</v>
      </c>
      <c r="P778" s="50">
        <v>0</v>
      </c>
      <c r="Q778" s="50">
        <v>0</v>
      </c>
      <c r="R778" s="50">
        <v>0</v>
      </c>
    </row>
    <row r="779" spans="1:20" x14ac:dyDescent="0.25">
      <c r="A779" s="128" t="s">
        <v>469</v>
      </c>
      <c r="B779" s="129" t="s">
        <v>245</v>
      </c>
      <c r="C779" s="54">
        <v>21670</v>
      </c>
      <c r="D779" s="130">
        <v>506017</v>
      </c>
      <c r="E779" s="130">
        <v>0</v>
      </c>
      <c r="F779" s="130">
        <v>0</v>
      </c>
      <c r="G779" s="63">
        <f>150</f>
        <v>150</v>
      </c>
      <c r="H779" s="63">
        <f>380000-250000</f>
        <v>130000</v>
      </c>
      <c r="I779" s="63">
        <v>0</v>
      </c>
      <c r="J779" s="63">
        <v>0</v>
      </c>
      <c r="K779" s="50"/>
      <c r="L779" s="50"/>
      <c r="M779" s="50"/>
      <c r="N779" s="50"/>
      <c r="O779" s="50"/>
      <c r="P779" s="50"/>
      <c r="Q779" s="50"/>
      <c r="R779" s="50"/>
    </row>
    <row r="780" spans="1:20" x14ac:dyDescent="0.25">
      <c r="A780" s="64" t="s">
        <v>470</v>
      </c>
      <c r="B780" s="53"/>
      <c r="C780" s="52"/>
      <c r="D780" s="50"/>
      <c r="E780" s="50"/>
      <c r="F780" s="50"/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50"/>
      <c r="R780" s="50"/>
    </row>
    <row r="781" spans="1:20" x14ac:dyDescent="0.25">
      <c r="A781" s="64" t="s">
        <v>471</v>
      </c>
      <c r="B781" s="53"/>
      <c r="C781" s="54">
        <v>97973</v>
      </c>
      <c r="D781" s="50"/>
      <c r="E781" s="63">
        <v>140445</v>
      </c>
      <c r="F781" s="50"/>
      <c r="G781" s="50"/>
      <c r="H781" s="50"/>
      <c r="I781" s="50"/>
      <c r="J781" s="50"/>
      <c r="K781" s="50"/>
      <c r="L781" s="50"/>
      <c r="M781" s="50"/>
      <c r="N781" s="50"/>
      <c r="O781" s="50"/>
      <c r="P781" s="50"/>
      <c r="Q781" s="50"/>
      <c r="R781" s="50"/>
    </row>
    <row r="782" spans="1:20" x14ac:dyDescent="0.25">
      <c r="A782" s="64" t="s">
        <v>472</v>
      </c>
      <c r="B782" s="53"/>
      <c r="C782" s="52"/>
      <c r="D782" s="50"/>
      <c r="E782" s="50"/>
      <c r="F782" s="50"/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50"/>
      <c r="R782" s="50"/>
    </row>
    <row r="783" spans="1:20" x14ac:dyDescent="0.25">
      <c r="A783" s="61" t="s">
        <v>473</v>
      </c>
      <c r="B783" s="53"/>
      <c r="C783" s="52"/>
      <c r="D783" s="50"/>
      <c r="E783" s="63">
        <v>0</v>
      </c>
      <c r="F783" s="50"/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50"/>
      <c r="R783" s="50"/>
    </row>
    <row r="784" spans="1:20" x14ac:dyDescent="0.25">
      <c r="A784" s="61" t="s">
        <v>474</v>
      </c>
      <c r="B784" s="53"/>
      <c r="C784" s="54">
        <v>10314</v>
      </c>
      <c r="D784" s="50"/>
      <c r="E784" s="50"/>
      <c r="F784" s="50"/>
      <c r="G784" s="50"/>
      <c r="H784" s="50"/>
      <c r="I784" s="50"/>
      <c r="J784" s="50"/>
      <c r="K784" s="50"/>
      <c r="L784" s="50"/>
      <c r="M784" s="50"/>
      <c r="N784" s="50"/>
      <c r="O784" s="50"/>
      <c r="P784" s="50"/>
      <c r="Q784" s="50"/>
      <c r="R784" s="50"/>
    </row>
    <row r="785" spans="1:18" x14ac:dyDescent="0.25">
      <c r="A785" s="61" t="s">
        <v>475</v>
      </c>
      <c r="B785" s="53"/>
      <c r="C785" s="54"/>
      <c r="D785" s="50"/>
      <c r="E785" s="63">
        <v>68960</v>
      </c>
      <c r="F785" s="50">
        <v>102047</v>
      </c>
      <c r="G785" s="50"/>
      <c r="H785" s="50"/>
      <c r="I785" s="50"/>
      <c r="J785" s="50"/>
      <c r="K785" s="50"/>
      <c r="L785" s="50"/>
      <c r="M785" s="50"/>
      <c r="N785" s="50"/>
      <c r="O785" s="50"/>
      <c r="P785" s="50"/>
      <c r="Q785" s="50"/>
      <c r="R785" s="50"/>
    </row>
    <row r="786" spans="1:18" x14ac:dyDescent="0.25">
      <c r="A786" s="61" t="s">
        <v>476</v>
      </c>
      <c r="B786" s="53"/>
      <c r="C786" s="54"/>
      <c r="D786" s="50"/>
      <c r="E786" s="63">
        <v>933</v>
      </c>
      <c r="F786" s="50">
        <v>94964</v>
      </c>
      <c r="G786" s="50"/>
      <c r="H786" s="50"/>
      <c r="I786" s="50"/>
      <c r="J786" s="50"/>
      <c r="K786" s="50"/>
      <c r="L786" s="50"/>
      <c r="M786" s="50"/>
      <c r="N786" s="50"/>
      <c r="O786" s="50"/>
      <c r="P786" s="50"/>
      <c r="Q786" s="50"/>
      <c r="R786" s="50"/>
    </row>
    <row r="787" spans="1:18" x14ac:dyDescent="0.25">
      <c r="A787" s="61" t="s">
        <v>477</v>
      </c>
      <c r="B787" s="53"/>
      <c r="C787" s="54"/>
      <c r="D787" s="50"/>
      <c r="E787" s="63">
        <v>18889</v>
      </c>
      <c r="F787" s="50">
        <v>134465</v>
      </c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50"/>
      <c r="R787" s="50"/>
    </row>
    <row r="788" spans="1:18" x14ac:dyDescent="0.25">
      <c r="A788" s="61" t="s">
        <v>478</v>
      </c>
      <c r="B788" s="53"/>
      <c r="C788" s="54"/>
      <c r="D788" s="50"/>
      <c r="E788" s="130">
        <v>8530</v>
      </c>
      <c r="F788" s="50">
        <v>400</v>
      </c>
      <c r="G788" s="63">
        <v>9778</v>
      </c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</row>
    <row r="789" spans="1:18" x14ac:dyDescent="0.25">
      <c r="A789" s="61" t="s">
        <v>479</v>
      </c>
      <c r="B789" s="53"/>
      <c r="C789" s="54">
        <v>7219</v>
      </c>
      <c r="D789" s="50"/>
      <c r="E789" s="50"/>
      <c r="F789" s="50"/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50"/>
      <c r="R789" s="50"/>
    </row>
    <row r="790" spans="1:18" x14ac:dyDescent="0.25">
      <c r="A790" s="61" t="s">
        <v>480</v>
      </c>
      <c r="B790" s="53"/>
      <c r="C790" s="52"/>
      <c r="D790" s="50"/>
      <c r="E790" s="50"/>
      <c r="F790" s="50"/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50"/>
      <c r="R790" s="50"/>
    </row>
    <row r="791" spans="1:18" x14ac:dyDescent="0.25">
      <c r="A791" s="61" t="s">
        <v>481</v>
      </c>
      <c r="B791" s="53"/>
      <c r="C791" s="52"/>
      <c r="D791" s="50"/>
      <c r="E791" s="50"/>
      <c r="F791" s="50"/>
      <c r="G791" s="50"/>
      <c r="H791" s="50"/>
      <c r="I791" s="50"/>
      <c r="J791" s="50"/>
      <c r="K791" s="50"/>
      <c r="L791" s="50"/>
      <c r="M791" s="50"/>
      <c r="N791" s="50"/>
      <c r="O791" s="50"/>
      <c r="P791" s="50"/>
      <c r="Q791" s="50"/>
      <c r="R791" s="50"/>
    </row>
    <row r="792" spans="1:18" x14ac:dyDescent="0.25">
      <c r="A792" s="61" t="s">
        <v>482</v>
      </c>
      <c r="B792" s="53"/>
      <c r="C792" s="52"/>
      <c r="D792" s="50"/>
      <c r="E792" s="50"/>
      <c r="F792" s="50"/>
      <c r="G792" s="50"/>
      <c r="H792" s="50"/>
      <c r="I792" s="50"/>
      <c r="J792" s="50"/>
      <c r="K792" s="50"/>
      <c r="L792" s="50"/>
      <c r="M792" s="50"/>
      <c r="N792" s="50"/>
      <c r="O792" s="50"/>
      <c r="P792" s="50"/>
      <c r="Q792" s="50"/>
      <c r="R792" s="50"/>
    </row>
    <row r="793" spans="1:18" x14ac:dyDescent="0.25">
      <c r="A793" s="61" t="s">
        <v>483</v>
      </c>
      <c r="B793" s="53"/>
      <c r="C793" s="54">
        <v>59932</v>
      </c>
      <c r="D793" s="50"/>
      <c r="E793" s="50"/>
      <c r="F793" s="50"/>
      <c r="G793" s="63">
        <v>7935</v>
      </c>
      <c r="H793" s="50"/>
      <c r="I793" s="50"/>
      <c r="J793" s="50"/>
      <c r="K793" s="50"/>
      <c r="L793" s="50"/>
      <c r="M793" s="50"/>
      <c r="N793" s="50"/>
      <c r="O793" s="50"/>
      <c r="P793" s="50"/>
      <c r="Q793" s="50"/>
      <c r="R793" s="50"/>
    </row>
    <row r="794" spans="1:18" x14ac:dyDescent="0.25">
      <c r="A794" s="61" t="s">
        <v>484</v>
      </c>
      <c r="B794" s="53"/>
      <c r="C794" s="52"/>
      <c r="D794" s="50"/>
      <c r="E794" s="50"/>
      <c r="F794" s="50"/>
      <c r="G794" s="63">
        <v>2680</v>
      </c>
      <c r="H794" s="50"/>
      <c r="I794" s="50"/>
      <c r="J794" s="50"/>
      <c r="K794" s="50"/>
      <c r="L794" s="50"/>
      <c r="M794" s="50"/>
      <c r="N794" s="50"/>
      <c r="O794" s="50"/>
      <c r="P794" s="50"/>
      <c r="Q794" s="50"/>
      <c r="R794" s="50"/>
    </row>
    <row r="795" spans="1:18" x14ac:dyDescent="0.25">
      <c r="B795" s="53"/>
      <c r="C795" s="52"/>
      <c r="D795" s="50"/>
      <c r="E795" s="50"/>
      <c r="F795" s="50"/>
      <c r="G795" s="50"/>
      <c r="H795" s="50"/>
      <c r="I795" s="50"/>
      <c r="J795" s="50"/>
      <c r="K795" s="50"/>
      <c r="L795" s="50"/>
      <c r="M795" s="50"/>
      <c r="N795" s="50"/>
      <c r="O795" s="50"/>
      <c r="P795" s="50"/>
      <c r="Q795" s="50"/>
      <c r="R795" s="50"/>
    </row>
    <row r="796" spans="1:18" x14ac:dyDescent="0.25">
      <c r="A796" s="41" t="s">
        <v>254</v>
      </c>
      <c r="B796" s="44"/>
      <c r="C796" s="51">
        <f>SUM(C775:C795)</f>
        <v>197108</v>
      </c>
      <c r="D796" s="51">
        <f t="shared" ref="D796:R796" si="520">SUM(D775:D795)</f>
        <v>506017</v>
      </c>
      <c r="E796" s="51">
        <f t="shared" si="520"/>
        <v>237757</v>
      </c>
      <c r="F796" s="51">
        <f t="shared" si="520"/>
        <v>331876</v>
      </c>
      <c r="G796" s="51">
        <f t="shared" si="520"/>
        <v>20543</v>
      </c>
      <c r="H796" s="51">
        <f t="shared" si="520"/>
        <v>130000</v>
      </c>
      <c r="I796" s="51">
        <f t="shared" si="520"/>
        <v>0</v>
      </c>
      <c r="J796" s="51">
        <f t="shared" si="520"/>
        <v>0</v>
      </c>
      <c r="K796" s="51">
        <f t="shared" si="520"/>
        <v>0</v>
      </c>
      <c r="L796" s="51">
        <f t="shared" si="520"/>
        <v>0</v>
      </c>
      <c r="M796" s="51">
        <f t="shared" si="520"/>
        <v>0</v>
      </c>
      <c r="N796" s="51">
        <f t="shared" si="520"/>
        <v>0</v>
      </c>
      <c r="O796" s="51">
        <f t="shared" si="520"/>
        <v>0</v>
      </c>
      <c r="P796" s="51">
        <f t="shared" si="520"/>
        <v>0</v>
      </c>
      <c r="Q796" s="51">
        <f t="shared" si="520"/>
        <v>0</v>
      </c>
      <c r="R796" s="51">
        <f t="shared" si="520"/>
        <v>0</v>
      </c>
    </row>
    <row r="797" spans="1:18" x14ac:dyDescent="0.25">
      <c r="C797" s="50"/>
      <c r="D797" s="50"/>
      <c r="E797" s="50"/>
      <c r="F797" s="50"/>
      <c r="G797" s="50"/>
      <c r="H797" s="50"/>
      <c r="I797" s="50"/>
      <c r="J797" s="50"/>
      <c r="K797" s="50"/>
      <c r="L797" s="50"/>
      <c r="M797" s="50"/>
      <c r="N797" s="50"/>
      <c r="O797" s="50"/>
      <c r="P797" s="50"/>
      <c r="Q797" s="50"/>
      <c r="R797" s="50"/>
    </row>
    <row r="798" spans="1:18" x14ac:dyDescent="0.25">
      <c r="A798" s="41" t="s">
        <v>171</v>
      </c>
      <c r="B798" s="44"/>
      <c r="C798" s="50"/>
      <c r="D798" s="50"/>
      <c r="E798" s="50"/>
      <c r="F798" s="50"/>
      <c r="G798" s="50"/>
      <c r="H798" s="50"/>
      <c r="I798" s="50"/>
      <c r="J798" s="50"/>
      <c r="K798" s="50"/>
      <c r="L798" s="50"/>
      <c r="M798" s="50"/>
      <c r="N798" s="50"/>
      <c r="O798" s="50"/>
      <c r="P798" s="50"/>
      <c r="Q798" s="50"/>
      <c r="R798" s="50"/>
    </row>
    <row r="799" spans="1:18" x14ac:dyDescent="0.25">
      <c r="C799" s="50"/>
      <c r="D799" s="50"/>
      <c r="E799" s="50"/>
      <c r="F799" s="50"/>
      <c r="G799" s="50"/>
      <c r="H799" s="50"/>
      <c r="I799" s="50"/>
      <c r="J799" s="50"/>
      <c r="K799" s="50"/>
      <c r="L799" s="50"/>
      <c r="M799" s="50"/>
      <c r="N799" s="50"/>
      <c r="O799" s="50"/>
      <c r="P799" s="50"/>
      <c r="Q799" s="50"/>
      <c r="R799" s="50"/>
    </row>
    <row r="800" spans="1:18" x14ac:dyDescent="0.25">
      <c r="A800" s="52" t="s">
        <v>485</v>
      </c>
      <c r="B800" s="53"/>
      <c r="C800" s="50"/>
      <c r="D800" s="50"/>
      <c r="E800" s="50"/>
      <c r="F800" s="50"/>
      <c r="G800" s="50"/>
      <c r="H800" s="50"/>
      <c r="I800" s="50"/>
      <c r="J800" s="50"/>
      <c r="K800" s="50"/>
      <c r="L800" s="50"/>
      <c r="M800" s="50"/>
      <c r="N800" s="50"/>
      <c r="O800" s="50"/>
      <c r="P800" s="50"/>
      <c r="Q800" s="50"/>
      <c r="R800" s="50"/>
    </row>
    <row r="801" spans="1:18" x14ac:dyDescent="0.25">
      <c r="A801" s="131" t="s">
        <v>486</v>
      </c>
      <c r="B801" s="132" t="s">
        <v>487</v>
      </c>
      <c r="C801" s="50">
        <v>2273</v>
      </c>
      <c r="D801" s="133">
        <v>12727</v>
      </c>
      <c r="E801" s="50"/>
      <c r="F801" s="50"/>
      <c r="G801" s="134"/>
      <c r="H801" s="134">
        <v>16971</v>
      </c>
      <c r="I801" s="50"/>
      <c r="J801" s="50"/>
      <c r="K801" s="50"/>
      <c r="L801" s="50"/>
      <c r="M801" s="50"/>
      <c r="N801" s="50"/>
      <c r="O801" s="50"/>
      <c r="P801" s="50"/>
      <c r="Q801" s="50"/>
      <c r="R801" s="50"/>
    </row>
    <row r="802" spans="1:18" x14ac:dyDescent="0.25">
      <c r="A802" s="61" t="s">
        <v>488</v>
      </c>
      <c r="B802" s="62" t="s">
        <v>245</v>
      </c>
      <c r="C802" s="50"/>
      <c r="D802" s="130">
        <v>31399</v>
      </c>
      <c r="E802" s="50"/>
      <c r="F802" s="50"/>
      <c r="G802" s="135"/>
      <c r="H802" s="50"/>
      <c r="I802" s="50"/>
      <c r="J802" s="50"/>
      <c r="K802" s="50"/>
      <c r="L802" s="50"/>
      <c r="M802" s="50"/>
      <c r="N802" s="50"/>
      <c r="O802" s="50"/>
      <c r="P802" s="50"/>
      <c r="Q802" s="50"/>
      <c r="R802" s="50"/>
    </row>
    <row r="803" spans="1:18" s="43" customFormat="1" x14ac:dyDescent="0.25">
      <c r="A803" s="92" t="s">
        <v>489</v>
      </c>
      <c r="B803" s="96" t="s">
        <v>330</v>
      </c>
      <c r="C803" s="50"/>
      <c r="D803" s="50"/>
      <c r="E803" s="50"/>
      <c r="F803" s="50"/>
      <c r="G803" s="89"/>
      <c r="H803" s="50"/>
      <c r="I803" s="50"/>
      <c r="J803" s="50"/>
      <c r="K803" s="50"/>
      <c r="L803" s="50"/>
      <c r="M803" s="50"/>
      <c r="N803" s="50"/>
      <c r="O803" s="50"/>
      <c r="P803" s="50"/>
      <c r="Q803" s="50"/>
      <c r="R803" s="50"/>
    </row>
    <row r="804" spans="1:18" s="43" customFormat="1" x14ac:dyDescent="0.25">
      <c r="A804" s="92" t="s">
        <v>490</v>
      </c>
      <c r="B804" s="96"/>
      <c r="C804" s="50"/>
      <c r="D804" s="50"/>
      <c r="E804" s="50"/>
      <c r="F804" s="50"/>
      <c r="G804" s="50"/>
      <c r="H804" s="50"/>
      <c r="I804" s="50"/>
      <c r="J804" s="50"/>
      <c r="K804" s="50"/>
      <c r="L804" s="50"/>
      <c r="M804" s="50"/>
      <c r="N804" s="50">
        <v>0</v>
      </c>
      <c r="O804" s="50"/>
      <c r="P804" s="50"/>
      <c r="Q804" s="50"/>
      <c r="R804" s="50"/>
    </row>
    <row r="805" spans="1:18" x14ac:dyDescent="0.25">
      <c r="A805" s="91" t="s">
        <v>491</v>
      </c>
      <c r="B805" s="136" t="s">
        <v>492</v>
      </c>
      <c r="C805" s="50"/>
      <c r="D805" s="50"/>
      <c r="E805" s="50"/>
      <c r="F805" s="85">
        <v>0</v>
      </c>
      <c r="G805" s="85">
        <v>3300</v>
      </c>
      <c r="H805" s="50"/>
      <c r="I805" s="50"/>
      <c r="J805" s="50"/>
      <c r="K805" s="50"/>
      <c r="L805" s="50"/>
      <c r="M805" s="50"/>
      <c r="N805" s="50"/>
      <c r="O805" s="50"/>
      <c r="P805" s="50"/>
      <c r="Q805" s="50"/>
      <c r="R805" s="50"/>
    </row>
    <row r="806" spans="1:18" x14ac:dyDescent="0.25">
      <c r="A806" s="126" t="s">
        <v>493</v>
      </c>
      <c r="B806" s="127" t="s">
        <v>468</v>
      </c>
      <c r="C806" s="50"/>
      <c r="D806" s="50">
        <v>0</v>
      </c>
      <c r="E806" s="50">
        <v>0</v>
      </c>
      <c r="F806" s="50">
        <v>0</v>
      </c>
      <c r="G806" s="50">
        <v>0</v>
      </c>
      <c r="H806" s="50">
        <v>0</v>
      </c>
      <c r="I806" s="50">
        <v>0</v>
      </c>
      <c r="J806" s="50">
        <v>0</v>
      </c>
      <c r="K806" s="50">
        <v>0</v>
      </c>
      <c r="L806" s="50">
        <v>0</v>
      </c>
      <c r="M806" s="50">
        <v>0</v>
      </c>
      <c r="N806" s="50">
        <v>0</v>
      </c>
      <c r="O806" s="50">
        <v>0</v>
      </c>
      <c r="P806" s="50">
        <v>0</v>
      </c>
      <c r="Q806" s="50">
        <v>0</v>
      </c>
      <c r="R806" s="50">
        <v>0</v>
      </c>
    </row>
    <row r="807" spans="1:18" x14ac:dyDescent="0.25">
      <c r="A807" s="52" t="s">
        <v>494</v>
      </c>
      <c r="B807" s="53"/>
      <c r="C807" s="50"/>
      <c r="D807" s="50"/>
      <c r="E807" s="50"/>
      <c r="F807" s="50"/>
      <c r="G807" s="50"/>
      <c r="H807" s="50"/>
      <c r="I807" s="50"/>
      <c r="J807" s="50"/>
      <c r="K807" s="50"/>
      <c r="L807" s="50"/>
      <c r="M807" s="50"/>
      <c r="N807" s="50"/>
      <c r="O807" s="50"/>
      <c r="P807" s="50"/>
      <c r="Q807" s="50"/>
      <c r="R807" s="50"/>
    </row>
    <row r="808" spans="1:18" x14ac:dyDescent="0.25">
      <c r="A808" s="91" t="s">
        <v>495</v>
      </c>
      <c r="B808" s="136" t="s">
        <v>496</v>
      </c>
      <c r="C808" s="50"/>
      <c r="D808" s="50"/>
      <c r="E808" s="50"/>
      <c r="F808" s="85">
        <v>47835</v>
      </c>
      <c r="G808" s="85">
        <v>4977</v>
      </c>
      <c r="H808" s="50"/>
      <c r="I808" s="50"/>
      <c r="J808" s="50"/>
      <c r="K808" s="50"/>
      <c r="L808" s="50"/>
      <c r="M808" s="50"/>
      <c r="N808" s="50"/>
      <c r="O808" s="50"/>
      <c r="P808" s="50"/>
      <c r="Q808" s="50"/>
      <c r="R808" s="50"/>
    </row>
    <row r="809" spans="1:18" x14ac:dyDescent="0.25">
      <c r="A809" s="91" t="s">
        <v>497</v>
      </c>
      <c r="B809" s="136" t="s">
        <v>496</v>
      </c>
      <c r="C809" s="50"/>
      <c r="D809" s="50"/>
      <c r="E809" s="50"/>
      <c r="F809" s="85">
        <v>0</v>
      </c>
      <c r="G809" s="50"/>
      <c r="H809" s="50"/>
      <c r="I809" s="50"/>
      <c r="J809" s="50"/>
      <c r="K809" s="50"/>
      <c r="L809" s="50"/>
      <c r="M809" s="50"/>
      <c r="N809" s="50"/>
      <c r="O809" s="50"/>
      <c r="P809" s="50"/>
      <c r="Q809" s="50"/>
      <c r="R809" s="50"/>
    </row>
    <row r="810" spans="1:18" x14ac:dyDescent="0.25">
      <c r="A810" s="43" t="s">
        <v>498</v>
      </c>
      <c r="B810" s="53"/>
      <c r="C810" s="59"/>
      <c r="D810" s="50">
        <v>0</v>
      </c>
      <c r="E810" s="50">
        <v>0</v>
      </c>
      <c r="F810" s="50">
        <v>0</v>
      </c>
      <c r="G810" s="50">
        <v>0</v>
      </c>
      <c r="H810" s="50">
        <v>0</v>
      </c>
      <c r="I810" s="50">
        <v>0</v>
      </c>
      <c r="J810" s="50">
        <v>0</v>
      </c>
      <c r="K810" s="50">
        <v>0</v>
      </c>
      <c r="L810" s="50">
        <v>0</v>
      </c>
      <c r="M810" s="50">
        <v>0</v>
      </c>
      <c r="N810" s="50">
        <v>0</v>
      </c>
      <c r="O810" s="50">
        <v>0</v>
      </c>
      <c r="P810" s="50">
        <v>0</v>
      </c>
      <c r="Q810" s="50">
        <v>0</v>
      </c>
      <c r="R810" s="50">
        <v>0</v>
      </c>
    </row>
    <row r="811" spans="1:18" s="43" customFormat="1" x14ac:dyDescent="0.25">
      <c r="A811" s="93" t="s">
        <v>499</v>
      </c>
      <c r="B811" s="96" t="s">
        <v>330</v>
      </c>
      <c r="C811" s="50"/>
      <c r="D811" s="50"/>
      <c r="E811" s="50"/>
      <c r="F811" s="50"/>
      <c r="G811" s="50"/>
      <c r="H811" s="50"/>
      <c r="I811" s="50"/>
      <c r="J811" s="50"/>
      <c r="K811" s="50"/>
      <c r="L811" s="50"/>
      <c r="M811" s="50"/>
      <c r="N811" s="50"/>
    </row>
    <row r="812" spans="1:18" s="43" customFormat="1" x14ac:dyDescent="0.25">
      <c r="A812" s="97" t="s">
        <v>500</v>
      </c>
      <c r="B812" s="96" t="s">
        <v>330</v>
      </c>
      <c r="C812" s="50"/>
      <c r="D812" s="50"/>
      <c r="E812" s="50"/>
      <c r="F812" s="50"/>
      <c r="G812" s="50"/>
      <c r="H812" s="50"/>
      <c r="I812" s="50"/>
      <c r="J812" s="50"/>
      <c r="K812" s="50"/>
      <c r="L812" s="50"/>
      <c r="M812" s="50"/>
      <c r="N812" s="50"/>
    </row>
    <row r="813" spans="1:18" s="43" customFormat="1" x14ac:dyDescent="0.25">
      <c r="A813" s="93" t="s">
        <v>501</v>
      </c>
      <c r="B813" s="96" t="s">
        <v>330</v>
      </c>
      <c r="C813" s="50"/>
      <c r="D813" s="50"/>
      <c r="E813" s="50"/>
      <c r="F813" s="50"/>
      <c r="G813" s="50"/>
      <c r="H813" s="50"/>
      <c r="I813" s="50"/>
      <c r="J813" s="50"/>
      <c r="K813" s="50"/>
      <c r="L813" s="50"/>
      <c r="M813" s="50"/>
      <c r="N813" s="50"/>
    </row>
    <row r="814" spans="1:18" s="43" customFormat="1" x14ac:dyDescent="0.25">
      <c r="A814" s="86" t="s">
        <v>502</v>
      </c>
      <c r="B814" s="136" t="s">
        <v>496</v>
      </c>
      <c r="C814" s="50"/>
      <c r="D814" s="50"/>
      <c r="E814" s="50"/>
      <c r="F814" s="85">
        <v>5972</v>
      </c>
      <c r="G814" s="85">
        <v>15190</v>
      </c>
      <c r="H814" s="50"/>
      <c r="I814" s="50"/>
      <c r="J814" s="50"/>
      <c r="K814" s="50"/>
      <c r="L814" s="50"/>
      <c r="M814" s="50"/>
      <c r="N814" s="50"/>
    </row>
    <row r="815" spans="1:18" s="43" customFormat="1" x14ac:dyDescent="0.25">
      <c r="A815" s="137" t="s">
        <v>503</v>
      </c>
      <c r="B815" s="136" t="s">
        <v>496</v>
      </c>
      <c r="C815" s="50"/>
      <c r="D815" s="50"/>
      <c r="E815" s="50"/>
      <c r="F815" s="85">
        <v>85037</v>
      </c>
      <c r="G815" s="50"/>
      <c r="H815" s="50"/>
      <c r="I815" s="50"/>
      <c r="J815" s="50"/>
      <c r="K815" s="50"/>
      <c r="L815" s="50"/>
      <c r="M815" s="50"/>
      <c r="N815" s="50"/>
    </row>
    <row r="816" spans="1:18" s="43" customFormat="1" x14ac:dyDescent="0.25">
      <c r="A816" s="137" t="s">
        <v>504</v>
      </c>
      <c r="B816" s="136" t="s">
        <v>496</v>
      </c>
      <c r="C816" s="50"/>
      <c r="D816" s="50"/>
      <c r="E816" s="50"/>
      <c r="F816" s="85">
        <v>5900</v>
      </c>
      <c r="G816" s="85">
        <v>71527</v>
      </c>
      <c r="H816" s="50"/>
      <c r="I816" s="50"/>
      <c r="J816" s="50"/>
      <c r="K816" s="50"/>
      <c r="L816" s="50"/>
      <c r="M816" s="50"/>
      <c r="N816" s="50"/>
    </row>
    <row r="817" spans="1:18" s="43" customFormat="1" x14ac:dyDescent="0.25">
      <c r="A817" s="138" t="s">
        <v>505</v>
      </c>
      <c r="B817" s="139" t="s">
        <v>506</v>
      </c>
      <c r="C817" s="50"/>
      <c r="D817" s="50"/>
      <c r="E817" s="50"/>
      <c r="F817" s="50"/>
      <c r="G817" s="50">
        <v>20000</v>
      </c>
      <c r="H817" s="50"/>
      <c r="I817" s="50"/>
      <c r="J817" s="50"/>
      <c r="K817" s="50"/>
      <c r="L817" s="50"/>
      <c r="M817" s="50"/>
      <c r="N817" s="50"/>
    </row>
    <row r="818" spans="1:18" s="43" customFormat="1" x14ac:dyDescent="0.25">
      <c r="A818" s="140" t="s">
        <v>507</v>
      </c>
      <c r="B818" s="139" t="s">
        <v>506</v>
      </c>
      <c r="C818" s="50"/>
      <c r="D818" s="50"/>
      <c r="E818" s="50"/>
      <c r="F818" s="50"/>
      <c r="G818" s="50">
        <v>21900</v>
      </c>
      <c r="H818" s="50"/>
      <c r="I818" s="50"/>
      <c r="J818" s="50"/>
      <c r="K818" s="50"/>
      <c r="L818" s="50"/>
      <c r="M818" s="50"/>
      <c r="N818" s="50"/>
    </row>
    <row r="819" spans="1:18" s="43" customFormat="1" x14ac:dyDescent="0.25">
      <c r="A819" s="137" t="s">
        <v>508</v>
      </c>
      <c r="B819" s="136" t="s">
        <v>496</v>
      </c>
      <c r="C819" s="50"/>
      <c r="D819" s="50"/>
      <c r="E819" s="50"/>
      <c r="F819" s="85">
        <v>0</v>
      </c>
      <c r="G819" s="85">
        <v>2430</v>
      </c>
      <c r="H819" s="50"/>
      <c r="I819" s="50"/>
      <c r="J819" s="50"/>
      <c r="K819" s="50"/>
      <c r="L819" s="50"/>
      <c r="M819" s="50"/>
      <c r="N819" s="50"/>
    </row>
    <row r="820" spans="1:18" s="43" customFormat="1" x14ac:dyDescent="0.25">
      <c r="A820" s="141" t="s">
        <v>509</v>
      </c>
      <c r="B820" s="136"/>
      <c r="C820" s="50"/>
      <c r="D820" s="50"/>
      <c r="E820" s="50"/>
      <c r="F820" s="85"/>
      <c r="G820" s="50"/>
      <c r="H820" s="50"/>
      <c r="I820" s="50"/>
      <c r="J820" s="50"/>
      <c r="K820" s="50"/>
      <c r="L820" s="50"/>
      <c r="M820" s="50"/>
      <c r="N820" s="50"/>
    </row>
    <row r="821" spans="1:18" s="43" customFormat="1" x14ac:dyDescent="0.25">
      <c r="A821" s="92" t="s">
        <v>510</v>
      </c>
      <c r="B821" s="96" t="s">
        <v>330</v>
      </c>
      <c r="C821" s="50"/>
      <c r="D821" s="50"/>
      <c r="E821" s="50"/>
      <c r="F821" s="50"/>
      <c r="G821" s="89"/>
      <c r="H821" s="50"/>
      <c r="I821" s="50"/>
      <c r="J821" s="50"/>
      <c r="K821" s="50"/>
      <c r="L821" s="50"/>
      <c r="M821" s="50"/>
      <c r="N821" s="50"/>
    </row>
    <row r="822" spans="1:18" s="43" customFormat="1" x14ac:dyDescent="0.25">
      <c r="A822" s="142" t="s">
        <v>510</v>
      </c>
      <c r="B822" s="139" t="s">
        <v>506</v>
      </c>
      <c r="C822" s="50"/>
      <c r="D822" s="50"/>
      <c r="E822" s="143">
        <v>0</v>
      </c>
      <c r="F822" s="50">
        <v>30000</v>
      </c>
      <c r="G822" s="50"/>
      <c r="H822" s="50"/>
      <c r="I822" s="50"/>
      <c r="J822" s="50"/>
      <c r="K822" s="50"/>
      <c r="L822" s="50"/>
      <c r="M822" s="50"/>
      <c r="N822" s="50"/>
    </row>
    <row r="823" spans="1:18" s="43" customFormat="1" x14ac:dyDescent="0.25">
      <c r="A823" s="91" t="s">
        <v>511</v>
      </c>
      <c r="B823" s="136" t="s">
        <v>496</v>
      </c>
      <c r="C823" s="50"/>
      <c r="D823" s="50"/>
      <c r="E823" s="50"/>
      <c r="F823" s="85">
        <v>0</v>
      </c>
      <c r="G823" s="50"/>
      <c r="H823" s="50"/>
      <c r="I823" s="50"/>
      <c r="J823" s="50"/>
      <c r="K823" s="50"/>
      <c r="L823" s="50"/>
      <c r="M823" s="50"/>
      <c r="N823" s="50"/>
    </row>
    <row r="824" spans="1:18" s="43" customFormat="1" x14ac:dyDescent="0.25">
      <c r="A824" s="61" t="s">
        <v>510</v>
      </c>
      <c r="B824" s="62" t="s">
        <v>245</v>
      </c>
      <c r="C824" s="50"/>
      <c r="D824" s="63"/>
      <c r="E824" s="63">
        <v>0</v>
      </c>
      <c r="F824" s="50">
        <v>102047</v>
      </c>
      <c r="G824" s="50"/>
      <c r="H824" s="50"/>
      <c r="I824" s="50"/>
      <c r="J824" s="50"/>
      <c r="K824" s="50"/>
      <c r="L824" s="50"/>
      <c r="M824" s="50"/>
      <c r="N824" s="50"/>
    </row>
    <row r="825" spans="1:18" s="145" customFormat="1" x14ac:dyDescent="0.25">
      <c r="A825" s="97" t="s">
        <v>512</v>
      </c>
      <c r="B825" s="96" t="s">
        <v>330</v>
      </c>
      <c r="C825" s="144"/>
      <c r="D825" s="144"/>
      <c r="E825" s="144"/>
      <c r="F825" s="144"/>
      <c r="G825" s="144"/>
      <c r="H825" s="144"/>
      <c r="I825" s="144"/>
      <c r="J825" s="144"/>
      <c r="K825" s="144"/>
      <c r="L825" s="144"/>
      <c r="M825" s="144"/>
      <c r="N825" s="144"/>
    </row>
    <row r="826" spans="1:18" s="43" customFormat="1" x14ac:dyDescent="0.25">
      <c r="A826" s="93" t="s">
        <v>513</v>
      </c>
      <c r="B826" s="96" t="s">
        <v>330</v>
      </c>
      <c r="C826" s="50"/>
      <c r="D826" s="50"/>
      <c r="E826" s="50"/>
      <c r="F826" s="50"/>
      <c r="G826" s="50"/>
      <c r="H826" s="50"/>
      <c r="I826" s="50"/>
      <c r="J826" s="50"/>
      <c r="K826" s="50"/>
      <c r="L826" s="50"/>
      <c r="M826" s="50"/>
      <c r="N826" s="50"/>
    </row>
    <row r="827" spans="1:18" x14ac:dyDescent="0.25">
      <c r="A827" s="126" t="s">
        <v>514</v>
      </c>
      <c r="B827" s="127" t="s">
        <v>468</v>
      </c>
      <c r="C827" s="50"/>
      <c r="D827" s="50"/>
      <c r="E827" s="50">
        <v>0</v>
      </c>
      <c r="F827" s="50">
        <v>0</v>
      </c>
      <c r="G827" s="50">
        <v>0</v>
      </c>
      <c r="H827" s="50">
        <v>0</v>
      </c>
      <c r="I827" s="50">
        <v>0</v>
      </c>
      <c r="J827" s="50">
        <v>0</v>
      </c>
      <c r="K827" s="50">
        <v>0</v>
      </c>
      <c r="L827" s="50">
        <v>0</v>
      </c>
      <c r="M827" s="50">
        <v>0</v>
      </c>
      <c r="N827" s="50">
        <v>0</v>
      </c>
      <c r="O827" s="50">
        <v>0</v>
      </c>
      <c r="P827" s="50">
        <v>0</v>
      </c>
      <c r="Q827" s="50">
        <v>0</v>
      </c>
      <c r="R827" s="50">
        <v>0</v>
      </c>
    </row>
    <row r="828" spans="1:18" s="43" customFormat="1" x14ac:dyDescent="0.25">
      <c r="A828" s="128" t="s">
        <v>515</v>
      </c>
      <c r="B828" s="62" t="s">
        <v>245</v>
      </c>
      <c r="C828" s="50"/>
      <c r="D828" s="130"/>
      <c r="E828" s="50"/>
      <c r="F828" s="50"/>
      <c r="G828" s="50"/>
      <c r="H828" s="50"/>
      <c r="I828" s="50"/>
      <c r="J828" s="50"/>
      <c r="K828" s="50"/>
      <c r="L828" s="50"/>
      <c r="M828" s="50"/>
      <c r="N828" s="50"/>
    </row>
    <row r="829" spans="1:18" s="43" customFormat="1" x14ac:dyDescent="0.25">
      <c r="A829" s="128" t="s">
        <v>516</v>
      </c>
      <c r="B829" s="129" t="s">
        <v>245</v>
      </c>
      <c r="C829" s="50"/>
      <c r="D829" s="130"/>
      <c r="E829" s="130">
        <v>933</v>
      </c>
      <c r="F829" s="50">
        <v>94963.5</v>
      </c>
      <c r="G829" s="50"/>
      <c r="H829" s="50"/>
      <c r="I829" s="50"/>
      <c r="J829" s="50"/>
      <c r="K829" s="50"/>
      <c r="L829" s="50"/>
      <c r="M829" s="50"/>
      <c r="N829" s="50"/>
    </row>
    <row r="830" spans="1:18" s="43" customFormat="1" x14ac:dyDescent="0.25">
      <c r="A830" s="83" t="s">
        <v>517</v>
      </c>
      <c r="B830" s="136" t="s">
        <v>496</v>
      </c>
      <c r="C830" s="50"/>
      <c r="D830" s="50"/>
      <c r="E830" s="50"/>
      <c r="F830" s="50">
        <v>23679</v>
      </c>
      <c r="G830" s="50"/>
      <c r="H830" s="50"/>
      <c r="I830" s="50"/>
      <c r="J830" s="50"/>
      <c r="K830" s="50"/>
      <c r="L830" s="50"/>
      <c r="M830" s="50"/>
      <c r="N830" s="50"/>
    </row>
    <row r="831" spans="1:18" s="43" customFormat="1" x14ac:dyDescent="0.25">
      <c r="A831" s="128" t="s">
        <v>518</v>
      </c>
      <c r="B831" s="129" t="s">
        <v>245</v>
      </c>
      <c r="C831" s="50"/>
      <c r="D831" s="130"/>
      <c r="E831" s="50"/>
      <c r="F831" s="50"/>
      <c r="G831" s="50"/>
      <c r="H831" s="50"/>
      <c r="I831" s="50"/>
      <c r="J831" s="50"/>
      <c r="K831" s="50"/>
      <c r="L831" s="50"/>
      <c r="M831" s="50"/>
      <c r="N831" s="50"/>
    </row>
    <row r="832" spans="1:18" s="43" customFormat="1" x14ac:dyDescent="0.25">
      <c r="A832" s="128" t="s">
        <v>519</v>
      </c>
      <c r="B832" s="129"/>
      <c r="C832" s="50"/>
      <c r="D832" s="130">
        <v>19600</v>
      </c>
      <c r="E832" s="50"/>
      <c r="F832" s="50"/>
      <c r="G832" s="50"/>
      <c r="H832" s="50"/>
      <c r="I832" s="50"/>
      <c r="J832" s="50"/>
      <c r="K832" s="50"/>
      <c r="L832" s="50"/>
      <c r="M832" s="50"/>
      <c r="N832" s="50"/>
    </row>
    <row r="833" spans="1:18" s="43" customFormat="1" x14ac:dyDescent="0.25">
      <c r="A833" s="128" t="s">
        <v>520</v>
      </c>
      <c r="B833" s="129" t="s">
        <v>245</v>
      </c>
      <c r="C833" s="50"/>
      <c r="D833" s="130">
        <v>56900</v>
      </c>
      <c r="E833" s="50"/>
      <c r="F833" s="50"/>
      <c r="G833" s="50"/>
      <c r="H833" s="50"/>
      <c r="I833" s="50"/>
      <c r="J833" s="50"/>
      <c r="K833" s="50"/>
      <c r="L833" s="50"/>
      <c r="M833" s="50"/>
      <c r="N833" s="50"/>
    </row>
    <row r="834" spans="1:18" s="43" customFormat="1" x14ac:dyDescent="0.25">
      <c r="A834" s="146" t="s">
        <v>521</v>
      </c>
      <c r="B834" s="129"/>
      <c r="C834" s="50"/>
      <c r="D834" s="50"/>
      <c r="E834" s="130">
        <v>8530</v>
      </c>
      <c r="F834" s="43">
        <v>400</v>
      </c>
      <c r="G834" s="63">
        <v>9778</v>
      </c>
      <c r="H834" s="50"/>
      <c r="I834" s="50"/>
      <c r="J834" s="50"/>
      <c r="K834" s="50"/>
      <c r="L834" s="50"/>
      <c r="M834" s="50"/>
      <c r="N834" s="50"/>
    </row>
    <row r="835" spans="1:18" s="43" customFormat="1" x14ac:dyDescent="0.25">
      <c r="A835" s="147" t="s">
        <v>522</v>
      </c>
      <c r="B835" s="53"/>
      <c r="C835" s="50"/>
      <c r="D835" s="50"/>
      <c r="E835" s="50"/>
      <c r="G835" s="50">
        <v>5850</v>
      </c>
      <c r="H835" s="50"/>
      <c r="I835" s="50"/>
      <c r="J835" s="50"/>
      <c r="K835" s="50"/>
      <c r="L835" s="50"/>
      <c r="M835" s="50"/>
      <c r="N835" s="50"/>
    </row>
    <row r="836" spans="1:18" s="43" customFormat="1" x14ac:dyDescent="0.25">
      <c r="A836" s="148" t="s">
        <v>523</v>
      </c>
      <c r="B836" s="96" t="s">
        <v>323</v>
      </c>
      <c r="C836" s="50"/>
      <c r="D836" s="50"/>
      <c r="E836" s="50"/>
      <c r="F836" s="50"/>
      <c r="G836" s="50"/>
      <c r="H836" s="50"/>
      <c r="I836" s="50"/>
      <c r="J836" s="50"/>
      <c r="K836" s="50"/>
      <c r="L836" s="50"/>
      <c r="M836" s="50"/>
      <c r="N836" s="50"/>
      <c r="O836" s="89">
        <v>70000</v>
      </c>
    </row>
    <row r="837" spans="1:18" s="43" customFormat="1" x14ac:dyDescent="0.25">
      <c r="A837" s="131" t="s">
        <v>524</v>
      </c>
      <c r="B837" s="132" t="s">
        <v>487</v>
      </c>
      <c r="C837" s="50"/>
      <c r="D837" s="134"/>
      <c r="E837" s="134">
        <v>0</v>
      </c>
      <c r="F837" s="43">
        <v>16456</v>
      </c>
      <c r="G837" s="50"/>
      <c r="H837" s="50"/>
      <c r="I837" s="50"/>
      <c r="J837" s="50"/>
      <c r="K837" s="50"/>
      <c r="L837" s="50"/>
      <c r="M837" s="50"/>
      <c r="N837" s="50"/>
    </row>
    <row r="838" spans="1:18" s="43" customFormat="1" x14ac:dyDescent="0.25">
      <c r="A838" s="131" t="s">
        <v>525</v>
      </c>
      <c r="B838" s="132" t="s">
        <v>487</v>
      </c>
      <c r="C838" s="50"/>
      <c r="D838" s="50"/>
      <c r="E838" s="134">
        <v>0</v>
      </c>
      <c r="F838" s="50"/>
      <c r="G838" s="50"/>
      <c r="H838" s="50"/>
      <c r="I838" s="50"/>
      <c r="J838" s="50"/>
      <c r="K838" s="50"/>
      <c r="L838" s="134">
        <v>2507</v>
      </c>
      <c r="M838" s="50"/>
      <c r="N838" s="50"/>
    </row>
    <row r="839" spans="1:18" s="43" customFormat="1" x14ac:dyDescent="0.25">
      <c r="A839" s="52" t="s">
        <v>526</v>
      </c>
      <c r="B839" s="53"/>
      <c r="C839" s="59"/>
      <c r="D839" s="50"/>
      <c r="E839" s="50"/>
      <c r="F839" s="50"/>
      <c r="G839" s="50"/>
      <c r="H839" s="50"/>
      <c r="I839" s="50"/>
      <c r="J839" s="50"/>
      <c r="K839" s="50"/>
      <c r="L839" s="50"/>
      <c r="M839" s="50"/>
      <c r="N839" s="50"/>
    </row>
    <row r="840" spans="1:18" s="43" customFormat="1" x14ac:dyDescent="0.25">
      <c r="A840" s="92" t="s">
        <v>527</v>
      </c>
      <c r="B840" s="96" t="s">
        <v>330</v>
      </c>
      <c r="C840" s="50"/>
      <c r="D840" s="50"/>
      <c r="E840" s="50"/>
      <c r="F840" s="50"/>
      <c r="G840" s="89"/>
      <c r="H840" s="50"/>
      <c r="I840" s="50"/>
      <c r="J840" s="50"/>
      <c r="K840" s="50"/>
      <c r="L840" s="50"/>
      <c r="M840" s="50"/>
      <c r="N840" s="50"/>
    </row>
    <row r="841" spans="1:18" s="43" customFormat="1" x14ac:dyDescent="0.25">
      <c r="A841" s="92" t="s">
        <v>528</v>
      </c>
      <c r="B841" s="96" t="s">
        <v>330</v>
      </c>
      <c r="C841" s="50"/>
      <c r="D841" s="50"/>
      <c r="E841" s="50"/>
      <c r="F841" s="50"/>
      <c r="G841" s="50"/>
      <c r="H841" s="50"/>
      <c r="I841" s="50"/>
      <c r="J841" s="50"/>
      <c r="K841" s="50"/>
      <c r="L841" s="50"/>
      <c r="M841" s="50"/>
      <c r="N841" s="50"/>
    </row>
    <row r="842" spans="1:18" s="43" customFormat="1" x14ac:dyDescent="0.25">
      <c r="A842" s="146" t="s">
        <v>529</v>
      </c>
      <c r="B842" s="129" t="s">
        <v>245</v>
      </c>
      <c r="C842" s="50"/>
      <c r="D842" s="50"/>
      <c r="E842" s="50"/>
      <c r="F842" s="50"/>
      <c r="G842" s="50"/>
      <c r="H842" s="50"/>
      <c r="I842" s="50"/>
      <c r="J842" s="50"/>
      <c r="K842" s="50"/>
      <c r="L842" s="50"/>
      <c r="M842" s="50"/>
      <c r="N842" s="50"/>
    </row>
    <row r="843" spans="1:18" s="43" customFormat="1" x14ac:dyDescent="0.25">
      <c r="A843" s="146" t="s">
        <v>530</v>
      </c>
      <c r="B843" s="129" t="s">
        <v>245</v>
      </c>
      <c r="C843" s="50"/>
      <c r="D843" s="50"/>
      <c r="E843" s="50"/>
      <c r="F843" s="50"/>
      <c r="G843" s="63">
        <v>150</v>
      </c>
      <c r="H843" s="50"/>
      <c r="I843" s="50"/>
      <c r="J843" s="50"/>
      <c r="K843" s="50"/>
      <c r="L843" s="50"/>
      <c r="M843" s="50"/>
      <c r="N843" s="50"/>
    </row>
    <row r="844" spans="1:18" s="43" customFormat="1" x14ac:dyDescent="0.25">
      <c r="A844" s="92" t="s">
        <v>531</v>
      </c>
      <c r="B844" s="96" t="s">
        <v>323</v>
      </c>
      <c r="C844" s="50"/>
      <c r="D844" s="50"/>
      <c r="E844" s="50"/>
      <c r="F844" s="50"/>
      <c r="G844" s="50"/>
      <c r="H844" s="50"/>
      <c r="I844" s="50"/>
      <c r="J844" s="50"/>
      <c r="K844" s="50"/>
      <c r="L844" s="50"/>
      <c r="M844" s="89">
        <v>90000</v>
      </c>
      <c r="N844" s="50"/>
    </row>
    <row r="845" spans="1:18" s="43" customFormat="1" x14ac:dyDescent="0.25">
      <c r="A845" s="92" t="s">
        <v>532</v>
      </c>
      <c r="B845" s="96" t="s">
        <v>323</v>
      </c>
      <c r="C845" s="50"/>
      <c r="D845" s="50"/>
      <c r="E845" s="50"/>
      <c r="F845" s="50"/>
      <c r="G845" s="50"/>
      <c r="H845" s="50"/>
      <c r="I845" s="89">
        <v>150000</v>
      </c>
      <c r="J845" s="50"/>
      <c r="K845" s="50"/>
      <c r="L845" s="50"/>
      <c r="M845" s="50"/>
      <c r="N845" s="50"/>
    </row>
    <row r="846" spans="1:18" s="43" customFormat="1" x14ac:dyDescent="0.25">
      <c r="A846" s="92" t="s">
        <v>533</v>
      </c>
      <c r="B846" s="96" t="s">
        <v>323</v>
      </c>
      <c r="C846" s="50"/>
      <c r="D846" s="50"/>
      <c r="E846" s="50"/>
      <c r="F846" s="50"/>
      <c r="G846" s="50"/>
      <c r="H846" s="50"/>
      <c r="I846" s="50"/>
      <c r="J846" s="89">
        <v>50000</v>
      </c>
      <c r="K846" s="50"/>
      <c r="L846" s="50"/>
      <c r="M846" s="50"/>
      <c r="N846" s="50"/>
    </row>
    <row r="847" spans="1:18" s="43" customFormat="1" x14ac:dyDescent="0.25">
      <c r="A847" s="92" t="s">
        <v>534</v>
      </c>
      <c r="B847" s="96" t="s">
        <v>323</v>
      </c>
      <c r="C847" s="50"/>
      <c r="D847" s="50"/>
      <c r="E847" s="50"/>
      <c r="F847" s="50"/>
      <c r="G847" s="50"/>
      <c r="H847" s="50"/>
      <c r="I847" s="50"/>
      <c r="J847" s="50"/>
      <c r="K847" s="50"/>
      <c r="L847" s="50"/>
      <c r="M847" s="50"/>
      <c r="N847" s="89">
        <v>60000</v>
      </c>
      <c r="P847" s="149">
        <v>40000</v>
      </c>
    </row>
    <row r="848" spans="1:18" x14ac:dyDescent="0.25">
      <c r="A848" s="131" t="s">
        <v>535</v>
      </c>
      <c r="B848" s="132" t="s">
        <v>487</v>
      </c>
      <c r="C848" s="50"/>
      <c r="D848" s="133">
        <v>8729</v>
      </c>
      <c r="E848" s="50"/>
      <c r="F848" s="50"/>
      <c r="G848" s="50"/>
      <c r="H848" s="50"/>
      <c r="I848" s="50"/>
      <c r="J848" s="50"/>
      <c r="K848" s="50"/>
      <c r="L848" s="134">
        <v>3761</v>
      </c>
      <c r="M848" s="50"/>
      <c r="N848" s="50"/>
      <c r="Q848"/>
      <c r="R848"/>
    </row>
    <row r="849" spans="1:18" x14ac:dyDescent="0.25">
      <c r="A849" s="91" t="s">
        <v>536</v>
      </c>
      <c r="B849" s="136" t="s">
        <v>492</v>
      </c>
      <c r="C849" s="50"/>
      <c r="D849" s="50"/>
      <c r="E849" s="85">
        <v>17295</v>
      </c>
      <c r="F849" s="50"/>
      <c r="G849" s="50"/>
      <c r="H849" s="50"/>
      <c r="I849" s="50"/>
      <c r="J849" s="50"/>
      <c r="K849" s="50"/>
      <c r="L849" s="50"/>
      <c r="M849" s="50"/>
      <c r="N849" s="50"/>
      <c r="Q849"/>
      <c r="R849"/>
    </row>
    <row r="850" spans="1:18" x14ac:dyDescent="0.25">
      <c r="A850" s="91" t="s">
        <v>537</v>
      </c>
      <c r="B850" s="136"/>
      <c r="C850" s="50"/>
      <c r="D850" s="50"/>
      <c r="E850" s="85"/>
      <c r="F850" s="50">
        <v>14091</v>
      </c>
      <c r="G850" s="50"/>
      <c r="H850" s="50"/>
      <c r="I850" s="50"/>
      <c r="J850" s="50"/>
      <c r="K850" s="50"/>
      <c r="L850" s="50"/>
      <c r="M850" s="50"/>
      <c r="N850" s="50"/>
    </row>
    <row r="851" spans="1:18" x14ac:dyDescent="0.25">
      <c r="A851" s="91" t="s">
        <v>538</v>
      </c>
      <c r="B851" s="136" t="s">
        <v>492</v>
      </c>
      <c r="C851" s="50"/>
      <c r="D851" s="50"/>
      <c r="E851" s="50"/>
      <c r="F851" s="50"/>
      <c r="G851" s="50"/>
      <c r="H851" s="50"/>
      <c r="I851" s="50"/>
      <c r="J851" s="50"/>
      <c r="K851" s="50"/>
      <c r="L851" s="50"/>
      <c r="M851" s="50"/>
      <c r="N851" s="50">
        <v>0</v>
      </c>
    </row>
    <row r="852" spans="1:18" x14ac:dyDescent="0.25">
      <c r="A852" s="128" t="s">
        <v>539</v>
      </c>
      <c r="B852" s="129" t="s">
        <v>245</v>
      </c>
      <c r="C852" s="52">
        <v>10314</v>
      </c>
      <c r="D852" s="50"/>
      <c r="E852" s="50"/>
      <c r="F852" s="50"/>
      <c r="G852" s="50"/>
      <c r="H852" s="50"/>
      <c r="I852" s="50"/>
      <c r="J852" s="50"/>
      <c r="K852" s="50"/>
      <c r="L852" s="50"/>
      <c r="M852" s="50"/>
      <c r="N852" s="50"/>
    </row>
    <row r="853" spans="1:18" s="43" customFormat="1" x14ac:dyDescent="0.25">
      <c r="A853" s="92" t="s">
        <v>540</v>
      </c>
      <c r="B853" s="96" t="s">
        <v>330</v>
      </c>
      <c r="C853" s="50"/>
      <c r="D853" s="50"/>
      <c r="E853" s="50"/>
      <c r="F853" s="50"/>
      <c r="G853" s="50"/>
      <c r="H853" s="50"/>
      <c r="I853" s="50"/>
      <c r="J853" s="50"/>
      <c r="K853" s="50"/>
      <c r="L853" s="50"/>
      <c r="M853" s="50"/>
      <c r="N853" s="50"/>
    </row>
    <row r="854" spans="1:18" s="43" customFormat="1" x14ac:dyDescent="0.25">
      <c r="A854" s="92" t="s">
        <v>541</v>
      </c>
      <c r="B854" s="96" t="s">
        <v>323</v>
      </c>
      <c r="C854" s="50"/>
      <c r="D854" s="50"/>
      <c r="E854" s="50"/>
      <c r="F854" s="50"/>
      <c r="G854" s="50"/>
      <c r="H854" s="50"/>
      <c r="I854" s="50"/>
      <c r="J854" s="50"/>
      <c r="K854" s="50"/>
      <c r="L854" s="50"/>
      <c r="M854" s="50"/>
      <c r="N854" s="50"/>
      <c r="Q854" s="149">
        <v>65000</v>
      </c>
    </row>
    <row r="855" spans="1:18" x14ac:dyDescent="0.25">
      <c r="A855" s="43" t="s">
        <v>542</v>
      </c>
      <c r="B855" s="53"/>
      <c r="C855" s="50"/>
      <c r="D855" s="50">
        <v>0</v>
      </c>
      <c r="E855" s="50">
        <v>0</v>
      </c>
      <c r="F855" s="50">
        <v>0</v>
      </c>
      <c r="G855" s="50">
        <v>0</v>
      </c>
      <c r="H855" s="50">
        <v>0</v>
      </c>
      <c r="I855" s="50">
        <v>0</v>
      </c>
      <c r="J855" s="50">
        <v>0</v>
      </c>
      <c r="K855" s="50">
        <v>0</v>
      </c>
      <c r="L855" s="50">
        <v>0</v>
      </c>
      <c r="M855" s="50">
        <v>0</v>
      </c>
      <c r="N855" s="50">
        <v>0</v>
      </c>
    </row>
    <row r="856" spans="1:18" x14ac:dyDescent="0.25">
      <c r="A856" s="150" t="s">
        <v>543</v>
      </c>
      <c r="B856" s="127" t="s">
        <v>468</v>
      </c>
      <c r="C856" s="50"/>
      <c r="D856" s="50">
        <v>0</v>
      </c>
      <c r="E856" s="50">
        <v>0</v>
      </c>
      <c r="F856" s="50">
        <v>0</v>
      </c>
      <c r="G856" s="50">
        <v>0</v>
      </c>
      <c r="H856" s="50">
        <v>0</v>
      </c>
      <c r="I856" s="50">
        <v>0</v>
      </c>
      <c r="J856" s="50">
        <v>0</v>
      </c>
      <c r="K856" s="50">
        <v>0</v>
      </c>
      <c r="L856" s="50">
        <v>0</v>
      </c>
      <c r="M856" s="50">
        <v>0</v>
      </c>
      <c r="N856" s="50">
        <v>0</v>
      </c>
    </row>
    <row r="857" spans="1:18" s="43" customFormat="1" x14ac:dyDescent="0.25">
      <c r="A857" s="92" t="s">
        <v>544</v>
      </c>
      <c r="B857" s="96" t="s">
        <v>323</v>
      </c>
      <c r="C857" s="50"/>
      <c r="D857" s="50"/>
      <c r="E857" s="50"/>
      <c r="F857" s="50"/>
      <c r="G857" s="50"/>
      <c r="H857" s="50"/>
      <c r="I857" s="50"/>
      <c r="J857" s="50"/>
      <c r="K857" s="50"/>
      <c r="L857" s="50"/>
      <c r="M857" s="50"/>
      <c r="N857" s="50"/>
      <c r="Q857" s="149">
        <v>250000</v>
      </c>
    </row>
    <row r="858" spans="1:18" x14ac:dyDescent="0.25">
      <c r="A858" s="151" t="s">
        <v>545</v>
      </c>
      <c r="B858" s="127" t="s">
        <v>468</v>
      </c>
      <c r="C858" s="59"/>
      <c r="D858" s="50">
        <v>0</v>
      </c>
      <c r="E858" s="50">
        <v>0</v>
      </c>
      <c r="F858" s="50">
        <v>0</v>
      </c>
      <c r="G858" s="50">
        <v>0</v>
      </c>
      <c r="H858" s="50">
        <v>0</v>
      </c>
      <c r="I858" s="50">
        <v>0</v>
      </c>
      <c r="J858" s="50">
        <v>0</v>
      </c>
      <c r="K858" s="50">
        <v>0</v>
      </c>
      <c r="L858" s="50">
        <v>0</v>
      </c>
      <c r="M858" s="50">
        <v>0</v>
      </c>
      <c r="N858" s="50">
        <v>0</v>
      </c>
      <c r="O858" s="50"/>
      <c r="P858" s="50"/>
      <c r="Q858" s="50"/>
      <c r="R858" s="50"/>
    </row>
    <row r="859" spans="1:18" s="43" customFormat="1" x14ac:dyDescent="0.25">
      <c r="A859" s="91" t="s">
        <v>546</v>
      </c>
      <c r="B859" s="136" t="s">
        <v>492</v>
      </c>
      <c r="C859" s="52"/>
      <c r="D859" s="50"/>
      <c r="E859" s="50"/>
      <c r="F859" s="50"/>
      <c r="G859" s="50">
        <v>2850</v>
      </c>
      <c r="H859" s="50"/>
      <c r="I859" s="50"/>
      <c r="J859" s="50"/>
      <c r="K859" s="50"/>
      <c r="L859" s="50"/>
      <c r="M859" s="50"/>
      <c r="N859" s="50"/>
      <c r="O859" s="50">
        <v>0</v>
      </c>
      <c r="P859" s="50">
        <v>0</v>
      </c>
      <c r="Q859" s="50">
        <v>0</v>
      </c>
      <c r="R859" s="50">
        <v>0</v>
      </c>
    </row>
    <row r="860" spans="1:18" x14ac:dyDescent="0.25">
      <c r="A860" s="128" t="s">
        <v>547</v>
      </c>
      <c r="B860" s="129" t="s">
        <v>245</v>
      </c>
      <c r="C860" s="54">
        <v>7219</v>
      </c>
      <c r="D860" s="130">
        <v>12730</v>
      </c>
      <c r="E860" s="50"/>
      <c r="F860" s="50"/>
      <c r="G860" s="50"/>
      <c r="H860" s="50"/>
      <c r="I860" s="50"/>
      <c r="J860" s="50"/>
      <c r="K860" s="50"/>
      <c r="L860" s="50"/>
      <c r="M860" s="50"/>
      <c r="N860" s="50"/>
    </row>
    <row r="861" spans="1:18" x14ac:dyDescent="0.25">
      <c r="A861" s="131" t="s">
        <v>548</v>
      </c>
      <c r="B861" s="132" t="s">
        <v>487</v>
      </c>
      <c r="C861" s="50"/>
      <c r="D861" s="133">
        <v>170</v>
      </c>
      <c r="E861" s="50"/>
      <c r="F861" s="50"/>
      <c r="G861" s="50"/>
      <c r="H861" s="50"/>
      <c r="I861" s="50"/>
      <c r="J861" s="50"/>
      <c r="K861" s="50"/>
      <c r="L861" s="134">
        <v>6269</v>
      </c>
      <c r="M861" s="50"/>
      <c r="N861" s="50"/>
    </row>
    <row r="862" spans="1:18" x14ac:dyDescent="0.25">
      <c r="A862" s="131" t="s">
        <v>549</v>
      </c>
      <c r="B862" s="132" t="s">
        <v>487</v>
      </c>
      <c r="C862" s="50"/>
      <c r="D862" s="50"/>
      <c r="E862" s="134">
        <v>0</v>
      </c>
      <c r="F862" s="50"/>
      <c r="G862" s="50"/>
      <c r="H862" s="50"/>
      <c r="I862" s="50"/>
      <c r="J862" s="134">
        <v>5955</v>
      </c>
      <c r="K862" s="50"/>
      <c r="L862" s="50"/>
      <c r="M862" s="50"/>
      <c r="N862" s="50"/>
    </row>
    <row r="863" spans="1:18" s="43" customFormat="1" x14ac:dyDescent="0.25">
      <c r="A863" s="52" t="s">
        <v>550</v>
      </c>
      <c r="B863" s="53"/>
      <c r="C863" s="50"/>
      <c r="D863" s="50"/>
      <c r="E863" s="50"/>
      <c r="F863" s="50"/>
      <c r="G863" s="50"/>
      <c r="H863" s="50"/>
      <c r="I863" s="50"/>
      <c r="J863" s="50"/>
      <c r="K863" s="50"/>
      <c r="L863" s="50"/>
      <c r="M863" s="50"/>
      <c r="N863" s="50"/>
    </row>
    <row r="864" spans="1:18" s="43" customFormat="1" x14ac:dyDescent="0.25">
      <c r="A864" s="92" t="s">
        <v>551</v>
      </c>
      <c r="B864" s="96" t="s">
        <v>330</v>
      </c>
      <c r="C864" s="50"/>
      <c r="D864" s="50"/>
      <c r="E864" s="50"/>
      <c r="F864" s="50"/>
      <c r="G864" s="50"/>
      <c r="H864" s="50"/>
      <c r="I864" s="50"/>
      <c r="J864" s="50"/>
      <c r="K864" s="50"/>
      <c r="L864" s="50"/>
      <c r="M864" s="50"/>
      <c r="N864" s="50"/>
      <c r="O864" s="43">
        <v>0</v>
      </c>
      <c r="P864" s="43">
        <v>0</v>
      </c>
      <c r="Q864" s="43">
        <v>0</v>
      </c>
      <c r="R864" s="43">
        <v>0</v>
      </c>
    </row>
    <row r="865" spans="1:18" s="43" customFormat="1" x14ac:dyDescent="0.25">
      <c r="A865" s="92" t="s">
        <v>552</v>
      </c>
      <c r="B865" s="96" t="s">
        <v>330</v>
      </c>
      <c r="C865" s="50"/>
      <c r="D865" s="50"/>
      <c r="E865" s="50"/>
      <c r="F865" s="50"/>
      <c r="G865" s="50"/>
      <c r="H865" s="50"/>
      <c r="I865" s="50"/>
      <c r="J865" s="50"/>
      <c r="K865" s="50"/>
      <c r="L865" s="50"/>
      <c r="M865" s="50"/>
      <c r="N865" s="50"/>
    </row>
    <row r="866" spans="1:18" s="43" customFormat="1" x14ac:dyDescent="0.25">
      <c r="A866" s="153" t="s">
        <v>552</v>
      </c>
      <c r="B866" s="96" t="s">
        <v>323</v>
      </c>
      <c r="C866" s="50"/>
      <c r="D866" s="50"/>
      <c r="E866" s="50"/>
      <c r="F866" s="50"/>
      <c r="G866" s="50"/>
      <c r="H866" s="50"/>
      <c r="I866" s="50"/>
      <c r="J866" s="50"/>
      <c r="K866" s="50"/>
      <c r="L866" s="50"/>
      <c r="M866" s="50"/>
      <c r="N866" s="50"/>
      <c r="O866" s="89">
        <v>60000</v>
      </c>
    </row>
    <row r="867" spans="1:18" s="43" customFormat="1" x14ac:dyDescent="0.25">
      <c r="A867" s="153" t="s">
        <v>553</v>
      </c>
      <c r="B867" s="96" t="s">
        <v>323</v>
      </c>
      <c r="C867" s="50"/>
      <c r="D867" s="50"/>
      <c r="E867" s="50"/>
      <c r="F867" s="50"/>
      <c r="G867" s="50"/>
      <c r="H867" s="50"/>
      <c r="I867" s="50"/>
      <c r="J867" s="50"/>
      <c r="K867" s="50"/>
      <c r="L867" s="50"/>
      <c r="M867" s="89">
        <v>60000</v>
      </c>
      <c r="N867" s="50"/>
      <c r="O867" s="50"/>
    </row>
    <row r="868" spans="1:18" s="43" customFormat="1" x14ac:dyDescent="0.25">
      <c r="A868" s="153" t="s">
        <v>554</v>
      </c>
      <c r="B868" s="96" t="s">
        <v>323</v>
      </c>
      <c r="C868" s="50"/>
      <c r="D868" s="50"/>
      <c r="E868" s="50"/>
      <c r="F868" s="50"/>
      <c r="G868" s="50"/>
      <c r="H868" s="50"/>
      <c r="I868" s="50"/>
      <c r="J868" s="89">
        <v>80000</v>
      </c>
      <c r="K868" s="50"/>
      <c r="L868" s="50"/>
      <c r="M868" s="50"/>
      <c r="N868" s="50"/>
      <c r="O868" s="50"/>
    </row>
    <row r="869" spans="1:18" x14ac:dyDescent="0.25">
      <c r="A869" s="128" t="s">
        <v>555</v>
      </c>
      <c r="B869" s="129" t="s">
        <v>245</v>
      </c>
      <c r="C869" s="54">
        <v>21670</v>
      </c>
      <c r="D869" s="130">
        <v>8600</v>
      </c>
      <c r="E869" s="50"/>
      <c r="F869" s="50"/>
      <c r="G869" s="50"/>
      <c r="H869" s="50"/>
      <c r="I869" s="50"/>
      <c r="J869" s="50"/>
      <c r="K869" s="50"/>
      <c r="L869" s="50"/>
      <c r="M869" s="50"/>
      <c r="N869" s="50"/>
      <c r="O869" s="50"/>
    </row>
    <row r="870" spans="1:18" s="43" customFormat="1" x14ac:dyDescent="0.25">
      <c r="A870" s="83" t="s">
        <v>556</v>
      </c>
      <c r="B870" s="53"/>
      <c r="C870" s="50"/>
      <c r="D870" s="85">
        <v>35105</v>
      </c>
      <c r="E870" s="50"/>
      <c r="F870" s="50"/>
      <c r="G870" s="50"/>
      <c r="H870" s="50"/>
      <c r="I870" s="50"/>
      <c r="J870" s="50"/>
      <c r="K870" s="50"/>
      <c r="L870" s="50"/>
      <c r="M870" s="50"/>
      <c r="N870" s="50"/>
      <c r="O870" s="50"/>
    </row>
    <row r="871" spans="1:18" s="43" customFormat="1" x14ac:dyDescent="0.25">
      <c r="A871" s="92" t="s">
        <v>557</v>
      </c>
      <c r="B871" s="96" t="s">
        <v>323</v>
      </c>
      <c r="C871" s="50"/>
      <c r="D871" s="50"/>
      <c r="E871" s="50"/>
      <c r="F871" s="50"/>
      <c r="G871" s="50"/>
      <c r="H871" s="50"/>
      <c r="I871" s="50"/>
      <c r="J871" s="50"/>
      <c r="K871" s="50"/>
      <c r="L871" s="50"/>
      <c r="M871" s="50"/>
      <c r="N871" s="50"/>
      <c r="O871" s="50"/>
      <c r="R871" s="149">
        <v>80000</v>
      </c>
    </row>
    <row r="872" spans="1:18" s="43" customFormat="1" x14ac:dyDescent="0.25">
      <c r="A872" s="92" t="s">
        <v>558</v>
      </c>
      <c r="B872" s="96" t="s">
        <v>323</v>
      </c>
      <c r="C872" s="50"/>
      <c r="D872" s="50"/>
      <c r="E872" s="50"/>
      <c r="F872" s="50"/>
      <c r="G872" s="50"/>
      <c r="H872" s="50"/>
      <c r="I872" s="50"/>
      <c r="J872" s="50"/>
      <c r="K872" s="50"/>
      <c r="L872" s="50"/>
      <c r="M872" s="50"/>
      <c r="N872" s="50"/>
      <c r="O872" s="89">
        <v>60000</v>
      </c>
    </row>
    <row r="873" spans="1:18" s="43" customFormat="1" x14ac:dyDescent="0.25">
      <c r="A873" s="52" t="s">
        <v>559</v>
      </c>
      <c r="B873" s="53"/>
      <c r="C873" s="54">
        <v>1338</v>
      </c>
      <c r="D873" s="50">
        <v>13333</v>
      </c>
      <c r="E873" s="50"/>
      <c r="F873" s="50"/>
      <c r="G873" s="50"/>
      <c r="H873" s="50"/>
      <c r="I873" s="50"/>
      <c r="J873" s="50"/>
      <c r="K873" s="50"/>
      <c r="L873" s="50"/>
      <c r="M873" s="50"/>
      <c r="N873" s="50"/>
    </row>
    <row r="874" spans="1:18" s="43" customFormat="1" x14ac:dyDescent="0.25">
      <c r="A874" s="43" t="s">
        <v>560</v>
      </c>
      <c r="B874" s="53"/>
      <c r="C874" s="50"/>
      <c r="D874" s="50"/>
      <c r="E874" s="50"/>
      <c r="F874" s="50"/>
      <c r="G874" s="50"/>
      <c r="H874" s="50"/>
      <c r="I874" s="50"/>
      <c r="J874" s="50"/>
      <c r="K874" s="50"/>
      <c r="L874" s="50"/>
      <c r="M874" s="50"/>
      <c r="N874" s="50"/>
    </row>
    <row r="875" spans="1:18" x14ac:dyDescent="0.25">
      <c r="A875" s="91" t="s">
        <v>561</v>
      </c>
      <c r="B875" s="84" t="s">
        <v>317</v>
      </c>
      <c r="C875" s="54">
        <v>99533</v>
      </c>
      <c r="D875" s="85">
        <v>6209</v>
      </c>
      <c r="E875" s="50"/>
      <c r="F875" s="50"/>
      <c r="G875" s="50"/>
      <c r="H875" s="50"/>
      <c r="I875" s="50"/>
      <c r="J875" s="50"/>
      <c r="K875" s="50"/>
      <c r="L875" s="50"/>
      <c r="M875" s="50"/>
      <c r="N875" s="50"/>
    </row>
    <row r="876" spans="1:18" s="43" customFormat="1" x14ac:dyDescent="0.25">
      <c r="A876" s="43" t="s">
        <v>562</v>
      </c>
      <c r="B876" s="53"/>
      <c r="C876" s="50"/>
      <c r="D876" s="50"/>
      <c r="E876" s="50"/>
      <c r="F876" s="50"/>
      <c r="G876" s="50"/>
      <c r="H876" s="50"/>
      <c r="I876" s="50"/>
      <c r="J876" s="50"/>
      <c r="K876" s="50"/>
      <c r="L876" s="50"/>
      <c r="M876" s="50"/>
      <c r="N876" s="50"/>
    </row>
    <row r="877" spans="1:18" x14ac:dyDescent="0.25">
      <c r="A877" s="128" t="s">
        <v>563</v>
      </c>
      <c r="B877" s="129" t="s">
        <v>245</v>
      </c>
      <c r="C877" s="50"/>
      <c r="D877" s="50"/>
      <c r="E877" s="50"/>
      <c r="F877" s="50"/>
      <c r="G877" s="50"/>
      <c r="H877" s="50"/>
      <c r="I877" s="50"/>
      <c r="J877" s="50"/>
      <c r="K877" s="50"/>
      <c r="L877" s="50"/>
      <c r="M877" s="50"/>
      <c r="N877" s="50"/>
    </row>
    <row r="878" spans="1:18" x14ac:dyDescent="0.25">
      <c r="A878" s="128" t="s">
        <v>564</v>
      </c>
      <c r="B878" s="129" t="s">
        <v>245</v>
      </c>
      <c r="C878" s="54"/>
      <c r="D878" s="63">
        <v>19977</v>
      </c>
      <c r="E878" s="50"/>
      <c r="F878" s="50"/>
      <c r="G878" s="50"/>
      <c r="H878" s="50"/>
      <c r="I878" s="50"/>
      <c r="J878" s="50"/>
      <c r="K878" s="50"/>
      <c r="L878" s="50"/>
      <c r="M878" s="50"/>
      <c r="N878" s="50"/>
    </row>
    <row r="879" spans="1:18" x14ac:dyDescent="0.25">
      <c r="A879" s="83" t="s">
        <v>564</v>
      </c>
      <c r="B879" s="84" t="s">
        <v>317</v>
      </c>
      <c r="C879" s="50">
        <v>47108</v>
      </c>
      <c r="D879" s="85">
        <v>119092</v>
      </c>
      <c r="E879" s="50"/>
      <c r="F879" s="50"/>
      <c r="G879" s="50"/>
      <c r="H879" s="50"/>
      <c r="I879" s="50"/>
      <c r="J879" s="50"/>
      <c r="K879" s="50"/>
      <c r="L879" s="50"/>
      <c r="M879" s="50"/>
      <c r="N879" s="50"/>
    </row>
    <row r="880" spans="1:18" x14ac:dyDescent="0.25">
      <c r="A880" s="126" t="s">
        <v>565</v>
      </c>
      <c r="B880" s="127" t="s">
        <v>468</v>
      </c>
      <c r="C880" s="50"/>
      <c r="D880" s="50">
        <v>0</v>
      </c>
      <c r="E880" s="50">
        <v>0</v>
      </c>
      <c r="F880" s="50">
        <v>0</v>
      </c>
      <c r="G880" s="50">
        <v>0</v>
      </c>
      <c r="H880" s="50">
        <v>0</v>
      </c>
      <c r="I880" s="50">
        <v>0</v>
      </c>
      <c r="J880" s="50">
        <v>0</v>
      </c>
      <c r="K880" s="50">
        <v>0</v>
      </c>
      <c r="L880" s="50">
        <v>0</v>
      </c>
      <c r="M880" s="50">
        <v>0</v>
      </c>
      <c r="N880" s="50"/>
      <c r="O880" s="50"/>
      <c r="P880" s="50"/>
      <c r="Q880" s="50"/>
      <c r="R880" s="50"/>
    </row>
    <row r="881" spans="1:18" x14ac:dyDescent="0.25">
      <c r="A881" s="91" t="s">
        <v>566</v>
      </c>
      <c r="B881" s="84" t="s">
        <v>317</v>
      </c>
      <c r="C881" s="50"/>
      <c r="D881" s="85"/>
      <c r="E881" s="85">
        <v>10382</v>
      </c>
      <c r="F881" s="50"/>
      <c r="G881" s="50"/>
      <c r="H881" s="50"/>
      <c r="I881" s="50"/>
      <c r="J881" s="50"/>
      <c r="K881" s="50"/>
      <c r="L881" s="50"/>
      <c r="M881" s="50"/>
      <c r="N881" s="50"/>
      <c r="O881" s="50"/>
      <c r="P881" s="50"/>
      <c r="Q881" s="50"/>
      <c r="R881" s="50"/>
    </row>
    <row r="882" spans="1:18" s="43" customFormat="1" x14ac:dyDescent="0.25">
      <c r="A882" s="92" t="s">
        <v>567</v>
      </c>
      <c r="B882" s="96" t="s">
        <v>330</v>
      </c>
      <c r="C882" s="50"/>
      <c r="D882" s="50"/>
      <c r="E882" s="50"/>
      <c r="F882" s="50"/>
      <c r="G882" s="50"/>
      <c r="H882" s="50"/>
      <c r="I882" s="50"/>
      <c r="J882" s="50"/>
      <c r="K882" s="50"/>
      <c r="L882" s="50"/>
      <c r="M882" s="50"/>
      <c r="N882" s="50"/>
      <c r="O882" s="50"/>
      <c r="P882" s="50"/>
      <c r="Q882" s="50"/>
      <c r="R882" s="50"/>
    </row>
    <row r="883" spans="1:18" s="43" customFormat="1" x14ac:dyDescent="0.25">
      <c r="A883" s="92" t="s">
        <v>568</v>
      </c>
      <c r="B883" s="96"/>
      <c r="C883" s="50"/>
      <c r="D883" s="50"/>
      <c r="E883" s="50"/>
      <c r="F883" s="50"/>
      <c r="G883" s="50"/>
      <c r="H883" s="50"/>
      <c r="I883" s="50"/>
      <c r="J883" s="50"/>
      <c r="K883" s="50"/>
      <c r="L883" s="50"/>
      <c r="M883" s="50"/>
      <c r="N883" s="50"/>
      <c r="O883" s="50"/>
      <c r="P883" s="50"/>
      <c r="Q883" s="50"/>
      <c r="R883" s="50"/>
    </row>
    <row r="884" spans="1:18" s="43" customFormat="1" x14ac:dyDescent="0.25">
      <c r="A884" s="153" t="s">
        <v>569</v>
      </c>
      <c r="B884" s="96" t="s">
        <v>323</v>
      </c>
      <c r="C884" s="50"/>
      <c r="D884" s="50"/>
      <c r="E884" s="50"/>
      <c r="F884" s="50"/>
      <c r="G884" s="50"/>
      <c r="H884" s="50"/>
      <c r="I884" s="50"/>
      <c r="J884" s="50"/>
      <c r="K884" s="50"/>
      <c r="L884" s="50"/>
      <c r="M884" s="50"/>
      <c r="N884" s="50"/>
      <c r="O884" s="50"/>
      <c r="P884" s="89">
        <v>70000</v>
      </c>
      <c r="Q884" s="50"/>
      <c r="R884" s="50"/>
    </row>
    <row r="885" spans="1:18" s="43" customFormat="1" x14ac:dyDescent="0.25">
      <c r="A885" s="153" t="s">
        <v>570</v>
      </c>
      <c r="B885" s="96" t="s">
        <v>323</v>
      </c>
      <c r="C885" s="50"/>
      <c r="D885" s="50"/>
      <c r="E885" s="50"/>
      <c r="F885" s="50"/>
      <c r="G885" s="50"/>
      <c r="H885" s="50"/>
      <c r="I885" s="50"/>
      <c r="J885" s="50"/>
      <c r="K885" s="50"/>
      <c r="L885" s="50"/>
      <c r="M885" s="50"/>
      <c r="N885" s="89">
        <v>55000</v>
      </c>
      <c r="O885" s="50"/>
      <c r="P885" s="50"/>
      <c r="Q885" s="50"/>
      <c r="R885" s="50"/>
    </row>
    <row r="886" spans="1:18" s="43" customFormat="1" x14ac:dyDescent="0.25">
      <c r="A886" s="153" t="s">
        <v>571</v>
      </c>
      <c r="B886" s="96" t="s">
        <v>323</v>
      </c>
      <c r="C886" s="50"/>
      <c r="D886" s="50"/>
      <c r="E886" s="50"/>
      <c r="F886" s="50"/>
      <c r="G886" s="50"/>
      <c r="H886" s="50"/>
      <c r="I886" s="50"/>
      <c r="J886" s="50"/>
      <c r="K886" s="89">
        <v>25000</v>
      </c>
      <c r="L886" s="50"/>
      <c r="M886" s="50"/>
      <c r="N886" s="50"/>
      <c r="O886" s="50"/>
      <c r="P886" s="50"/>
      <c r="Q886" s="50"/>
      <c r="R886" s="50"/>
    </row>
    <row r="887" spans="1:18" s="43" customFormat="1" x14ac:dyDescent="0.25">
      <c r="A887" s="153" t="s">
        <v>572</v>
      </c>
      <c r="B887" s="96" t="s">
        <v>323</v>
      </c>
      <c r="C887" s="50"/>
      <c r="D887" s="50"/>
      <c r="E887" s="50"/>
      <c r="F887" s="50"/>
      <c r="G887" s="50"/>
      <c r="H887" s="50"/>
      <c r="I887" s="50"/>
      <c r="J887" s="50"/>
      <c r="K887" s="50"/>
      <c r="L887" s="89">
        <v>20000</v>
      </c>
      <c r="M887" s="50"/>
      <c r="N887" s="50"/>
      <c r="O887" s="50"/>
      <c r="P887" s="50"/>
      <c r="Q887" s="50"/>
      <c r="R887" s="50"/>
    </row>
    <row r="888" spans="1:18" s="43" customFormat="1" x14ac:dyDescent="0.25">
      <c r="A888" s="147" t="s">
        <v>573</v>
      </c>
      <c r="B888" s="53"/>
      <c r="C888" s="50"/>
      <c r="D888" s="50"/>
      <c r="E888" s="50"/>
      <c r="F888" s="50"/>
      <c r="G888" s="50">
        <v>2850</v>
      </c>
      <c r="H888" s="50"/>
      <c r="I888" s="50"/>
      <c r="J888" s="50"/>
      <c r="K888" s="50"/>
      <c r="L888" s="50"/>
      <c r="M888" s="50"/>
      <c r="N888" s="50"/>
      <c r="O888" s="50"/>
      <c r="P888" s="50"/>
      <c r="Q888" s="50"/>
      <c r="R888" s="50"/>
    </row>
    <row r="889" spans="1:18" x14ac:dyDescent="0.25">
      <c r="A889" s="126" t="s">
        <v>574</v>
      </c>
      <c r="B889" s="127" t="s">
        <v>468</v>
      </c>
      <c r="C889" s="50"/>
      <c r="D889" s="50">
        <v>0</v>
      </c>
      <c r="E889" s="50">
        <v>0</v>
      </c>
      <c r="F889" s="50">
        <v>0</v>
      </c>
      <c r="G889" s="50">
        <v>0</v>
      </c>
      <c r="H889" s="50">
        <v>0</v>
      </c>
      <c r="I889" s="50">
        <v>0</v>
      </c>
      <c r="J889" s="50">
        <v>0</v>
      </c>
      <c r="K889" s="50">
        <v>0</v>
      </c>
      <c r="L889" s="50">
        <v>0</v>
      </c>
      <c r="M889" s="50">
        <v>0</v>
      </c>
      <c r="N889" s="50">
        <v>0</v>
      </c>
      <c r="O889" s="50">
        <v>0</v>
      </c>
      <c r="P889" s="50">
        <v>0</v>
      </c>
      <c r="Q889" s="50">
        <v>0</v>
      </c>
      <c r="R889" s="50">
        <v>0</v>
      </c>
    </row>
    <row r="890" spans="1:18" x14ac:dyDescent="0.25">
      <c r="A890" s="128" t="s">
        <v>575</v>
      </c>
      <c r="B890" s="129" t="s">
        <v>245</v>
      </c>
      <c r="C890" s="59">
        <v>7659</v>
      </c>
      <c r="D890" s="63">
        <v>23680</v>
      </c>
      <c r="E890" s="50"/>
      <c r="F890" s="50"/>
      <c r="G890" s="50"/>
      <c r="H890" s="50"/>
      <c r="I890" s="50"/>
      <c r="J890" s="50"/>
      <c r="K890" s="50"/>
      <c r="L890" s="50"/>
      <c r="M890" s="50"/>
      <c r="N890" s="50"/>
      <c r="O890" s="50"/>
      <c r="P890" s="50"/>
      <c r="Q890" s="50"/>
      <c r="R890" s="50"/>
    </row>
    <row r="891" spans="1:18" x14ac:dyDescent="0.25">
      <c r="A891" s="150" t="s">
        <v>576</v>
      </c>
      <c r="B891" s="154" t="s">
        <v>468</v>
      </c>
      <c r="C891" s="50">
        <v>51000</v>
      </c>
      <c r="D891" s="50">
        <v>0</v>
      </c>
      <c r="E891" s="50">
        <v>0</v>
      </c>
      <c r="F891" s="50">
        <v>0</v>
      </c>
      <c r="G891" s="50">
        <v>0</v>
      </c>
      <c r="H891" s="50">
        <v>0</v>
      </c>
      <c r="I891" s="50">
        <v>0</v>
      </c>
      <c r="J891" s="50">
        <v>0</v>
      </c>
      <c r="K891" s="50">
        <v>0</v>
      </c>
      <c r="L891" s="50">
        <v>0</v>
      </c>
      <c r="M891" s="50">
        <v>0</v>
      </c>
      <c r="N891" s="50">
        <v>0</v>
      </c>
      <c r="O891" s="50">
        <v>0</v>
      </c>
      <c r="P891" s="50">
        <v>0</v>
      </c>
      <c r="Q891" s="50">
        <v>0</v>
      </c>
      <c r="R891" s="50">
        <v>0</v>
      </c>
    </row>
    <row r="892" spans="1:18" x14ac:dyDescent="0.25">
      <c r="A892" s="150" t="s">
        <v>577</v>
      </c>
      <c r="B892" s="127" t="s">
        <v>468</v>
      </c>
      <c r="C892" s="50"/>
      <c r="D892" s="50">
        <v>0</v>
      </c>
      <c r="E892" s="50">
        <v>0</v>
      </c>
      <c r="F892" s="50">
        <v>0</v>
      </c>
      <c r="G892" s="50">
        <v>0</v>
      </c>
      <c r="H892" s="50">
        <v>0</v>
      </c>
      <c r="I892" s="50">
        <v>0</v>
      </c>
      <c r="J892" s="50">
        <v>0</v>
      </c>
      <c r="K892" s="50">
        <v>0</v>
      </c>
      <c r="L892" s="50">
        <v>0</v>
      </c>
      <c r="M892" s="50">
        <v>0</v>
      </c>
      <c r="N892" s="50">
        <v>0</v>
      </c>
      <c r="O892" s="50">
        <v>0</v>
      </c>
      <c r="P892" s="50">
        <v>0</v>
      </c>
      <c r="Q892" s="50">
        <v>0</v>
      </c>
      <c r="R892" s="50">
        <v>0</v>
      </c>
    </row>
    <row r="893" spans="1:18" x14ac:dyDescent="0.25">
      <c r="A893" s="150" t="s">
        <v>578</v>
      </c>
      <c r="B893" s="127" t="s">
        <v>468</v>
      </c>
      <c r="C893" s="59"/>
      <c r="D893" s="50"/>
      <c r="E893" s="50"/>
      <c r="F893" s="50">
        <v>0</v>
      </c>
      <c r="G893" s="50">
        <v>0</v>
      </c>
      <c r="H893" s="50">
        <v>0</v>
      </c>
      <c r="I893" s="50">
        <v>0</v>
      </c>
      <c r="J893" s="50">
        <v>0</v>
      </c>
      <c r="K893" s="50">
        <v>0</v>
      </c>
      <c r="L893" s="50">
        <v>0</v>
      </c>
      <c r="M893" s="50">
        <v>0</v>
      </c>
      <c r="N893" s="50">
        <v>0</v>
      </c>
      <c r="O893" s="50">
        <v>0</v>
      </c>
      <c r="P893" s="50">
        <v>0</v>
      </c>
      <c r="Q893" s="50">
        <v>0</v>
      </c>
      <c r="R893" s="50">
        <v>0</v>
      </c>
    </row>
    <row r="894" spans="1:18" x14ac:dyDescent="0.25">
      <c r="A894" s="91" t="s">
        <v>579</v>
      </c>
      <c r="B894" s="84" t="s">
        <v>317</v>
      </c>
      <c r="C894" s="50">
        <v>19444</v>
      </c>
      <c r="D894" s="85">
        <v>6151</v>
      </c>
      <c r="E894" s="50"/>
      <c r="F894" s="50"/>
      <c r="G894" s="50"/>
      <c r="H894" s="50"/>
      <c r="I894" s="50"/>
      <c r="J894" s="50"/>
      <c r="K894" s="50"/>
      <c r="L894" s="50"/>
      <c r="M894" s="50"/>
      <c r="N894" s="50"/>
      <c r="O894" s="50">
        <v>0</v>
      </c>
      <c r="P894" s="50">
        <v>0</v>
      </c>
      <c r="Q894" s="50">
        <v>0</v>
      </c>
      <c r="R894" s="50">
        <v>0</v>
      </c>
    </row>
    <row r="895" spans="1:18" x14ac:dyDescent="0.25">
      <c r="A895" s="155" t="s">
        <v>580</v>
      </c>
      <c r="B895" s="156"/>
      <c r="C895" s="50"/>
      <c r="D895" s="50">
        <v>7533</v>
      </c>
      <c r="E895" s="50"/>
      <c r="F895" s="50"/>
      <c r="G895" s="50"/>
      <c r="H895" s="50"/>
      <c r="I895" s="50"/>
      <c r="J895" s="50"/>
      <c r="K895" s="50"/>
      <c r="L895" s="50"/>
      <c r="M895" s="50"/>
      <c r="N895" s="50"/>
      <c r="O895" s="50"/>
      <c r="P895" s="50"/>
      <c r="Q895" s="50"/>
      <c r="R895" s="50"/>
    </row>
    <row r="896" spans="1:18" s="43" customFormat="1" x14ac:dyDescent="0.25">
      <c r="A896" s="92" t="s">
        <v>581</v>
      </c>
      <c r="B896" s="96" t="s">
        <v>330</v>
      </c>
      <c r="C896" s="50"/>
      <c r="D896" s="50"/>
      <c r="E896" s="50"/>
      <c r="F896" s="50"/>
      <c r="G896" s="50"/>
      <c r="H896" s="50"/>
      <c r="I896" s="50"/>
      <c r="J896" s="50"/>
      <c r="K896" s="50"/>
      <c r="L896" s="50"/>
      <c r="M896" s="50"/>
      <c r="N896" s="50"/>
    </row>
    <row r="897" spans="1:18" s="43" customFormat="1" x14ac:dyDescent="0.25">
      <c r="A897" s="92" t="s">
        <v>581</v>
      </c>
      <c r="B897" s="96" t="s">
        <v>323</v>
      </c>
      <c r="C897" s="50"/>
      <c r="D897" s="50"/>
      <c r="E897" s="50"/>
      <c r="F897" s="50"/>
      <c r="G897" s="50"/>
      <c r="H897" s="50"/>
      <c r="I897" s="50"/>
      <c r="J897" s="50"/>
      <c r="K897" s="50"/>
      <c r="L897" s="50"/>
      <c r="M897" s="89">
        <v>45000</v>
      </c>
      <c r="N897" s="50"/>
    </row>
    <row r="898" spans="1:18" x14ac:dyDescent="0.25">
      <c r="A898" s="91" t="s">
        <v>582</v>
      </c>
      <c r="B898" s="84" t="s">
        <v>317</v>
      </c>
      <c r="C898" s="50"/>
      <c r="D898" s="50"/>
      <c r="E898" s="85">
        <v>33563</v>
      </c>
      <c r="F898" s="50">
        <v>27453</v>
      </c>
      <c r="G898" s="50">
        <v>15694</v>
      </c>
      <c r="H898" s="50"/>
      <c r="I898" s="50"/>
      <c r="J898" s="50"/>
      <c r="K898" s="50"/>
      <c r="L898" s="50"/>
      <c r="M898" s="50"/>
      <c r="N898" s="50"/>
      <c r="O898" s="50">
        <v>0</v>
      </c>
      <c r="P898" s="50">
        <v>0</v>
      </c>
      <c r="Q898" s="50">
        <v>0</v>
      </c>
      <c r="R898" s="50">
        <v>0</v>
      </c>
    </row>
    <row r="899" spans="1:18" x14ac:dyDescent="0.25">
      <c r="A899" s="91" t="s">
        <v>583</v>
      </c>
      <c r="B899" s="84" t="s">
        <v>317</v>
      </c>
      <c r="C899" s="50"/>
      <c r="D899" s="50"/>
      <c r="E899" s="50"/>
      <c r="F899" s="50">
        <v>24375</v>
      </c>
      <c r="G899" s="50"/>
      <c r="H899" s="50"/>
      <c r="I899" s="50"/>
      <c r="J899" s="50"/>
      <c r="K899" s="50"/>
      <c r="L899" s="50"/>
      <c r="M899" s="50"/>
      <c r="N899" s="50"/>
      <c r="O899" s="50"/>
      <c r="P899" s="50"/>
      <c r="Q899" s="50"/>
      <c r="R899" s="50"/>
    </row>
    <row r="900" spans="1:18" x14ac:dyDescent="0.25">
      <c r="A900" s="91" t="s">
        <v>584</v>
      </c>
      <c r="B900" s="84" t="s">
        <v>317</v>
      </c>
      <c r="C900" s="50"/>
      <c r="D900" s="50"/>
      <c r="E900" s="85">
        <v>23403</v>
      </c>
      <c r="F900" s="50"/>
      <c r="G900" s="50"/>
      <c r="H900" s="50"/>
      <c r="I900" s="50"/>
      <c r="J900" s="50"/>
      <c r="K900" s="50"/>
      <c r="L900" s="50"/>
      <c r="M900" s="50"/>
      <c r="N900" s="50"/>
      <c r="O900" s="50"/>
      <c r="P900" s="50"/>
      <c r="Q900" s="50"/>
      <c r="R900" s="50"/>
    </row>
    <row r="901" spans="1:18" x14ac:dyDescent="0.25">
      <c r="A901" s="146" t="s">
        <v>460</v>
      </c>
      <c r="B901" s="129" t="s">
        <v>245</v>
      </c>
      <c r="C901" s="50"/>
      <c r="D901" s="50"/>
      <c r="E901" s="63">
        <v>61733</v>
      </c>
      <c r="F901" s="50"/>
      <c r="G901" s="63">
        <v>0</v>
      </c>
      <c r="H901" s="63">
        <v>30000</v>
      </c>
      <c r="I901" s="50"/>
      <c r="J901" s="50"/>
      <c r="K901" s="50"/>
      <c r="L901" s="50"/>
      <c r="M901" s="50"/>
      <c r="N901" s="50"/>
    </row>
    <row r="902" spans="1:18" s="43" customFormat="1" x14ac:dyDescent="0.25">
      <c r="A902" s="52" t="s">
        <v>585</v>
      </c>
      <c r="B902" s="53"/>
      <c r="C902" s="50"/>
      <c r="D902" s="50">
        <v>5924</v>
      </c>
      <c r="E902" s="50">
        <v>7227</v>
      </c>
      <c r="F902" s="50"/>
      <c r="G902" s="50"/>
      <c r="H902" s="50"/>
      <c r="I902" s="50"/>
      <c r="J902" s="50"/>
      <c r="K902" s="50"/>
      <c r="L902" s="50"/>
      <c r="M902" s="50"/>
      <c r="N902" s="50"/>
    </row>
    <row r="903" spans="1:18" s="43" customFormat="1" x14ac:dyDescent="0.25">
      <c r="A903" s="92" t="s">
        <v>586</v>
      </c>
      <c r="B903" s="96" t="s">
        <v>323</v>
      </c>
      <c r="C903" s="50"/>
      <c r="D903" s="50"/>
      <c r="E903" s="50"/>
      <c r="F903" s="50"/>
      <c r="G903" s="50"/>
      <c r="H903" s="50"/>
      <c r="I903" s="50"/>
      <c r="J903" s="89">
        <v>25000</v>
      </c>
      <c r="K903" s="50"/>
      <c r="L903" s="50"/>
      <c r="M903" s="50"/>
      <c r="N903" s="50"/>
    </row>
    <row r="904" spans="1:18" x14ac:dyDescent="0.25">
      <c r="A904" s="146" t="s">
        <v>587</v>
      </c>
      <c r="B904" s="129" t="s">
        <v>245</v>
      </c>
      <c r="C904" s="50"/>
      <c r="D904" s="50"/>
      <c r="E904" s="50"/>
      <c r="F904" s="63"/>
      <c r="G904" s="63">
        <v>2680</v>
      </c>
      <c r="H904" s="50"/>
      <c r="I904" s="50"/>
      <c r="J904" s="50"/>
      <c r="K904" s="50"/>
      <c r="L904" s="50"/>
      <c r="M904" s="50"/>
      <c r="N904" s="50"/>
    </row>
    <row r="905" spans="1:18" s="43" customFormat="1" x14ac:dyDescent="0.25">
      <c r="A905" s="52" t="s">
        <v>588</v>
      </c>
      <c r="B905" s="53"/>
      <c r="C905" s="50"/>
      <c r="D905" s="157">
        <v>61020</v>
      </c>
      <c r="E905" s="50"/>
      <c r="F905" s="50"/>
      <c r="G905" s="50"/>
      <c r="H905" s="50"/>
      <c r="I905" s="50"/>
      <c r="J905" s="50"/>
      <c r="K905" s="50"/>
      <c r="L905" s="50"/>
      <c r="M905" s="50"/>
      <c r="N905" s="50"/>
    </row>
    <row r="906" spans="1:18" x14ac:dyDescent="0.25">
      <c r="A906" s="158" t="s">
        <v>589</v>
      </c>
      <c r="B906" s="159" t="s">
        <v>590</v>
      </c>
      <c r="C906" s="50">
        <v>24200</v>
      </c>
      <c r="D906" s="160"/>
      <c r="E906" s="160">
        <v>21120</v>
      </c>
      <c r="F906" s="50"/>
      <c r="G906" s="50"/>
      <c r="H906" s="160">
        <v>45256</v>
      </c>
      <c r="I906" s="50"/>
      <c r="J906" s="50"/>
      <c r="K906" s="160">
        <v>24439</v>
      </c>
      <c r="L906" s="50"/>
      <c r="M906" s="161">
        <v>25726</v>
      </c>
      <c r="N906" s="162">
        <v>52431</v>
      </c>
      <c r="O906" s="162">
        <v>52431</v>
      </c>
      <c r="P906" s="162">
        <v>52431</v>
      </c>
      <c r="Q906" s="162">
        <v>52431</v>
      </c>
      <c r="R906" s="162">
        <v>52431</v>
      </c>
    </row>
    <row r="907" spans="1:18" x14ac:dyDescent="0.25">
      <c r="A907" s="158" t="s">
        <v>591</v>
      </c>
      <c r="B907" s="159" t="s">
        <v>590</v>
      </c>
      <c r="C907" s="50"/>
      <c r="D907" s="160"/>
      <c r="E907" s="160"/>
      <c r="F907" s="50">
        <v>28128</v>
      </c>
      <c r="G907" s="50"/>
      <c r="H907" s="50"/>
      <c r="I907" s="50"/>
      <c r="J907" s="50"/>
      <c r="K907" s="160"/>
      <c r="L907" s="50"/>
      <c r="M907" s="161"/>
      <c r="N907" s="162"/>
      <c r="O907" s="162"/>
      <c r="P907" s="162"/>
      <c r="Q907" s="162"/>
      <c r="R907" s="162"/>
    </row>
    <row r="908" spans="1:18" s="43" customFormat="1" x14ac:dyDescent="0.25">
      <c r="A908" s="52" t="s">
        <v>591</v>
      </c>
      <c r="B908" s="53"/>
      <c r="C908" s="50"/>
      <c r="D908" s="50"/>
      <c r="E908" s="50"/>
      <c r="F908" s="50"/>
      <c r="G908" s="50"/>
      <c r="H908" s="50"/>
      <c r="I908" s="50"/>
      <c r="J908" s="50"/>
      <c r="K908" s="50"/>
      <c r="L908" s="50"/>
      <c r="M908" s="50"/>
    </row>
    <row r="909" spans="1:18" x14ac:dyDescent="0.25">
      <c r="A909" s="158" t="s">
        <v>592</v>
      </c>
      <c r="B909" s="159"/>
      <c r="C909" s="50"/>
      <c r="D909" s="160"/>
      <c r="E909" s="160"/>
      <c r="F909" s="50"/>
      <c r="G909" s="50"/>
      <c r="H909" s="50"/>
      <c r="I909" s="50"/>
      <c r="J909" s="50"/>
      <c r="K909" s="160"/>
      <c r="L909" s="50"/>
      <c r="M909" s="161"/>
      <c r="N909" s="162"/>
      <c r="O909" s="162"/>
      <c r="P909" s="162"/>
      <c r="Q909" s="162"/>
      <c r="R909" s="162"/>
    </row>
    <row r="910" spans="1:18" x14ac:dyDescent="0.25">
      <c r="A910" s="158" t="s">
        <v>593</v>
      </c>
      <c r="B910" s="159" t="s">
        <v>590</v>
      </c>
      <c r="C910" s="50"/>
      <c r="D910" s="160"/>
      <c r="E910" s="160">
        <v>4400</v>
      </c>
      <c r="F910" s="160">
        <v>0</v>
      </c>
      <c r="G910" s="160">
        <v>0</v>
      </c>
      <c r="H910" s="160">
        <v>2263</v>
      </c>
      <c r="I910" s="160">
        <v>2317</v>
      </c>
      <c r="J910" s="160">
        <v>4764</v>
      </c>
      <c r="K910" s="160">
        <v>2444</v>
      </c>
      <c r="L910" s="160">
        <v>2507</v>
      </c>
      <c r="M910" s="161">
        <v>5118</v>
      </c>
      <c r="N910" s="162">
        <v>2627</v>
      </c>
      <c r="O910" s="162">
        <v>2627</v>
      </c>
      <c r="P910" s="162">
        <v>2627</v>
      </c>
      <c r="Q910" s="162">
        <v>2627</v>
      </c>
      <c r="R910" s="162">
        <v>2627</v>
      </c>
    </row>
    <row r="911" spans="1:18" s="43" customFormat="1" x14ac:dyDescent="0.25">
      <c r="A911" s="158" t="s">
        <v>594</v>
      </c>
      <c r="B911" s="159" t="s">
        <v>590</v>
      </c>
      <c r="C911" s="50"/>
      <c r="D911" s="50"/>
      <c r="E911" s="160">
        <v>2200</v>
      </c>
      <c r="F911" s="50"/>
      <c r="G911" s="50"/>
      <c r="H911" s="50"/>
      <c r="I911" s="50"/>
      <c r="J911" s="50"/>
      <c r="K911" s="50"/>
      <c r="L911" s="50"/>
      <c r="M911" s="50"/>
      <c r="N911" s="50"/>
    </row>
    <row r="912" spans="1:18" s="43" customFormat="1" x14ac:dyDescent="0.25">
      <c r="A912" s="158" t="s">
        <v>595</v>
      </c>
      <c r="B912" s="159"/>
      <c r="C912" s="50"/>
      <c r="D912" s="50"/>
      <c r="E912" s="160"/>
      <c r="F912" s="50"/>
      <c r="G912" s="50"/>
      <c r="H912" s="50"/>
      <c r="I912" s="50"/>
      <c r="J912" s="50"/>
      <c r="K912" s="50"/>
      <c r="L912" s="50"/>
      <c r="M912" s="50"/>
      <c r="N912" s="50"/>
    </row>
    <row r="913" spans="1:18" s="43" customFormat="1" x14ac:dyDescent="0.25">
      <c r="A913" s="158" t="s">
        <v>596</v>
      </c>
      <c r="B913" s="159" t="s">
        <v>590</v>
      </c>
      <c r="C913" s="50"/>
      <c r="D913" s="50"/>
      <c r="E913" s="160">
        <v>0</v>
      </c>
      <c r="F913" s="50"/>
      <c r="G913" s="50"/>
      <c r="H913" s="50"/>
      <c r="I913" s="50"/>
      <c r="J913" s="50"/>
      <c r="K913" s="50"/>
      <c r="L913" s="50"/>
      <c r="M913" s="50"/>
      <c r="N913" s="50"/>
    </row>
    <row r="914" spans="1:18" s="43" customFormat="1" x14ac:dyDescent="0.25">
      <c r="A914" s="92" t="s">
        <v>597</v>
      </c>
      <c r="B914" s="96" t="s">
        <v>330</v>
      </c>
      <c r="C914" s="50"/>
      <c r="D914" s="50"/>
      <c r="E914" s="50"/>
      <c r="F914" s="50"/>
      <c r="G914" s="50"/>
      <c r="H914" s="50"/>
      <c r="I914" s="50"/>
      <c r="J914" s="50"/>
      <c r="K914" s="50"/>
      <c r="L914" s="50"/>
      <c r="M914" s="50"/>
      <c r="N914" s="50"/>
    </row>
    <row r="915" spans="1:18" s="43" customFormat="1" x14ac:dyDescent="0.25">
      <c r="A915" s="153" t="s">
        <v>598</v>
      </c>
      <c r="B915" s="96" t="s">
        <v>323</v>
      </c>
      <c r="C915" s="50"/>
      <c r="D915" s="50"/>
      <c r="E915" s="50"/>
      <c r="F915" s="50"/>
      <c r="G915" s="50"/>
      <c r="H915" s="50"/>
      <c r="I915" s="50"/>
      <c r="J915" s="89">
        <v>150000</v>
      </c>
      <c r="K915" s="89">
        <v>50000</v>
      </c>
      <c r="L915" s="50"/>
      <c r="M915" s="50"/>
      <c r="N915" s="50"/>
    </row>
    <row r="916" spans="1:18" s="43" customFormat="1" x14ac:dyDescent="0.25">
      <c r="A916" s="153" t="s">
        <v>599</v>
      </c>
      <c r="B916" s="96" t="s">
        <v>323</v>
      </c>
      <c r="C916" s="50"/>
      <c r="D916" s="50"/>
      <c r="E916" s="50"/>
      <c r="F916" s="50"/>
      <c r="G916" s="50"/>
      <c r="H916" s="50"/>
      <c r="I916" s="50"/>
      <c r="J916" s="89">
        <v>100000</v>
      </c>
      <c r="K916" s="50"/>
      <c r="L916" s="50"/>
      <c r="M916" s="50"/>
      <c r="N916" s="50"/>
    </row>
    <row r="917" spans="1:18" s="43" customFormat="1" x14ac:dyDescent="0.25">
      <c r="A917" s="153" t="s">
        <v>600</v>
      </c>
      <c r="B917" s="96" t="s">
        <v>323</v>
      </c>
      <c r="C917" s="50"/>
      <c r="D917" s="50"/>
      <c r="E917" s="50"/>
      <c r="F917" s="50"/>
      <c r="G917" s="50"/>
      <c r="H917" s="50"/>
      <c r="I917" s="50"/>
      <c r="J917" s="50"/>
      <c r="K917" s="50"/>
      <c r="L917" s="89">
        <v>25000</v>
      </c>
      <c r="M917" s="50"/>
      <c r="N917" s="50"/>
    </row>
    <row r="918" spans="1:18" s="43" customFormat="1" x14ac:dyDescent="0.25">
      <c r="A918" s="153" t="s">
        <v>601</v>
      </c>
      <c r="B918" s="96" t="s">
        <v>323</v>
      </c>
      <c r="C918" s="50"/>
      <c r="D918" s="50"/>
      <c r="E918" s="50"/>
      <c r="F918" s="50"/>
      <c r="G918" s="50"/>
      <c r="H918" s="50"/>
      <c r="I918" s="50"/>
      <c r="J918" s="50"/>
      <c r="K918" s="89">
        <v>60000</v>
      </c>
      <c r="L918" s="50"/>
      <c r="M918" s="50"/>
      <c r="N918" s="50"/>
      <c r="O918" s="89">
        <v>40000</v>
      </c>
      <c r="P918" s="149">
        <v>20000</v>
      </c>
      <c r="Q918" s="149">
        <v>20000</v>
      </c>
    </row>
    <row r="919" spans="1:18" s="43" customFormat="1" x14ac:dyDescent="0.25">
      <c r="A919" s="52" t="s">
        <v>602</v>
      </c>
      <c r="B919" s="53"/>
      <c r="C919" s="59"/>
      <c r="D919" s="50"/>
      <c r="E919" s="50"/>
      <c r="F919" s="50"/>
      <c r="G919" s="50"/>
      <c r="H919" s="50"/>
      <c r="I919" s="50"/>
      <c r="J919" s="50"/>
      <c r="K919" s="50"/>
      <c r="L919" s="50"/>
      <c r="M919" s="50"/>
      <c r="N919" s="50"/>
    </row>
    <row r="920" spans="1:18" s="43" customFormat="1" x14ac:dyDescent="0.25">
      <c r="A920" s="61" t="s">
        <v>589</v>
      </c>
      <c r="B920" s="53"/>
      <c r="C920" s="59"/>
      <c r="D920" s="50"/>
      <c r="E920" s="50"/>
      <c r="F920" s="50"/>
      <c r="G920" s="50"/>
      <c r="H920" s="63">
        <v>100000</v>
      </c>
      <c r="I920" s="50"/>
      <c r="J920" s="50"/>
      <c r="K920" s="50"/>
      <c r="L920" s="50"/>
      <c r="M920" s="50"/>
      <c r="N920" s="50"/>
    </row>
    <row r="921" spans="1:18" x14ac:dyDescent="0.25">
      <c r="A921" s="52" t="s">
        <v>603</v>
      </c>
      <c r="B921" s="53"/>
      <c r="C921" s="50"/>
      <c r="D921" s="50"/>
      <c r="E921" s="50"/>
      <c r="F921" s="50"/>
      <c r="G921" s="50"/>
      <c r="H921" s="50"/>
      <c r="I921" s="50"/>
      <c r="J921" s="50"/>
      <c r="K921" s="50"/>
      <c r="L921" s="50"/>
      <c r="M921" s="50"/>
      <c r="N921" s="50"/>
    </row>
    <row r="922" spans="1:18" x14ac:dyDescent="0.25">
      <c r="A922" s="52" t="s">
        <v>604</v>
      </c>
      <c r="B922" s="53"/>
      <c r="C922" s="50"/>
      <c r="D922" s="50">
        <v>0</v>
      </c>
      <c r="E922" s="50">
        <v>0</v>
      </c>
      <c r="F922" s="50">
        <v>0</v>
      </c>
      <c r="G922" s="50">
        <v>0</v>
      </c>
      <c r="H922" s="50">
        <v>0</v>
      </c>
      <c r="I922" s="50">
        <v>0</v>
      </c>
      <c r="J922" s="50">
        <v>0</v>
      </c>
      <c r="K922" s="50">
        <v>0</v>
      </c>
      <c r="L922" s="50">
        <v>0</v>
      </c>
      <c r="M922" s="50">
        <v>0</v>
      </c>
      <c r="N922" s="50">
        <v>0</v>
      </c>
      <c r="O922" s="50">
        <v>0</v>
      </c>
      <c r="P922" s="50">
        <v>0</v>
      </c>
      <c r="Q922" s="50">
        <v>0</v>
      </c>
      <c r="R922" s="50">
        <v>0</v>
      </c>
    </row>
    <row r="923" spans="1:18" x14ac:dyDescent="0.25">
      <c r="A923" s="91" t="s">
        <v>605</v>
      </c>
      <c r="B923" s="84" t="s">
        <v>317</v>
      </c>
      <c r="C923" s="50"/>
      <c r="D923" s="50"/>
      <c r="E923" s="85">
        <v>410</v>
      </c>
      <c r="F923" s="50"/>
      <c r="G923" s="50"/>
      <c r="H923" s="50"/>
      <c r="I923" s="50"/>
      <c r="J923" s="50"/>
      <c r="K923" s="50"/>
      <c r="L923" s="50"/>
      <c r="M923" s="50"/>
      <c r="N923" s="50"/>
    </row>
    <row r="924" spans="1:18" x14ac:dyDescent="0.25">
      <c r="A924" s="52" t="s">
        <v>606</v>
      </c>
      <c r="B924" s="53"/>
      <c r="C924" s="50"/>
      <c r="D924" s="50"/>
      <c r="E924" s="50"/>
      <c r="F924" s="50"/>
      <c r="G924" s="50"/>
      <c r="H924" s="50"/>
      <c r="I924" s="50"/>
      <c r="J924" s="50"/>
      <c r="K924" s="50"/>
      <c r="L924" s="50"/>
      <c r="M924" s="50"/>
      <c r="N924" s="50"/>
    </row>
    <row r="925" spans="1:18" x14ac:dyDescent="0.25">
      <c r="A925" s="52" t="s">
        <v>607</v>
      </c>
      <c r="B925" s="53"/>
      <c r="C925" s="50"/>
      <c r="D925" s="50">
        <v>0</v>
      </c>
      <c r="E925" s="50">
        <v>0</v>
      </c>
      <c r="F925" s="50">
        <v>0</v>
      </c>
      <c r="G925" s="50">
        <v>0</v>
      </c>
      <c r="H925" s="50">
        <v>0</v>
      </c>
      <c r="I925" s="50">
        <v>0</v>
      </c>
      <c r="J925" s="50">
        <v>0</v>
      </c>
      <c r="K925" s="50">
        <v>0</v>
      </c>
      <c r="L925" s="50">
        <v>0</v>
      </c>
      <c r="M925" s="50">
        <v>0</v>
      </c>
      <c r="N925" s="50">
        <v>0</v>
      </c>
      <c r="O925" s="50">
        <v>0</v>
      </c>
      <c r="P925" s="50">
        <v>0</v>
      </c>
      <c r="Q925" s="50">
        <v>0</v>
      </c>
      <c r="R925" s="50">
        <v>0</v>
      </c>
    </row>
    <row r="926" spans="1:18" x14ac:dyDescent="0.25">
      <c r="A926" s="150" t="s">
        <v>608</v>
      </c>
      <c r="B926" s="136" t="s">
        <v>317</v>
      </c>
      <c r="C926" s="50">
        <v>19175</v>
      </c>
      <c r="D926" s="50">
        <v>0</v>
      </c>
      <c r="E926" s="50">
        <v>0</v>
      </c>
      <c r="F926" s="50">
        <v>0</v>
      </c>
      <c r="G926" s="50">
        <v>0</v>
      </c>
      <c r="H926" s="50">
        <v>0</v>
      </c>
      <c r="I926" s="50">
        <v>0</v>
      </c>
      <c r="J926" s="50">
        <v>0</v>
      </c>
      <c r="K926" s="50">
        <v>0</v>
      </c>
      <c r="L926" s="50">
        <v>0</v>
      </c>
      <c r="M926" s="50">
        <v>0</v>
      </c>
      <c r="N926" s="50"/>
    </row>
    <row r="927" spans="1:18" s="43" customFormat="1" x14ac:dyDescent="0.25">
      <c r="A927" s="97" t="s">
        <v>609</v>
      </c>
      <c r="B927" s="96" t="s">
        <v>330</v>
      </c>
      <c r="C927" s="50"/>
      <c r="D927" s="50"/>
      <c r="E927" s="50"/>
      <c r="F927" s="50"/>
      <c r="G927" s="50"/>
      <c r="H927" s="50"/>
      <c r="I927" s="50"/>
      <c r="J927" s="50"/>
      <c r="K927" s="50"/>
      <c r="L927" s="50"/>
      <c r="M927" s="50"/>
      <c r="N927" s="50"/>
    </row>
    <row r="928" spans="1:18" s="43" customFormat="1" x14ac:dyDescent="0.25">
      <c r="A928" s="87" t="s">
        <v>610</v>
      </c>
      <c r="B928" s="96" t="s">
        <v>323</v>
      </c>
      <c r="C928" s="50"/>
      <c r="D928" s="50"/>
      <c r="E928" s="50"/>
      <c r="F928" s="50"/>
      <c r="G928" s="50"/>
      <c r="H928" s="50"/>
      <c r="I928" s="95">
        <v>15000</v>
      </c>
      <c r="J928" s="50"/>
      <c r="K928" s="50"/>
      <c r="L928" s="50"/>
      <c r="M928" s="50"/>
      <c r="N928" s="50"/>
      <c r="O928" s="50"/>
      <c r="P928" s="149">
        <v>15000</v>
      </c>
    </row>
    <row r="929" spans="1:18" s="43" customFormat="1" x14ac:dyDescent="0.25">
      <c r="A929" s="87" t="s">
        <v>611</v>
      </c>
      <c r="B929" s="96" t="s">
        <v>323</v>
      </c>
      <c r="C929" s="50"/>
      <c r="D929" s="50"/>
      <c r="E929" s="50"/>
      <c r="F929" s="50"/>
      <c r="G929" s="50"/>
      <c r="H929" s="50"/>
      <c r="I929" s="50"/>
      <c r="J929" s="89">
        <v>35000</v>
      </c>
      <c r="K929" s="50"/>
      <c r="L929" s="50"/>
      <c r="M929" s="50"/>
      <c r="N929" s="89">
        <v>25000</v>
      </c>
    </row>
    <row r="930" spans="1:18" s="43" customFormat="1" x14ac:dyDescent="0.25">
      <c r="A930" s="153" t="s">
        <v>612</v>
      </c>
      <c r="B930" s="96" t="s">
        <v>323</v>
      </c>
      <c r="C930" s="50"/>
      <c r="D930" s="50"/>
      <c r="E930" s="50"/>
      <c r="F930" s="50"/>
      <c r="G930" s="50"/>
      <c r="H930" s="50"/>
      <c r="I930" s="50"/>
      <c r="J930" s="50"/>
      <c r="K930" s="50"/>
      <c r="L930" s="50"/>
      <c r="M930" s="50"/>
      <c r="N930" s="89">
        <v>200000</v>
      </c>
    </row>
    <row r="931" spans="1:18" x14ac:dyDescent="0.25">
      <c r="A931" s="41" t="s">
        <v>613</v>
      </c>
      <c r="B931" s="44"/>
      <c r="C931" s="50"/>
      <c r="D931" s="50"/>
      <c r="E931" s="50"/>
      <c r="F931" s="50"/>
      <c r="G931" s="50"/>
      <c r="H931" s="50"/>
      <c r="I931" s="50"/>
      <c r="J931" s="50"/>
      <c r="K931" s="50"/>
      <c r="L931" s="50"/>
      <c r="M931" s="50"/>
      <c r="N931" s="50"/>
    </row>
    <row r="932" spans="1:18" x14ac:dyDescent="0.25">
      <c r="A932" s="91" t="s">
        <v>614</v>
      </c>
      <c r="B932" s="163" t="s">
        <v>317</v>
      </c>
      <c r="C932" s="50"/>
      <c r="D932" s="50">
        <v>0</v>
      </c>
      <c r="E932" s="50">
        <v>0</v>
      </c>
      <c r="F932" s="50">
        <v>0</v>
      </c>
      <c r="G932" s="50">
        <v>0</v>
      </c>
      <c r="H932" s="50">
        <v>0</v>
      </c>
      <c r="I932" s="50">
        <v>0</v>
      </c>
      <c r="J932" s="50">
        <v>0</v>
      </c>
      <c r="K932" s="50">
        <v>0</v>
      </c>
      <c r="L932" s="50">
        <v>0</v>
      </c>
      <c r="M932" s="50">
        <v>0</v>
      </c>
      <c r="N932" s="50">
        <v>0</v>
      </c>
    </row>
    <row r="933" spans="1:18" x14ac:dyDescent="0.25">
      <c r="A933" s="91" t="s">
        <v>400</v>
      </c>
      <c r="B933" s="163" t="s">
        <v>317</v>
      </c>
      <c r="C933" s="50">
        <v>4670</v>
      </c>
      <c r="D933" s="50">
        <v>0</v>
      </c>
      <c r="E933" s="50">
        <v>0</v>
      </c>
      <c r="F933" s="50">
        <v>0</v>
      </c>
      <c r="G933" s="50">
        <v>0</v>
      </c>
      <c r="H933" s="50">
        <v>0</v>
      </c>
      <c r="I933" s="50">
        <v>0</v>
      </c>
      <c r="J933" s="50">
        <v>0</v>
      </c>
      <c r="K933" s="50">
        <v>0</v>
      </c>
      <c r="L933" s="50">
        <v>0</v>
      </c>
      <c r="M933" s="50">
        <v>0</v>
      </c>
      <c r="N933" s="50"/>
    </row>
    <row r="934" spans="1:18" x14ac:dyDescent="0.25">
      <c r="A934" s="91" t="s">
        <v>615</v>
      </c>
      <c r="B934" s="163" t="s">
        <v>317</v>
      </c>
      <c r="C934" s="50"/>
      <c r="D934" s="50"/>
      <c r="E934" s="50"/>
      <c r="F934" s="50">
        <v>21820</v>
      </c>
      <c r="G934" s="50"/>
      <c r="H934" s="50"/>
      <c r="I934" s="50"/>
      <c r="J934" s="50"/>
      <c r="K934" s="50"/>
      <c r="L934" s="50"/>
      <c r="M934" s="50"/>
      <c r="N934" s="50"/>
    </row>
    <row r="935" spans="1:18" s="43" customFormat="1" x14ac:dyDescent="0.25">
      <c r="A935" s="93" t="s">
        <v>616</v>
      </c>
      <c r="B935" s="96" t="s">
        <v>330</v>
      </c>
      <c r="C935" s="50"/>
      <c r="D935" s="50"/>
      <c r="E935" s="50"/>
      <c r="F935" s="50"/>
      <c r="G935" s="50"/>
      <c r="H935" s="50"/>
      <c r="I935" s="50"/>
      <c r="J935" s="50"/>
      <c r="K935" s="50"/>
      <c r="L935" s="50"/>
      <c r="M935" s="50"/>
      <c r="N935" s="50"/>
    </row>
    <row r="936" spans="1:18" s="43" customFormat="1" x14ac:dyDescent="0.25">
      <c r="A936" s="92" t="s">
        <v>617</v>
      </c>
      <c r="B936" s="96" t="s">
        <v>330</v>
      </c>
      <c r="C936" s="59"/>
      <c r="D936" s="50"/>
      <c r="E936" s="50"/>
      <c r="F936" s="50"/>
      <c r="G936" s="50"/>
      <c r="H936" s="50"/>
      <c r="I936" s="50"/>
      <c r="J936" s="50"/>
      <c r="K936" s="50"/>
      <c r="L936" s="50"/>
      <c r="M936" s="50"/>
      <c r="N936" s="50"/>
      <c r="O936" s="50"/>
      <c r="P936" s="50"/>
      <c r="Q936" s="50"/>
      <c r="R936" s="50"/>
    </row>
    <row r="937" spans="1:18" s="43" customFormat="1" x14ac:dyDescent="0.25">
      <c r="A937" s="87" t="s">
        <v>322</v>
      </c>
      <c r="B937" s="96" t="s">
        <v>323</v>
      </c>
      <c r="C937" s="59"/>
      <c r="D937" s="50"/>
      <c r="E937" s="50"/>
      <c r="F937" s="50"/>
      <c r="G937" s="50"/>
      <c r="H937" s="50"/>
      <c r="I937" s="50"/>
      <c r="J937" s="50"/>
      <c r="K937" s="50"/>
      <c r="L937" s="50"/>
      <c r="M937" s="50"/>
      <c r="N937" s="50"/>
      <c r="O937" s="89">
        <v>20000</v>
      </c>
      <c r="P937" s="50"/>
      <c r="Q937" s="50"/>
      <c r="R937" s="50"/>
    </row>
    <row r="938" spans="1:18" s="43" customFormat="1" x14ac:dyDescent="0.25">
      <c r="A938" s="87" t="s">
        <v>618</v>
      </c>
      <c r="B938" s="96" t="s">
        <v>323</v>
      </c>
      <c r="C938" s="59"/>
      <c r="D938" s="50"/>
      <c r="E938" s="50"/>
      <c r="F938" s="50"/>
      <c r="G938" s="50"/>
      <c r="H938" s="50"/>
      <c r="I938" s="50"/>
      <c r="J938" s="50"/>
      <c r="K938" s="50"/>
      <c r="L938" s="50"/>
      <c r="M938" s="50"/>
      <c r="N938" s="50"/>
      <c r="O938" s="50"/>
      <c r="P938" s="50"/>
      <c r="Q938" s="50"/>
      <c r="R938" s="89">
        <v>100000</v>
      </c>
    </row>
    <row r="939" spans="1:18" s="43" customFormat="1" x14ac:dyDescent="0.25">
      <c r="A939" s="87" t="s">
        <v>324</v>
      </c>
      <c r="B939" s="96" t="s">
        <v>323</v>
      </c>
      <c r="C939" s="59"/>
      <c r="D939" s="50"/>
      <c r="E939" s="50"/>
      <c r="F939" s="50"/>
      <c r="G939" s="50"/>
      <c r="H939" s="50"/>
      <c r="I939" s="50"/>
      <c r="J939" s="50"/>
      <c r="K939" s="50"/>
      <c r="L939" s="89">
        <v>25000</v>
      </c>
      <c r="M939" s="50"/>
      <c r="N939" s="50"/>
      <c r="O939" s="50"/>
      <c r="P939" s="89">
        <v>25000</v>
      </c>
      <c r="Q939" s="50"/>
      <c r="R939" s="50"/>
    </row>
    <row r="940" spans="1:18" s="43" customFormat="1" x14ac:dyDescent="0.25">
      <c r="A940" s="91" t="s">
        <v>619</v>
      </c>
      <c r="B940" s="163" t="s">
        <v>317</v>
      </c>
      <c r="C940" s="59"/>
      <c r="D940" s="50"/>
      <c r="E940" s="50"/>
      <c r="F940" s="50"/>
      <c r="G940" s="50"/>
      <c r="H940" s="50"/>
      <c r="I940" s="50"/>
      <c r="J940" s="50"/>
      <c r="K940" s="50"/>
      <c r="L940" s="50"/>
      <c r="M940" s="50"/>
      <c r="N940" s="50">
        <v>0</v>
      </c>
    </row>
    <row r="941" spans="1:18" x14ac:dyDescent="0.25">
      <c r="A941" s="43" t="s">
        <v>620</v>
      </c>
      <c r="C941" s="50"/>
      <c r="D941" s="50"/>
      <c r="E941" s="50"/>
      <c r="F941" s="50"/>
      <c r="G941" s="50"/>
      <c r="H941" s="50"/>
      <c r="I941" s="50"/>
      <c r="J941" s="50"/>
      <c r="K941" s="50"/>
      <c r="L941" s="50"/>
      <c r="M941" s="50"/>
      <c r="N941" s="50"/>
    </row>
    <row r="942" spans="1:18" x14ac:dyDescent="0.25">
      <c r="A942" s="43" t="s">
        <v>621</v>
      </c>
      <c r="C942" s="50"/>
      <c r="D942" s="50">
        <v>0</v>
      </c>
      <c r="E942" s="50">
        <v>0</v>
      </c>
      <c r="F942" s="50">
        <v>0</v>
      </c>
      <c r="G942" s="50">
        <v>0</v>
      </c>
      <c r="H942" s="50">
        <v>0</v>
      </c>
      <c r="I942" s="50">
        <v>0</v>
      </c>
      <c r="J942" s="50">
        <v>0</v>
      </c>
      <c r="K942" s="50">
        <v>0</v>
      </c>
      <c r="L942" s="50">
        <v>0</v>
      </c>
      <c r="M942" s="50">
        <v>0</v>
      </c>
      <c r="N942" s="50">
        <v>0</v>
      </c>
      <c r="O942" s="50"/>
      <c r="P942" s="50"/>
      <c r="Q942" s="50"/>
      <c r="R942" s="50"/>
    </row>
    <row r="943" spans="1:18" x14ac:dyDescent="0.25">
      <c r="A943" s="64" t="s">
        <v>622</v>
      </c>
      <c r="B943" s="164" t="s">
        <v>245</v>
      </c>
      <c r="C943" s="50">
        <v>59932</v>
      </c>
      <c r="D943" s="50"/>
      <c r="E943" s="50"/>
      <c r="F943" s="63"/>
      <c r="G943" s="50"/>
      <c r="H943" s="50"/>
      <c r="I943" s="50"/>
      <c r="J943" s="50"/>
      <c r="K943" s="50"/>
      <c r="L943" s="50"/>
      <c r="M943" s="50"/>
      <c r="N943" s="50"/>
    </row>
    <row r="944" spans="1:18" x14ac:dyDescent="0.25">
      <c r="A944" s="128" t="s">
        <v>623</v>
      </c>
      <c r="B944" s="165" t="s">
        <v>245</v>
      </c>
      <c r="C944" s="50"/>
      <c r="D944" s="50"/>
      <c r="E944" s="50"/>
      <c r="F944" s="50"/>
      <c r="G944" s="63">
        <v>0</v>
      </c>
      <c r="H944" s="166"/>
      <c r="I944" s="166"/>
      <c r="J944" s="50"/>
      <c r="K944" s="50"/>
      <c r="L944" s="50"/>
      <c r="M944" s="50"/>
      <c r="N944" s="50"/>
    </row>
    <row r="945" spans="1:18" x14ac:dyDescent="0.25">
      <c r="A945" s="43" t="s">
        <v>624</v>
      </c>
      <c r="C945" s="50"/>
      <c r="D945" s="50">
        <v>0</v>
      </c>
      <c r="E945" s="50">
        <v>0</v>
      </c>
      <c r="F945" s="50">
        <v>0</v>
      </c>
      <c r="G945" s="50">
        <v>0</v>
      </c>
      <c r="H945" s="50">
        <v>0</v>
      </c>
      <c r="I945" s="50">
        <v>0</v>
      </c>
      <c r="J945" s="50">
        <v>0</v>
      </c>
      <c r="K945" s="50">
        <v>0</v>
      </c>
      <c r="L945" s="50">
        <v>0</v>
      </c>
      <c r="M945" s="50">
        <v>0</v>
      </c>
      <c r="N945" s="50">
        <v>0</v>
      </c>
    </row>
    <row r="946" spans="1:18" x14ac:dyDescent="0.25">
      <c r="A946" s="43" t="s">
        <v>625</v>
      </c>
      <c r="B946" s="165" t="s">
        <v>626</v>
      </c>
      <c r="C946" s="50">
        <v>97973</v>
      </c>
      <c r="D946" s="63">
        <v>322630</v>
      </c>
      <c r="E946" s="63">
        <v>140445</v>
      </c>
      <c r="F946" s="50">
        <v>0</v>
      </c>
      <c r="G946" s="50">
        <v>0</v>
      </c>
      <c r="H946" s="50">
        <v>0</v>
      </c>
      <c r="I946" s="50">
        <v>0</v>
      </c>
      <c r="J946" s="50">
        <v>0</v>
      </c>
      <c r="K946" s="50">
        <v>0</v>
      </c>
      <c r="L946" s="50">
        <v>0</v>
      </c>
      <c r="M946" s="50">
        <v>0</v>
      </c>
      <c r="N946" s="50">
        <v>0</v>
      </c>
    </row>
    <row r="947" spans="1:18" x14ac:dyDescent="0.25">
      <c r="A947" s="52" t="s">
        <v>627</v>
      </c>
      <c r="C947" s="68">
        <v>17700</v>
      </c>
      <c r="D947" s="50"/>
      <c r="E947" s="50"/>
      <c r="F947" s="50"/>
      <c r="G947" s="50"/>
      <c r="H947" s="50"/>
      <c r="I947" s="50"/>
      <c r="J947" s="50"/>
      <c r="K947" s="50"/>
      <c r="L947" s="50"/>
      <c r="M947" s="50"/>
      <c r="N947" s="50"/>
    </row>
    <row r="948" spans="1:18" x14ac:dyDescent="0.25">
      <c r="A948" s="91" t="s">
        <v>628</v>
      </c>
      <c r="B948" s="163" t="s">
        <v>317</v>
      </c>
      <c r="C948" s="68"/>
      <c r="D948" s="50"/>
      <c r="E948" s="50"/>
      <c r="F948" s="43">
        <v>13520</v>
      </c>
      <c r="G948" s="50"/>
      <c r="H948" s="50"/>
      <c r="I948" s="50"/>
      <c r="J948" s="50"/>
      <c r="K948" s="50"/>
      <c r="L948" s="50"/>
      <c r="M948" s="50"/>
      <c r="N948" s="50"/>
    </row>
    <row r="949" spans="1:18" x14ac:dyDescent="0.25">
      <c r="A949" s="61" t="s">
        <v>629</v>
      </c>
      <c r="C949" s="68"/>
      <c r="D949" s="63">
        <v>4577</v>
      </c>
      <c r="E949" s="63">
        <v>18889</v>
      </c>
      <c r="F949" s="43">
        <v>134465</v>
      </c>
      <c r="G949" s="50"/>
      <c r="H949" s="50"/>
      <c r="I949" s="50"/>
      <c r="J949" s="50"/>
      <c r="K949" s="50"/>
      <c r="L949" s="50"/>
      <c r="M949" s="50"/>
      <c r="N949" s="50"/>
    </row>
    <row r="950" spans="1:18" x14ac:dyDescent="0.25">
      <c r="A950" s="41" t="s">
        <v>630</v>
      </c>
      <c r="B950" s="44"/>
      <c r="C950" s="50"/>
      <c r="D950" s="50"/>
      <c r="E950" s="50"/>
      <c r="F950" s="50"/>
      <c r="G950" s="50"/>
      <c r="H950" s="50"/>
      <c r="I950" s="50"/>
      <c r="J950" s="50"/>
      <c r="K950" s="50"/>
      <c r="L950" s="50"/>
      <c r="M950" s="50"/>
      <c r="N950" s="50"/>
    </row>
    <row r="951" spans="1:18" x14ac:dyDescent="0.25">
      <c r="A951" s="83" t="s">
        <v>631</v>
      </c>
      <c r="B951" s="163" t="s">
        <v>317</v>
      </c>
      <c r="C951" s="50"/>
      <c r="D951" s="85"/>
      <c r="E951" s="85">
        <v>0</v>
      </c>
      <c r="F951" s="50">
        <v>0</v>
      </c>
      <c r="G951" s="50">
        <v>0</v>
      </c>
      <c r="H951" s="50">
        <v>0</v>
      </c>
      <c r="I951" s="50">
        <v>0</v>
      </c>
      <c r="J951" s="50">
        <v>0</v>
      </c>
      <c r="K951" s="50">
        <v>0</v>
      </c>
      <c r="L951" s="89">
        <v>180000</v>
      </c>
      <c r="M951" s="50">
        <v>0</v>
      </c>
      <c r="N951" s="50">
        <v>0</v>
      </c>
      <c r="O951" s="50">
        <v>0</v>
      </c>
      <c r="P951" s="50">
        <v>0</v>
      </c>
      <c r="Q951" s="50">
        <v>0</v>
      </c>
      <c r="R951" s="50">
        <v>0</v>
      </c>
    </row>
    <row r="952" spans="1:18" x14ac:dyDescent="0.25">
      <c r="A952" s="43" t="s">
        <v>456</v>
      </c>
      <c r="C952" s="59"/>
      <c r="D952" s="50">
        <v>0</v>
      </c>
      <c r="E952" s="50">
        <v>0</v>
      </c>
      <c r="F952" s="50">
        <v>0</v>
      </c>
      <c r="G952" s="50">
        <v>0</v>
      </c>
      <c r="H952" s="50">
        <v>0</v>
      </c>
      <c r="I952" s="50">
        <v>0</v>
      </c>
      <c r="J952" s="50">
        <v>0</v>
      </c>
      <c r="K952" s="50">
        <v>0</v>
      </c>
      <c r="L952" s="50">
        <v>0</v>
      </c>
      <c r="M952" s="50">
        <v>0</v>
      </c>
      <c r="N952" s="50">
        <v>0</v>
      </c>
    </row>
    <row r="953" spans="1:18" x14ac:dyDescent="0.25">
      <c r="A953" s="52" t="s">
        <v>632</v>
      </c>
      <c r="C953" s="59"/>
      <c r="D953" s="50"/>
      <c r="E953" s="50"/>
      <c r="F953" s="50"/>
      <c r="G953" s="50"/>
      <c r="H953" s="50"/>
      <c r="I953" s="50"/>
      <c r="J953" s="50"/>
      <c r="K953" s="50"/>
      <c r="L953" s="50"/>
      <c r="M953" s="50"/>
      <c r="N953" s="50"/>
    </row>
    <row r="954" spans="1:18" x14ac:dyDescent="0.25">
      <c r="A954" s="91" t="s">
        <v>633</v>
      </c>
      <c r="B954" s="163" t="s">
        <v>317</v>
      </c>
      <c r="C954" s="50"/>
      <c r="D954" s="50"/>
      <c r="E954" s="50"/>
      <c r="F954" s="50"/>
      <c r="G954" s="50"/>
      <c r="H954" s="50"/>
      <c r="I954" s="50"/>
      <c r="J954" s="50"/>
      <c r="K954" s="50"/>
      <c r="L954" s="50"/>
      <c r="M954" s="50"/>
      <c r="N954" s="50"/>
    </row>
    <row r="955" spans="1:18" x14ac:dyDescent="0.25">
      <c r="A955" s="91" t="s">
        <v>634</v>
      </c>
      <c r="B955" s="163" t="s">
        <v>317</v>
      </c>
      <c r="C955" s="50"/>
      <c r="D955" s="85">
        <v>70395</v>
      </c>
      <c r="E955" s="50"/>
      <c r="F955" s="50"/>
      <c r="G955" s="50"/>
      <c r="H955" s="50"/>
      <c r="I955" s="50"/>
      <c r="J955" s="50"/>
      <c r="K955" s="50"/>
      <c r="L955" s="50"/>
      <c r="M955" s="50"/>
      <c r="N955" s="50"/>
    </row>
    <row r="956" spans="1:18" x14ac:dyDescent="0.25">
      <c r="A956" s="97" t="s">
        <v>635</v>
      </c>
      <c r="B956" s="96" t="s">
        <v>330</v>
      </c>
      <c r="C956" s="50"/>
      <c r="D956" s="50"/>
      <c r="E956" s="50"/>
      <c r="F956" s="50"/>
      <c r="G956" s="50"/>
      <c r="H956" s="50"/>
      <c r="I956" s="50"/>
      <c r="J956" s="50"/>
      <c r="K956" s="50"/>
      <c r="L956" s="50"/>
      <c r="M956" s="50"/>
      <c r="N956" s="50"/>
      <c r="O956" s="50"/>
      <c r="P956" s="50"/>
      <c r="Q956" s="50"/>
      <c r="R956" s="50"/>
    </row>
    <row r="957" spans="1:18" s="43" customFormat="1" x14ac:dyDescent="0.25">
      <c r="A957" s="167" t="s">
        <v>100</v>
      </c>
      <c r="B957" s="129" t="s">
        <v>245</v>
      </c>
      <c r="C957" s="50"/>
      <c r="D957" s="50"/>
      <c r="E957" s="50"/>
      <c r="F957" s="50"/>
      <c r="G957" s="50"/>
      <c r="H957" s="50"/>
      <c r="I957" s="50">
        <f t="shared" ref="I957:R957" si="521">I706/2</f>
        <v>168794.99999999997</v>
      </c>
      <c r="J957" s="50">
        <f t="shared" si="521"/>
        <v>172846.07999999999</v>
      </c>
      <c r="K957" s="50">
        <f t="shared" si="521"/>
        <v>176994.38592</v>
      </c>
      <c r="L957" s="50">
        <f t="shared" si="521"/>
        <v>181065.25679615999</v>
      </c>
      <c r="M957" s="50">
        <f t="shared" si="521"/>
        <v>185048.69244567552</v>
      </c>
      <c r="N957" s="50">
        <f t="shared" si="521"/>
        <v>189304.81237192603</v>
      </c>
      <c r="O957" s="50">
        <f t="shared" si="521"/>
        <v>194037.43268122416</v>
      </c>
      <c r="P957" s="50">
        <f t="shared" si="521"/>
        <v>198888.36849825474</v>
      </c>
      <c r="Q957" s="50">
        <f t="shared" si="521"/>
        <v>203661.68934221286</v>
      </c>
      <c r="R957" s="50">
        <f t="shared" si="521"/>
        <v>208549.56988642598</v>
      </c>
    </row>
    <row r="958" spans="1:18" s="43" customFormat="1" x14ac:dyDescent="0.25">
      <c r="A958" s="168" t="s">
        <v>636</v>
      </c>
      <c r="B958" s="62" t="s">
        <v>245</v>
      </c>
      <c r="C958" s="50"/>
      <c r="D958" s="50"/>
      <c r="E958" s="50"/>
      <c r="F958" s="50"/>
      <c r="G958" s="50"/>
      <c r="H958" s="50"/>
      <c r="I958" s="50">
        <f t="shared" ref="I958:R958" si="522">I706/2</f>
        <v>168794.99999999997</v>
      </c>
      <c r="J958" s="50">
        <f t="shared" si="522"/>
        <v>172846.07999999999</v>
      </c>
      <c r="K958" s="50">
        <f t="shared" si="522"/>
        <v>176994.38592</v>
      </c>
      <c r="L958" s="50">
        <f t="shared" si="522"/>
        <v>181065.25679615999</v>
      </c>
      <c r="M958" s="50">
        <f t="shared" si="522"/>
        <v>185048.69244567552</v>
      </c>
      <c r="N958" s="50">
        <f t="shared" si="522"/>
        <v>189304.81237192603</v>
      </c>
      <c r="O958" s="50">
        <f t="shared" si="522"/>
        <v>194037.43268122416</v>
      </c>
      <c r="P958" s="50">
        <f t="shared" si="522"/>
        <v>198888.36849825474</v>
      </c>
      <c r="Q958" s="50">
        <f t="shared" si="522"/>
        <v>203661.68934221286</v>
      </c>
      <c r="R958" s="50">
        <f t="shared" si="522"/>
        <v>208549.56988642598</v>
      </c>
    </row>
    <row r="959" spans="1:18" s="43" customFormat="1" x14ac:dyDescent="0.25">
      <c r="A959" s="141"/>
      <c r="B959" s="53"/>
      <c r="C959" s="50"/>
      <c r="D959" s="50"/>
      <c r="E959" s="50"/>
      <c r="F959" s="50"/>
      <c r="G959" s="50"/>
      <c r="H959" s="50"/>
      <c r="I959" s="50"/>
      <c r="J959" s="50"/>
      <c r="K959" s="50"/>
      <c r="L959" s="50"/>
      <c r="M959" s="50"/>
      <c r="N959" s="50"/>
      <c r="O959" s="50"/>
      <c r="P959" s="50"/>
      <c r="Q959" s="50"/>
      <c r="R959" s="50"/>
    </row>
    <row r="960" spans="1:18" x14ac:dyDescent="0.25">
      <c r="A960" s="41" t="s">
        <v>107</v>
      </c>
      <c r="B960" s="44"/>
      <c r="C960" s="51">
        <f>SUM(C801:C959)</f>
        <v>491208</v>
      </c>
      <c r="D960" s="51">
        <f>SUM(D801:D959)</f>
        <v>846481</v>
      </c>
      <c r="E960" s="51">
        <f>SUM(E801:E959)</f>
        <v>350530</v>
      </c>
      <c r="F960" s="51">
        <f>SUM(F801:F959)</f>
        <v>676141.5</v>
      </c>
      <c r="G960" s="51">
        <f t="shared" ref="G960:R960" si="523">SUM(G801:G959)</f>
        <v>179176</v>
      </c>
      <c r="H960" s="51">
        <f t="shared" si="523"/>
        <v>194490</v>
      </c>
      <c r="I960" s="51">
        <f t="shared" si="523"/>
        <v>504907</v>
      </c>
      <c r="J960" s="51">
        <f t="shared" si="523"/>
        <v>796411.15999999992</v>
      </c>
      <c r="K960" s="51">
        <f t="shared" si="523"/>
        <v>515871.77184000006</v>
      </c>
      <c r="L960" s="51">
        <f t="shared" si="523"/>
        <v>627174.51359232003</v>
      </c>
      <c r="M960" s="51">
        <f t="shared" si="523"/>
        <v>595941.38489135099</v>
      </c>
      <c r="N960" s="51">
        <f t="shared" si="523"/>
        <v>773667.62474385207</v>
      </c>
      <c r="O960" s="51">
        <f t="shared" si="523"/>
        <v>693132.86536244838</v>
      </c>
      <c r="P960" s="51">
        <f t="shared" si="523"/>
        <v>622834.73699650948</v>
      </c>
      <c r="Q960" s="51">
        <f t="shared" si="523"/>
        <v>797381.37868442573</v>
      </c>
      <c r="R960" s="51">
        <f t="shared" si="523"/>
        <v>652157.13977285195</v>
      </c>
    </row>
    <row r="961" spans="1:18" x14ac:dyDescent="0.25">
      <c r="C961" s="50"/>
      <c r="D961" s="50"/>
      <c r="E961" s="50"/>
      <c r="F961" s="50"/>
      <c r="G961" s="50"/>
      <c r="H961" s="50"/>
      <c r="I961" s="50"/>
      <c r="J961" s="50"/>
      <c r="K961" s="50"/>
      <c r="L961" s="50"/>
      <c r="M961" s="50"/>
      <c r="N961" s="50"/>
      <c r="O961" s="50"/>
      <c r="P961" s="50"/>
      <c r="Q961" s="50"/>
      <c r="R961" s="50"/>
    </row>
    <row r="962" spans="1:18" x14ac:dyDescent="0.25">
      <c r="A962" s="41" t="s">
        <v>637</v>
      </c>
      <c r="B962" s="44"/>
      <c r="C962" s="51">
        <f>C960+C772-C717-C796</f>
        <v>868011</v>
      </c>
      <c r="D962" s="51">
        <f>D960+D772-D717-D796</f>
        <v>819867</v>
      </c>
      <c r="E962" s="51">
        <f>E960+E772-E717-E796</f>
        <v>702018</v>
      </c>
      <c r="F962" s="51">
        <f>F960+F772-F717-F796</f>
        <v>896789.32000000007</v>
      </c>
      <c r="G962" s="51">
        <f t="shared" ref="G962:R962" si="524">G960+G772-G717-G796</f>
        <v>469827</v>
      </c>
      <c r="H962" s="51">
        <f t="shared" si="524"/>
        <v>776987.69576680008</v>
      </c>
      <c r="I962" s="51">
        <f t="shared" si="524"/>
        <v>1214185.9430784164</v>
      </c>
      <c r="J962" s="51">
        <f t="shared" si="524"/>
        <v>1474574.3680754195</v>
      </c>
      <c r="K962" s="51">
        <f t="shared" si="524"/>
        <v>1213748.58331426</v>
      </c>
      <c r="L962" s="51">
        <f t="shared" si="524"/>
        <v>1346243.7366149505</v>
      </c>
      <c r="M962" s="51">
        <f t="shared" si="524"/>
        <v>1336420.6752100601</v>
      </c>
      <c r="N962" s="51">
        <f t="shared" si="524"/>
        <v>1535046.6107298711</v>
      </c>
      <c r="O962" s="51">
        <f t="shared" si="524"/>
        <v>1477427.516018796</v>
      </c>
      <c r="P962" s="51">
        <f t="shared" si="524"/>
        <v>1432302.9877904321</v>
      </c>
      <c r="Q962" s="51">
        <f t="shared" si="524"/>
        <v>1632248.27722474</v>
      </c>
      <c r="R962" s="51">
        <f t="shared" si="524"/>
        <v>1505371.5163976206</v>
      </c>
    </row>
    <row r="963" spans="1:18" x14ac:dyDescent="0.25">
      <c r="C963" s="50"/>
      <c r="D963" s="50"/>
      <c r="E963" s="50"/>
      <c r="F963" s="50"/>
      <c r="G963" s="50"/>
      <c r="H963" s="50"/>
      <c r="I963" s="50"/>
      <c r="J963" s="50"/>
      <c r="K963" s="50"/>
      <c r="L963" s="50"/>
      <c r="M963" s="50"/>
      <c r="N963" s="50"/>
      <c r="O963" s="50"/>
      <c r="P963" s="50"/>
      <c r="Q963" s="50"/>
      <c r="R963" s="50"/>
    </row>
    <row r="964" spans="1:18" x14ac:dyDescent="0.25">
      <c r="A964" s="41" t="s">
        <v>638</v>
      </c>
      <c r="B964" s="44"/>
      <c r="C964" s="50"/>
      <c r="D964" s="50"/>
      <c r="E964" s="50"/>
      <c r="F964" s="50"/>
      <c r="G964" s="50"/>
      <c r="H964" s="50"/>
      <c r="I964" s="50"/>
      <c r="J964" s="50"/>
      <c r="K964" s="50"/>
      <c r="L964" s="50"/>
      <c r="M964" s="50"/>
      <c r="N964" s="50"/>
      <c r="O964" s="50"/>
      <c r="P964" s="50"/>
      <c r="Q964" s="50"/>
      <c r="R964" s="50"/>
    </row>
    <row r="965" spans="1:18" x14ac:dyDescent="0.25">
      <c r="A965" s="41"/>
      <c r="B965" s="44"/>
      <c r="C965" s="50"/>
      <c r="D965" s="50"/>
      <c r="E965" s="50"/>
      <c r="F965" s="50"/>
      <c r="G965" s="50"/>
      <c r="H965" s="50"/>
      <c r="I965" s="50"/>
      <c r="J965" s="50"/>
      <c r="K965" s="50"/>
      <c r="L965" s="50"/>
      <c r="M965" s="50"/>
      <c r="N965" s="50"/>
      <c r="O965" s="50"/>
      <c r="P965" s="50"/>
      <c r="Q965" s="50"/>
      <c r="R965" s="50"/>
    </row>
    <row r="966" spans="1:18" x14ac:dyDescent="0.25">
      <c r="A966" s="41" t="s">
        <v>202</v>
      </c>
      <c r="B966" s="44"/>
      <c r="C966" s="50"/>
      <c r="D966" s="50"/>
      <c r="E966" s="50"/>
      <c r="F966" s="50"/>
      <c r="G966" s="50"/>
      <c r="H966" s="50"/>
      <c r="I966" s="50"/>
      <c r="J966" s="50"/>
      <c r="K966" s="50"/>
      <c r="L966" s="50"/>
      <c r="M966" s="50"/>
      <c r="N966" s="50"/>
      <c r="O966" s="50"/>
      <c r="P966" s="50"/>
      <c r="Q966" s="50"/>
      <c r="R966" s="50"/>
    </row>
    <row r="967" spans="1:18" x14ac:dyDescent="0.25">
      <c r="C967" s="50"/>
      <c r="D967" s="50"/>
      <c r="E967" s="50"/>
      <c r="F967" s="50"/>
      <c r="G967" s="50"/>
      <c r="H967" s="50"/>
      <c r="I967" s="50"/>
      <c r="J967" s="50"/>
      <c r="K967" s="50"/>
      <c r="L967" s="50"/>
      <c r="M967" s="50"/>
      <c r="N967" s="50"/>
      <c r="O967" s="50"/>
      <c r="P967" s="50"/>
      <c r="Q967" s="50"/>
      <c r="R967" s="50"/>
    </row>
    <row r="968" spans="1:18" x14ac:dyDescent="0.25">
      <c r="A968" s="43" t="s">
        <v>639</v>
      </c>
      <c r="C968" s="50"/>
      <c r="D968" s="50"/>
      <c r="E968" s="50"/>
      <c r="F968" s="50"/>
      <c r="G968" s="50"/>
      <c r="H968" s="50"/>
      <c r="I968" s="50"/>
      <c r="J968" s="50"/>
      <c r="K968" s="50"/>
      <c r="L968" s="50"/>
      <c r="M968" s="50"/>
      <c r="N968" s="50"/>
      <c r="O968" s="50"/>
      <c r="P968" s="50"/>
      <c r="Q968" s="50"/>
      <c r="R968" s="50"/>
    </row>
    <row r="969" spans="1:18" x14ac:dyDescent="0.25">
      <c r="A969" s="43" t="s">
        <v>640</v>
      </c>
      <c r="C969" s="54">
        <v>51737</v>
      </c>
      <c r="D969" s="54">
        <v>47758</v>
      </c>
      <c r="E969" s="50">
        <v>35251</v>
      </c>
      <c r="F969" s="54">
        <v>0</v>
      </c>
      <c r="G969" s="54">
        <v>0</v>
      </c>
      <c r="H969" s="54">
        <v>0</v>
      </c>
      <c r="I969" s="54">
        <v>0</v>
      </c>
      <c r="J969" s="54">
        <v>0</v>
      </c>
      <c r="K969" s="54">
        <v>0</v>
      </c>
      <c r="L969" s="54">
        <v>0</v>
      </c>
      <c r="M969" s="54">
        <v>0</v>
      </c>
      <c r="N969" s="54">
        <v>0</v>
      </c>
      <c r="O969" s="54">
        <v>0</v>
      </c>
      <c r="P969" s="54">
        <v>0</v>
      </c>
      <c r="Q969" s="54">
        <v>0</v>
      </c>
      <c r="R969" s="54">
        <v>0</v>
      </c>
    </row>
    <row r="970" spans="1:18" x14ac:dyDescent="0.25">
      <c r="A970" s="43" t="s">
        <v>641</v>
      </c>
      <c r="C970" s="54">
        <v>15294</v>
      </c>
      <c r="D970" s="54">
        <v>14303</v>
      </c>
      <c r="E970" s="43">
        <v>11805</v>
      </c>
      <c r="F970" s="54">
        <v>17516</v>
      </c>
      <c r="G970" s="54">
        <v>16655</v>
      </c>
      <c r="H970" s="54">
        <v>16000</v>
      </c>
      <c r="I970" s="54">
        <f>H970*1.023</f>
        <v>16367.999999999998</v>
      </c>
      <c r="J970" s="54">
        <f t="shared" ref="J970:K975" si="525">I970*1.024</f>
        <v>16760.831999999999</v>
      </c>
      <c r="K970" s="54">
        <f t="shared" si="525"/>
        <v>17163.091968000001</v>
      </c>
      <c r="L970" s="54">
        <f t="shared" ref="L970:L975" si="526">K970*1.023</f>
        <v>17557.843083264001</v>
      </c>
      <c r="M970" s="54">
        <f t="shared" ref="M970:M975" si="527">L970*1.022</f>
        <v>17944.11563109581</v>
      </c>
      <c r="N970" s="54">
        <f t="shared" ref="N970:N975" si="528">M970*1.023</f>
        <v>18356.830290611011</v>
      </c>
      <c r="O970" s="54">
        <f t="shared" ref="O970:P975" si="529">N970*1.025</f>
        <v>18815.751047876285</v>
      </c>
      <c r="P970" s="54">
        <f t="shared" si="529"/>
        <v>19286.144824073192</v>
      </c>
      <c r="Q970" s="54">
        <f t="shared" ref="Q970:R975" si="530">P970*1.024</f>
        <v>19749.012299850947</v>
      </c>
      <c r="R970" s="54">
        <f t="shared" si="530"/>
        <v>20222.988595047369</v>
      </c>
    </row>
    <row r="971" spans="1:18" x14ac:dyDescent="0.25">
      <c r="A971" s="43" t="s">
        <v>642</v>
      </c>
      <c r="C971" s="54">
        <v>19504</v>
      </c>
      <c r="D971" s="54">
        <v>20367</v>
      </c>
      <c r="E971" s="43">
        <v>22584</v>
      </c>
      <c r="F971" s="54">
        <v>23900</v>
      </c>
      <c r="G971" s="54">
        <v>24231</v>
      </c>
      <c r="H971" s="54">
        <v>24700</v>
      </c>
      <c r="I971" s="54">
        <f>H971*1.023</f>
        <v>25268.1</v>
      </c>
      <c r="J971" s="54">
        <f t="shared" si="525"/>
        <v>25874.5344</v>
      </c>
      <c r="K971" s="54">
        <f t="shared" si="525"/>
        <v>26495.523225600002</v>
      </c>
      <c r="L971" s="54">
        <f t="shared" si="526"/>
        <v>27104.9202597888</v>
      </c>
      <c r="M971" s="54">
        <f t="shared" si="527"/>
        <v>27701.228505504154</v>
      </c>
      <c r="N971" s="54">
        <f t="shared" si="528"/>
        <v>28338.356761130748</v>
      </c>
      <c r="O971" s="54">
        <f t="shared" si="529"/>
        <v>29046.815680159016</v>
      </c>
      <c r="P971" s="54">
        <f t="shared" si="529"/>
        <v>29772.986072162988</v>
      </c>
      <c r="Q971" s="54">
        <f t="shared" si="530"/>
        <v>30487.537737894902</v>
      </c>
      <c r="R971" s="54">
        <f t="shared" si="530"/>
        <v>31219.238643604378</v>
      </c>
    </row>
    <row r="972" spans="1:18" x14ac:dyDescent="0.25">
      <c r="A972" s="52" t="s">
        <v>643</v>
      </c>
      <c r="B972" s="53"/>
      <c r="C972" s="54">
        <v>6992</v>
      </c>
      <c r="D972" s="54">
        <v>12476</v>
      </c>
      <c r="E972" s="43">
        <v>10092</v>
      </c>
      <c r="F972" s="54">
        <v>18507</v>
      </c>
      <c r="G972" s="50">
        <v>26804</v>
      </c>
      <c r="H972" s="50">
        <v>32000</v>
      </c>
      <c r="I972" s="54">
        <f t="shared" ref="I972:I975" si="531">H972*1.023</f>
        <v>32735.999999999996</v>
      </c>
      <c r="J972" s="54">
        <f t="shared" si="525"/>
        <v>33521.663999999997</v>
      </c>
      <c r="K972" s="54">
        <f t="shared" si="525"/>
        <v>34326.183936000001</v>
      </c>
      <c r="L972" s="54">
        <f t="shared" si="526"/>
        <v>35115.686166528001</v>
      </c>
      <c r="M972" s="54">
        <f t="shared" si="527"/>
        <v>35888.231262191621</v>
      </c>
      <c r="N972" s="54">
        <f t="shared" si="528"/>
        <v>36713.660581222022</v>
      </c>
      <c r="O972" s="54">
        <f t="shared" si="529"/>
        <v>37631.50209575257</v>
      </c>
      <c r="P972" s="54">
        <f t="shared" si="529"/>
        <v>38572.289648146383</v>
      </c>
      <c r="Q972" s="54">
        <f t="shared" si="530"/>
        <v>39498.024599701894</v>
      </c>
      <c r="R972" s="54">
        <f t="shared" si="530"/>
        <v>40445.977190094738</v>
      </c>
    </row>
    <row r="973" spans="1:18" x14ac:dyDescent="0.25">
      <c r="A973" s="150" t="s">
        <v>644</v>
      </c>
      <c r="B973" s="127" t="s">
        <v>468</v>
      </c>
      <c r="C973" s="54">
        <v>42292</v>
      </c>
      <c r="D973" s="54">
        <v>34349</v>
      </c>
      <c r="E973" s="43">
        <v>36067</v>
      </c>
      <c r="F973" s="54">
        <v>37870</v>
      </c>
      <c r="G973" s="54">
        <v>39764</v>
      </c>
      <c r="H973" s="54">
        <v>37200</v>
      </c>
      <c r="I973" s="54">
        <f t="shared" si="531"/>
        <v>38055.599999999999</v>
      </c>
      <c r="J973" s="54">
        <f t="shared" si="525"/>
        <v>38968.934399999998</v>
      </c>
      <c r="K973" s="54">
        <f t="shared" si="525"/>
        <v>39904.188825600002</v>
      </c>
      <c r="L973" s="54">
        <f t="shared" si="526"/>
        <v>40821.985168588799</v>
      </c>
      <c r="M973" s="54">
        <f t="shared" si="527"/>
        <v>41720.068842297755</v>
      </c>
      <c r="N973" s="54">
        <f t="shared" si="528"/>
        <v>42679.630425670599</v>
      </c>
      <c r="O973" s="54">
        <f t="shared" si="529"/>
        <v>43746.621186312361</v>
      </c>
      <c r="P973" s="54">
        <f t="shared" si="529"/>
        <v>44840.286715970164</v>
      </c>
      <c r="Q973" s="54">
        <f t="shared" si="530"/>
        <v>45916.45359715345</v>
      </c>
      <c r="R973" s="54">
        <f t="shared" si="530"/>
        <v>47018.448483485132</v>
      </c>
    </row>
    <row r="974" spans="1:18" x14ac:dyDescent="0.25">
      <c r="A974" s="52" t="s">
        <v>645</v>
      </c>
      <c r="B974" s="53"/>
      <c r="C974" s="54">
        <v>37319</v>
      </c>
      <c r="D974" s="54">
        <v>32008</v>
      </c>
      <c r="E974" s="43">
        <v>30328</v>
      </c>
      <c r="F974" s="54">
        <v>36720</v>
      </c>
      <c r="G974" s="54">
        <v>35730</v>
      </c>
      <c r="H974" s="54">
        <v>35200</v>
      </c>
      <c r="I974" s="54">
        <f t="shared" si="531"/>
        <v>36009.599999999999</v>
      </c>
      <c r="J974" s="54">
        <f t="shared" si="525"/>
        <v>36873.830399999999</v>
      </c>
      <c r="K974" s="54">
        <f t="shared" si="525"/>
        <v>37758.802329600003</v>
      </c>
      <c r="L974" s="54">
        <f t="shared" si="526"/>
        <v>38627.254783180797</v>
      </c>
      <c r="M974" s="54">
        <f t="shared" si="527"/>
        <v>39477.054388410776</v>
      </c>
      <c r="N974" s="54">
        <f t="shared" si="528"/>
        <v>40385.026639344222</v>
      </c>
      <c r="O974" s="54">
        <f t="shared" si="529"/>
        <v>41394.652305327822</v>
      </c>
      <c r="P974" s="54">
        <f t="shared" si="529"/>
        <v>42429.518612961016</v>
      </c>
      <c r="Q974" s="54">
        <f t="shared" si="530"/>
        <v>43447.827059672083</v>
      </c>
      <c r="R974" s="54">
        <f t="shared" si="530"/>
        <v>44490.574909104216</v>
      </c>
    </row>
    <row r="975" spans="1:18" x14ac:dyDescent="0.25">
      <c r="A975" s="52" t="s">
        <v>646</v>
      </c>
      <c r="B975" s="53"/>
      <c r="C975" s="54"/>
      <c r="D975" s="54"/>
      <c r="F975" s="54"/>
      <c r="G975" s="54"/>
      <c r="H975" s="54">
        <v>208000</v>
      </c>
      <c r="I975" s="54">
        <f t="shared" si="531"/>
        <v>212783.99999999997</v>
      </c>
      <c r="J975" s="54">
        <f t="shared" si="525"/>
        <v>217890.81599999996</v>
      </c>
      <c r="K975" s="54">
        <f t="shared" si="525"/>
        <v>223120.19558399997</v>
      </c>
      <c r="L975" s="54">
        <f t="shared" si="526"/>
        <v>228251.96008243196</v>
      </c>
      <c r="M975" s="54">
        <f t="shared" si="527"/>
        <v>233273.50320424547</v>
      </c>
      <c r="N975" s="54">
        <f t="shared" si="528"/>
        <v>238638.79377794309</v>
      </c>
      <c r="O975" s="54">
        <f t="shared" si="529"/>
        <v>244604.76362239165</v>
      </c>
      <c r="P975" s="54">
        <f t="shared" si="529"/>
        <v>250719.88271295142</v>
      </c>
      <c r="Q975" s="54">
        <f t="shared" si="530"/>
        <v>256737.15989806227</v>
      </c>
      <c r="R975" s="54">
        <f t="shared" si="530"/>
        <v>262898.85173561575</v>
      </c>
    </row>
    <row r="976" spans="1:18" x14ac:dyDescent="0.25">
      <c r="C976" s="50"/>
      <c r="D976" s="50"/>
      <c r="E976" s="50"/>
      <c r="F976" s="50"/>
      <c r="G976" s="50"/>
      <c r="H976" s="50"/>
      <c r="I976" s="50"/>
      <c r="J976" s="50"/>
      <c r="K976" s="50"/>
      <c r="L976" s="50"/>
      <c r="M976" s="50"/>
      <c r="N976" s="50"/>
      <c r="O976" s="50"/>
      <c r="P976" s="50"/>
      <c r="Q976" s="50"/>
      <c r="R976" s="50"/>
    </row>
    <row r="977" spans="1:18" x14ac:dyDescent="0.25">
      <c r="A977" s="41" t="s">
        <v>216</v>
      </c>
      <c r="B977" s="44"/>
      <c r="C977" s="51">
        <f t="shared" ref="C977" si="532">SUM(C968:C976)</f>
        <v>173138</v>
      </c>
      <c r="D977" s="51">
        <f t="shared" ref="D977:R977" si="533">SUM(D968:D976)</f>
        <v>161261</v>
      </c>
      <c r="E977" s="51">
        <f t="shared" si="533"/>
        <v>146127</v>
      </c>
      <c r="F977" s="51">
        <f t="shared" si="533"/>
        <v>134513</v>
      </c>
      <c r="G977" s="51">
        <f t="shared" si="533"/>
        <v>143184</v>
      </c>
      <c r="H977" s="51">
        <f t="shared" si="533"/>
        <v>353100</v>
      </c>
      <c r="I977" s="51">
        <f t="shared" si="533"/>
        <v>361221.29999999993</v>
      </c>
      <c r="J977" s="51">
        <f t="shared" si="533"/>
        <v>369890.61119999993</v>
      </c>
      <c r="K977" s="51">
        <f t="shared" si="533"/>
        <v>378767.98586879997</v>
      </c>
      <c r="L977" s="51">
        <f t="shared" si="533"/>
        <v>387479.64954378235</v>
      </c>
      <c r="M977" s="51">
        <f t="shared" si="533"/>
        <v>396004.20183374558</v>
      </c>
      <c r="N977" s="51">
        <f t="shared" si="533"/>
        <v>405112.29847592174</v>
      </c>
      <c r="O977" s="51">
        <f t="shared" si="533"/>
        <v>415240.1059378197</v>
      </c>
      <c r="P977" s="51">
        <f t="shared" si="533"/>
        <v>425621.10858626518</v>
      </c>
      <c r="Q977" s="51">
        <f t="shared" si="533"/>
        <v>435836.01519233559</v>
      </c>
      <c r="R977" s="51">
        <f t="shared" si="533"/>
        <v>446296.07955695159</v>
      </c>
    </row>
    <row r="978" spans="1:18" x14ac:dyDescent="0.25">
      <c r="C978" s="50"/>
      <c r="D978" s="50"/>
      <c r="E978" s="50"/>
      <c r="F978" s="50"/>
      <c r="G978" s="50"/>
      <c r="H978" s="50"/>
      <c r="I978" s="50"/>
      <c r="J978" s="50"/>
      <c r="K978" s="50"/>
      <c r="L978" s="50"/>
      <c r="M978" s="50"/>
      <c r="N978" s="50"/>
      <c r="O978" s="50"/>
      <c r="P978" s="50"/>
      <c r="Q978" s="50"/>
      <c r="R978" s="50"/>
    </row>
    <row r="979" spans="1:18" x14ac:dyDescent="0.25">
      <c r="A979" s="41" t="s">
        <v>165</v>
      </c>
      <c r="B979" s="44"/>
      <c r="C979" s="50"/>
      <c r="D979" s="50"/>
      <c r="E979" s="50"/>
      <c r="F979" s="50"/>
      <c r="G979" s="50"/>
      <c r="H979" s="50"/>
      <c r="I979" s="50"/>
      <c r="J979" s="50"/>
      <c r="K979" s="50"/>
      <c r="L979" s="50"/>
      <c r="M979" s="50"/>
      <c r="N979" s="50"/>
      <c r="O979" s="50"/>
      <c r="P979" s="50"/>
      <c r="Q979" s="50"/>
      <c r="R979" s="50"/>
    </row>
    <row r="980" spans="1:18" x14ac:dyDescent="0.25">
      <c r="C980" s="50"/>
      <c r="D980" s="50"/>
      <c r="E980" s="50"/>
      <c r="F980" s="50"/>
      <c r="G980" s="50"/>
      <c r="H980" s="50"/>
      <c r="I980" s="50"/>
      <c r="J980" s="50"/>
      <c r="K980" s="50"/>
      <c r="L980" s="50"/>
      <c r="M980" s="50"/>
      <c r="N980" s="50"/>
      <c r="O980" s="50"/>
      <c r="P980" s="50"/>
      <c r="Q980" s="50"/>
      <c r="R980" s="50"/>
    </row>
    <row r="981" spans="1:18" x14ac:dyDescent="0.25">
      <c r="A981" s="43" t="s">
        <v>217</v>
      </c>
      <c r="C981" s="50">
        <v>60335</v>
      </c>
      <c r="D981">
        <v>57659</v>
      </c>
      <c r="E981" s="43">
        <v>48664</v>
      </c>
      <c r="F981" s="43">
        <v>65003</v>
      </c>
      <c r="G981" s="43">
        <v>58001</v>
      </c>
      <c r="H981" s="43">
        <v>73900</v>
      </c>
      <c r="I981" s="50">
        <f>H981*1.025</f>
        <v>75747.5</v>
      </c>
      <c r="J981" s="50">
        <f>I981*1.029</f>
        <v>77944.177499999991</v>
      </c>
      <c r="K981" s="54">
        <f>J981*1.031</f>
        <v>80360.44700249999</v>
      </c>
      <c r="L981" s="54">
        <f>K981*1.033</f>
        <v>83012.341753582485</v>
      </c>
      <c r="M981" s="54">
        <f>L981*1.032</f>
        <v>85668.736689697122</v>
      </c>
      <c r="N981" s="54">
        <f>M981*1.03</f>
        <v>88238.798790388042</v>
      </c>
      <c r="O981" s="54">
        <f>N981*1.032</f>
        <v>91062.44035168046</v>
      </c>
      <c r="P981" s="54">
        <f>O981*1.034</f>
        <v>94158.563323637602</v>
      </c>
      <c r="Q981" s="54">
        <f>P981*1.034</f>
        <v>97359.954476641287</v>
      </c>
      <c r="R981" s="54">
        <f>Q981*1.034</f>
        <v>100670.1929288471</v>
      </c>
    </row>
    <row r="982" spans="1:18" x14ac:dyDescent="0.25">
      <c r="A982" t="s">
        <v>219</v>
      </c>
      <c r="C982" s="50"/>
      <c r="D982"/>
      <c r="G982">
        <v>4102</v>
      </c>
      <c r="H982">
        <v>9400</v>
      </c>
      <c r="I982" s="54">
        <f t="shared" ref="I982" si="534">H982*1.023</f>
        <v>9616.1999999999989</v>
      </c>
      <c r="J982" s="54">
        <f t="shared" ref="J982:K982" si="535">I982*1.024</f>
        <v>9846.9887999999992</v>
      </c>
      <c r="K982" s="54">
        <f t="shared" si="535"/>
        <v>10083.3165312</v>
      </c>
      <c r="L982" s="54">
        <f t="shared" ref="L982" si="536">K982*1.023</f>
        <v>10315.2328114176</v>
      </c>
      <c r="M982" s="54">
        <f t="shared" ref="M982" si="537">L982*1.022</f>
        <v>10542.167933268787</v>
      </c>
      <c r="N982" s="54">
        <f t="shared" ref="N982" si="538">M982*1.023</f>
        <v>10784.637795733968</v>
      </c>
      <c r="O982" s="54">
        <f t="shared" ref="O982:P982" si="539">N982*1.025</f>
        <v>11054.253740627317</v>
      </c>
      <c r="P982" s="54">
        <f t="shared" si="539"/>
        <v>11330.610084142998</v>
      </c>
      <c r="Q982" s="54">
        <f t="shared" ref="Q982:R982" si="540">P982*1.024</f>
        <v>11602.54472616243</v>
      </c>
      <c r="R982" s="54">
        <f t="shared" si="540"/>
        <v>11881.00579959033</v>
      </c>
    </row>
    <row r="983" spans="1:18" x14ac:dyDescent="0.25">
      <c r="A983" s="43" t="s">
        <v>220</v>
      </c>
      <c r="C983" s="50">
        <v>-3575</v>
      </c>
      <c r="D983" s="50">
        <v>10663</v>
      </c>
      <c r="E983" s="50">
        <v>12212</v>
      </c>
      <c r="F983" s="50">
        <v>8764</v>
      </c>
      <c r="G983" s="52">
        <v>39395</v>
      </c>
      <c r="H983" s="52">
        <v>10200</v>
      </c>
      <c r="I983" s="50">
        <f>H983*1.025</f>
        <v>10455</v>
      </c>
      <c r="J983" s="50">
        <f>I983*1.029</f>
        <v>10758.195</v>
      </c>
      <c r="K983" s="54">
        <f>J983*1.031</f>
        <v>11091.699044999999</v>
      </c>
      <c r="L983" s="54">
        <f>K983*1.033</f>
        <v>11457.725113484998</v>
      </c>
      <c r="M983" s="54">
        <f>L983*1.032</f>
        <v>11824.372317116518</v>
      </c>
      <c r="N983" s="54">
        <f>M983*1.03</f>
        <v>12179.103486630014</v>
      </c>
      <c r="O983" s="54">
        <f>N983*1.032</f>
        <v>12568.834798202175</v>
      </c>
      <c r="P983" s="54">
        <f>O983*1.034</f>
        <v>12996.17518134105</v>
      </c>
      <c r="Q983" s="54">
        <f>P983*1.034</f>
        <v>13438.045137506646</v>
      </c>
      <c r="R983" s="54">
        <f>Q983*1.034</f>
        <v>13894.938672181872</v>
      </c>
    </row>
    <row r="984" spans="1:18" x14ac:dyDescent="0.25">
      <c r="A984" s="43" t="s">
        <v>221</v>
      </c>
      <c r="C984" s="50"/>
      <c r="D984" s="50"/>
      <c r="E984" s="50"/>
      <c r="F984" s="50"/>
      <c r="G984" s="52"/>
      <c r="H984" s="60">
        <v>9400</v>
      </c>
      <c r="I984" s="60">
        <v>9400</v>
      </c>
      <c r="J984" s="58">
        <v>9700</v>
      </c>
      <c r="K984" s="58">
        <v>9700</v>
      </c>
      <c r="L984" s="169">
        <v>10400</v>
      </c>
      <c r="M984" s="169">
        <v>10400</v>
      </c>
      <c r="N984" s="169">
        <v>10400</v>
      </c>
      <c r="O984" s="169">
        <v>10700</v>
      </c>
      <c r="P984" s="169">
        <v>10700</v>
      </c>
      <c r="Q984" s="169">
        <v>10700</v>
      </c>
      <c r="R984" s="169">
        <v>10700</v>
      </c>
    </row>
    <row r="985" spans="1:18" x14ac:dyDescent="0.25">
      <c r="A985" s="52" t="s">
        <v>647</v>
      </c>
      <c r="B985" s="53"/>
      <c r="C985" s="50"/>
      <c r="D985" s="50"/>
      <c r="E985" s="50"/>
      <c r="F985" s="50"/>
      <c r="G985" s="50"/>
      <c r="H985" s="50"/>
      <c r="I985" s="50"/>
      <c r="J985" s="50"/>
      <c r="K985" s="50"/>
      <c r="L985" s="50"/>
      <c r="M985" s="50"/>
      <c r="N985" s="50"/>
      <c r="O985" s="50"/>
      <c r="P985" s="50"/>
      <c r="Q985" s="50"/>
      <c r="R985" s="50"/>
    </row>
    <row r="986" spans="1:18" x14ac:dyDescent="0.25">
      <c r="A986" s="43" t="s">
        <v>640</v>
      </c>
      <c r="C986" s="50">
        <f>8936+46</f>
        <v>8982</v>
      </c>
      <c r="D986" s="50">
        <v>8043</v>
      </c>
      <c r="E986" s="50">
        <v>8598</v>
      </c>
      <c r="F986" s="50">
        <v>0</v>
      </c>
      <c r="G986" s="50">
        <v>0</v>
      </c>
      <c r="H986" s="50">
        <v>0</v>
      </c>
      <c r="I986" s="50">
        <v>0</v>
      </c>
      <c r="J986" s="50">
        <v>0</v>
      </c>
      <c r="K986" s="50">
        <v>0</v>
      </c>
      <c r="L986" s="50">
        <v>0</v>
      </c>
      <c r="M986" s="50">
        <v>0</v>
      </c>
      <c r="N986" s="50">
        <v>0</v>
      </c>
      <c r="O986" s="50">
        <v>0</v>
      </c>
      <c r="P986" s="50">
        <v>0</v>
      </c>
      <c r="Q986" s="50">
        <v>0</v>
      </c>
      <c r="R986" s="50">
        <v>0</v>
      </c>
    </row>
    <row r="987" spans="1:18" x14ac:dyDescent="0.25">
      <c r="A987" s="43" t="s">
        <v>304</v>
      </c>
      <c r="C987" s="105">
        <v>1333</v>
      </c>
      <c r="D987" s="105">
        <v>1333</v>
      </c>
      <c r="E987" s="72">
        <v>0</v>
      </c>
      <c r="F987" s="50">
        <v>0</v>
      </c>
      <c r="G987" s="50">
        <v>0</v>
      </c>
      <c r="H987" s="50">
        <v>0</v>
      </c>
      <c r="I987" s="50">
        <v>0</v>
      </c>
      <c r="J987" s="50">
        <v>0</v>
      </c>
      <c r="K987" s="50">
        <v>0</v>
      </c>
      <c r="L987" s="50">
        <v>0</v>
      </c>
      <c r="M987" s="50">
        <v>0</v>
      </c>
      <c r="N987" s="50">
        <v>0</v>
      </c>
      <c r="O987" s="50">
        <v>0</v>
      </c>
      <c r="P987" s="50">
        <v>0</v>
      </c>
      <c r="Q987" s="50">
        <v>0</v>
      </c>
      <c r="R987" s="50">
        <v>0</v>
      </c>
    </row>
    <row r="988" spans="1:18" x14ac:dyDescent="0.25">
      <c r="A988" s="52" t="s">
        <v>648</v>
      </c>
      <c r="B988" s="53"/>
      <c r="C988" s="50">
        <v>22544</v>
      </c>
      <c r="D988" s="50">
        <v>29047</v>
      </c>
      <c r="E988" s="50">
        <v>24000</v>
      </c>
      <c r="F988" s="50">
        <v>31088</v>
      </c>
      <c r="G988" s="50">
        <v>21918</v>
      </c>
      <c r="H988" s="50">
        <v>30640</v>
      </c>
      <c r="I988" s="50">
        <v>31406.799999999996</v>
      </c>
      <c r="J988" s="50">
        <v>32230.75</v>
      </c>
      <c r="K988" s="50">
        <v>33091.326155000002</v>
      </c>
      <c r="L988" s="50">
        <v>33969.013795014995</v>
      </c>
      <c r="M988" s="50">
        <v>34841.858043972483</v>
      </c>
      <c r="N988" s="50">
        <v>35745.495787852968</v>
      </c>
      <c r="O988" s="50">
        <v>36735.68064323334</v>
      </c>
      <c r="P988" s="50">
        <v>37770.951491770902</v>
      </c>
      <c r="Q988" s="50">
        <v>38812.651508211398</v>
      </c>
      <c r="R988" s="50">
        <v>39884.662850951012</v>
      </c>
    </row>
    <row r="989" spans="1:18" x14ac:dyDescent="0.25">
      <c r="A989" s="43" t="s">
        <v>649</v>
      </c>
      <c r="C989" s="170">
        <v>1091</v>
      </c>
      <c r="D989" s="170">
        <v>1091</v>
      </c>
      <c r="E989" s="70">
        <v>1091</v>
      </c>
      <c r="F989" s="104">
        <v>1091</v>
      </c>
      <c r="G989" s="104">
        <v>1153</v>
      </c>
      <c r="H989" s="70">
        <v>1120</v>
      </c>
      <c r="I989" s="70">
        <v>1150</v>
      </c>
      <c r="J989" s="70">
        <v>1180</v>
      </c>
      <c r="K989" s="70">
        <v>1210</v>
      </c>
      <c r="L989" s="70">
        <v>1230</v>
      </c>
      <c r="M989" s="70">
        <v>1260</v>
      </c>
      <c r="N989" s="70">
        <v>1290</v>
      </c>
      <c r="O989" s="70">
        <v>1320</v>
      </c>
      <c r="P989" s="70">
        <v>1360</v>
      </c>
      <c r="Q989" s="70">
        <v>1390</v>
      </c>
      <c r="R989" s="70">
        <v>1390</v>
      </c>
    </row>
    <row r="990" spans="1:18" x14ac:dyDescent="0.25">
      <c r="A990" s="43" t="s">
        <v>304</v>
      </c>
      <c r="C990" s="105">
        <v>14554</v>
      </c>
      <c r="D990" s="105">
        <v>14626</v>
      </c>
      <c r="E990" s="72">
        <v>14948</v>
      </c>
      <c r="F990" s="105">
        <v>15548</v>
      </c>
      <c r="G990" s="105">
        <v>15548</v>
      </c>
      <c r="H990" s="74">
        <v>14860</v>
      </c>
      <c r="I990" s="74">
        <v>15200</v>
      </c>
      <c r="J990" s="74">
        <v>15570</v>
      </c>
      <c r="K990" s="74">
        <v>15940</v>
      </c>
      <c r="L990" s="74">
        <v>16310</v>
      </c>
      <c r="M990" s="74">
        <v>16670</v>
      </c>
      <c r="N990" s="74">
        <v>17050</v>
      </c>
      <c r="O990" s="74">
        <v>17480</v>
      </c>
      <c r="P990" s="74">
        <v>17910</v>
      </c>
      <c r="Q990" s="74">
        <v>18340</v>
      </c>
      <c r="R990" s="74">
        <v>18340</v>
      </c>
    </row>
    <row r="991" spans="1:18" x14ac:dyDescent="0.25">
      <c r="A991" s="52" t="s">
        <v>650</v>
      </c>
      <c r="B991" s="53"/>
      <c r="C991" s="50">
        <v>12428</v>
      </c>
      <c r="D991" s="50">
        <v>15286</v>
      </c>
      <c r="E991" s="50">
        <v>17072</v>
      </c>
      <c r="F991" s="50">
        <v>16483</v>
      </c>
      <c r="G991" s="50">
        <v>8477</v>
      </c>
      <c r="H991" s="50">
        <v>15600</v>
      </c>
      <c r="I991" s="50">
        <v>16002.799999999996</v>
      </c>
      <c r="J991" s="50">
        <v>16431.122799999997</v>
      </c>
      <c r="K991" s="50">
        <v>16878.480087200005</v>
      </c>
      <c r="L991" s="50">
        <v>17336.325895255592</v>
      </c>
      <c r="M991" s="50">
        <v>17793.966079142192</v>
      </c>
      <c r="N991" s="50">
        <v>18266.942538754243</v>
      </c>
      <c r="O991" s="50">
        <v>18781.608788461519</v>
      </c>
      <c r="P991" s="50">
        <v>19319.677626609511</v>
      </c>
      <c r="Q991" s="50">
        <v>19863.311138741694</v>
      </c>
      <c r="R991" s="50">
        <v>20423.241024252777</v>
      </c>
    </row>
    <row r="992" spans="1:18" x14ac:dyDescent="0.25">
      <c r="A992" s="43" t="s">
        <v>649</v>
      </c>
      <c r="C992" s="170">
        <v>0</v>
      </c>
      <c r="D992" s="69">
        <v>0</v>
      </c>
      <c r="E992" s="76">
        <v>0</v>
      </c>
      <c r="F992" s="76">
        <v>0</v>
      </c>
      <c r="G992" s="76">
        <v>0</v>
      </c>
      <c r="H992" s="76">
        <v>0</v>
      </c>
      <c r="I992" s="76">
        <v>0</v>
      </c>
      <c r="J992" s="76">
        <v>0</v>
      </c>
      <c r="K992" s="76">
        <v>0</v>
      </c>
      <c r="L992" s="76">
        <v>0</v>
      </c>
      <c r="M992" s="76">
        <v>0</v>
      </c>
      <c r="N992" s="76">
        <v>0</v>
      </c>
      <c r="O992" s="76">
        <v>0</v>
      </c>
      <c r="P992" s="76">
        <v>0</v>
      </c>
      <c r="Q992" s="76">
        <v>0</v>
      </c>
      <c r="R992" s="76">
        <v>0</v>
      </c>
    </row>
    <row r="993" spans="1:18" x14ac:dyDescent="0.25">
      <c r="A993" s="43" t="s">
        <v>304</v>
      </c>
      <c r="C993" s="105">
        <v>24435</v>
      </c>
      <c r="D993" s="74">
        <v>24435</v>
      </c>
      <c r="E993" s="72">
        <v>24435</v>
      </c>
      <c r="F993" s="72">
        <v>27243</v>
      </c>
      <c r="G993" s="72">
        <v>27243</v>
      </c>
      <c r="H993" s="71">
        <v>14170</v>
      </c>
      <c r="I993" s="71">
        <v>14500</v>
      </c>
      <c r="J993" s="71">
        <v>14850</v>
      </c>
      <c r="K993" s="71">
        <v>15210</v>
      </c>
      <c r="L993" s="71">
        <v>15560</v>
      </c>
      <c r="M993" s="71">
        <v>15900</v>
      </c>
      <c r="N993" s="71">
        <v>16270</v>
      </c>
      <c r="O993" s="71">
        <v>16670</v>
      </c>
      <c r="P993" s="71">
        <v>17090</v>
      </c>
      <c r="Q993" s="71">
        <v>17500</v>
      </c>
      <c r="R993" s="71">
        <v>17500</v>
      </c>
    </row>
    <row r="994" spans="1:18" x14ac:dyDescent="0.25">
      <c r="A994" s="52" t="s">
        <v>651</v>
      </c>
      <c r="B994" s="53"/>
      <c r="C994" s="50">
        <f>195548-11534</f>
        <v>184014</v>
      </c>
      <c r="D994" s="50">
        <v>176928</v>
      </c>
      <c r="E994" s="50">
        <v>171052</v>
      </c>
      <c r="F994" s="50">
        <v>170598</v>
      </c>
      <c r="G994" s="50">
        <v>158269</v>
      </c>
      <c r="H994" s="50">
        <v>215400</v>
      </c>
      <c r="I994" s="50">
        <v>220801.59999999998</v>
      </c>
      <c r="J994" s="50">
        <v>226481.7469</v>
      </c>
      <c r="K994" s="50">
        <v>232340.15048810001</v>
      </c>
      <c r="L994" s="50">
        <v>238182.7505802013</v>
      </c>
      <c r="M994" s="50">
        <v>243963.9186179321</v>
      </c>
      <c r="N994" s="50">
        <v>250079.85735006066</v>
      </c>
      <c r="O994" s="50">
        <v>256816.55305419897</v>
      </c>
      <c r="P994" s="50">
        <v>263772.51245557819</v>
      </c>
      <c r="Q994" s="50">
        <v>270701.45963900496</v>
      </c>
      <c r="R994" s="50">
        <v>277824.11909861001</v>
      </c>
    </row>
    <row r="995" spans="1:18" x14ac:dyDescent="0.25">
      <c r="A995" s="43" t="s">
        <v>649</v>
      </c>
      <c r="C995" s="170">
        <v>11534</v>
      </c>
      <c r="D995" s="69">
        <v>11534</v>
      </c>
      <c r="E995" s="70">
        <v>13257</v>
      </c>
      <c r="F995" s="104">
        <v>16234</v>
      </c>
      <c r="G995" s="104">
        <v>15190</v>
      </c>
      <c r="H995" s="70">
        <v>16620</v>
      </c>
      <c r="I995" s="70">
        <v>17120</v>
      </c>
      <c r="J995" s="70">
        <v>17540</v>
      </c>
      <c r="K995" s="70">
        <v>17950</v>
      </c>
      <c r="L995" s="70">
        <v>18360</v>
      </c>
      <c r="M995" s="70">
        <v>18770</v>
      </c>
      <c r="N995" s="70">
        <v>19200</v>
      </c>
      <c r="O995" s="70">
        <v>19680</v>
      </c>
      <c r="P995" s="70">
        <v>20170</v>
      </c>
      <c r="Q995" s="70">
        <v>20650</v>
      </c>
      <c r="R995" s="70">
        <v>20650</v>
      </c>
    </row>
    <row r="996" spans="1:18" x14ac:dyDescent="0.25">
      <c r="A996" s="43" t="s">
        <v>304</v>
      </c>
      <c r="C996" s="120">
        <v>0</v>
      </c>
      <c r="D996" s="74">
        <v>0</v>
      </c>
      <c r="E996" s="100">
        <v>0</v>
      </c>
      <c r="F996" s="100">
        <v>0</v>
      </c>
      <c r="G996" s="100">
        <v>0</v>
      </c>
      <c r="H996" s="100">
        <v>0</v>
      </c>
      <c r="I996" s="100">
        <v>0</v>
      </c>
      <c r="J996" s="100">
        <v>0</v>
      </c>
      <c r="K996" s="100">
        <v>0</v>
      </c>
      <c r="L996" s="100">
        <v>0</v>
      </c>
      <c r="M996" s="100">
        <v>0</v>
      </c>
      <c r="N996" s="100">
        <v>0</v>
      </c>
      <c r="O996" s="100">
        <v>0</v>
      </c>
      <c r="P996" s="100">
        <v>0</v>
      </c>
      <c r="Q996" s="100">
        <v>0</v>
      </c>
      <c r="R996" s="100">
        <v>0</v>
      </c>
    </row>
    <row r="997" spans="1:18" x14ac:dyDescent="0.25">
      <c r="A997" s="52" t="s">
        <v>652</v>
      </c>
      <c r="C997" s="117">
        <v>1414</v>
      </c>
      <c r="D997" s="81">
        <v>1932</v>
      </c>
      <c r="E997" s="171">
        <v>1793</v>
      </c>
      <c r="F997" s="171">
        <v>1793</v>
      </c>
      <c r="G997" s="171">
        <v>1793</v>
      </c>
      <c r="H997" s="171">
        <v>1840</v>
      </c>
      <c r="I997" s="171">
        <v>1880</v>
      </c>
      <c r="J997" s="171">
        <v>1920</v>
      </c>
      <c r="K997" s="171">
        <v>1980</v>
      </c>
      <c r="L997" s="171">
        <v>2010</v>
      </c>
      <c r="M997" s="171">
        <v>2050</v>
      </c>
      <c r="N997" s="171">
        <v>2110</v>
      </c>
      <c r="O997" s="171">
        <v>2150</v>
      </c>
      <c r="P997" s="171">
        <v>2220</v>
      </c>
      <c r="Q997" s="171">
        <v>2260</v>
      </c>
      <c r="R997" s="171">
        <v>2260</v>
      </c>
    </row>
    <row r="998" spans="1:18" x14ac:dyDescent="0.25">
      <c r="A998" s="52" t="s">
        <v>645</v>
      </c>
      <c r="C998" s="50">
        <v>4519</v>
      </c>
      <c r="D998">
        <v>3919</v>
      </c>
      <c r="E998">
        <v>15095</v>
      </c>
      <c r="F998" s="54">
        <v>7188</v>
      </c>
      <c r="G998" s="54">
        <v>8502</v>
      </c>
      <c r="H998" s="54">
        <v>9410</v>
      </c>
      <c r="I998" s="50">
        <v>9648.6499999999978</v>
      </c>
      <c r="J998" s="50">
        <v>9896.4689499999986</v>
      </c>
      <c r="K998" s="50">
        <v>10151.55616355</v>
      </c>
      <c r="L998" s="50">
        <v>10408.68888304915</v>
      </c>
      <c r="M998" s="50">
        <v>10666.734609832723</v>
      </c>
      <c r="N998" s="50">
        <v>10936.574690833146</v>
      </c>
      <c r="O998" s="50">
        <v>11226.012342333388</v>
      </c>
      <c r="P998" s="50">
        <v>11524.181308231349</v>
      </c>
      <c r="Q998" s="50">
        <v>11824.47973976898</v>
      </c>
      <c r="R998" s="50">
        <v>12133.000118337573</v>
      </c>
    </row>
    <row r="999" spans="1:18" s="43" customFormat="1" x14ac:dyDescent="0.25">
      <c r="A999" s="43" t="s">
        <v>304</v>
      </c>
      <c r="B999" s="42"/>
      <c r="C999" s="120">
        <v>1333</v>
      </c>
      <c r="D999" s="120">
        <v>1333</v>
      </c>
      <c r="E999" s="72">
        <v>1333</v>
      </c>
      <c r="F999" s="105">
        <v>1333</v>
      </c>
      <c r="G999" s="105">
        <v>1333</v>
      </c>
      <c r="H999" s="71">
        <v>1390</v>
      </c>
      <c r="I999" s="71">
        <v>1420</v>
      </c>
      <c r="J999" s="71">
        <v>1450</v>
      </c>
      <c r="K999" s="71">
        <v>1480</v>
      </c>
      <c r="L999" s="71">
        <v>1520</v>
      </c>
      <c r="M999" s="71">
        <v>1550</v>
      </c>
      <c r="N999" s="71">
        <v>1580</v>
      </c>
      <c r="O999" s="71">
        <v>1620</v>
      </c>
      <c r="P999" s="71">
        <v>1670</v>
      </c>
      <c r="Q999" s="71">
        <v>1670</v>
      </c>
      <c r="R999" s="71">
        <v>1670</v>
      </c>
    </row>
    <row r="1000" spans="1:18" x14ac:dyDescent="0.25">
      <c r="A1000" s="43" t="s">
        <v>653</v>
      </c>
      <c r="C1000" s="50">
        <v>0</v>
      </c>
      <c r="D1000" s="54">
        <v>0</v>
      </c>
      <c r="E1000" s="54">
        <v>0</v>
      </c>
      <c r="F1000" s="54">
        <v>0</v>
      </c>
      <c r="G1000" s="54">
        <v>0</v>
      </c>
      <c r="H1000" s="54">
        <v>0</v>
      </c>
      <c r="I1000" s="54">
        <f>H1000*1.026</f>
        <v>0</v>
      </c>
      <c r="J1000" s="54">
        <f t="shared" ref="J1000" si="541">I1000*1.033</f>
        <v>0</v>
      </c>
      <c r="K1000" s="54">
        <f t="shared" ref="K1000" si="542">J1000*1.035</f>
        <v>0</v>
      </c>
      <c r="L1000" s="54">
        <f t="shared" ref="L1000:M1000" si="543">K1000*1.036</f>
        <v>0</v>
      </c>
      <c r="M1000" s="54">
        <f t="shared" si="543"/>
        <v>0</v>
      </c>
      <c r="N1000" s="54">
        <f t="shared" ref="N1000" si="544">M1000*1.034</f>
        <v>0</v>
      </c>
      <c r="O1000" s="54">
        <f t="shared" ref="O1000" si="545">N1000*1.032</f>
        <v>0</v>
      </c>
      <c r="P1000" s="54">
        <f t="shared" ref="P1000:R1000" si="546">O1000*1.034</f>
        <v>0</v>
      </c>
      <c r="Q1000" s="54">
        <f t="shared" si="546"/>
        <v>0</v>
      </c>
      <c r="R1000" s="54">
        <f t="shared" si="546"/>
        <v>0</v>
      </c>
    </row>
    <row r="1001" spans="1:18" x14ac:dyDescent="0.25">
      <c r="A1001" s="43" t="s">
        <v>654</v>
      </c>
      <c r="C1001" s="50">
        <v>0</v>
      </c>
      <c r="D1001" s="54">
        <v>0</v>
      </c>
      <c r="E1001" s="54">
        <v>0</v>
      </c>
      <c r="F1001" s="54">
        <v>0</v>
      </c>
      <c r="G1001" s="54">
        <v>0</v>
      </c>
      <c r="H1001" s="54">
        <v>0</v>
      </c>
      <c r="I1001" s="54">
        <v>0</v>
      </c>
      <c r="J1001" s="54">
        <v>0</v>
      </c>
      <c r="K1001" s="54">
        <v>0</v>
      </c>
      <c r="L1001" s="54">
        <v>0</v>
      </c>
      <c r="M1001" s="54">
        <v>0</v>
      </c>
      <c r="N1001" s="54">
        <v>0</v>
      </c>
      <c r="O1001" s="54">
        <v>0</v>
      </c>
      <c r="P1001" s="54">
        <v>0</v>
      </c>
      <c r="Q1001" s="54">
        <f t="shared" ref="Q1001:R1001" si="547">P1001*1.037</f>
        <v>0</v>
      </c>
      <c r="R1001" s="54">
        <f t="shared" si="547"/>
        <v>0</v>
      </c>
    </row>
    <row r="1002" spans="1:18" x14ac:dyDescent="0.25">
      <c r="C1002" s="50"/>
      <c r="D1002" s="50"/>
      <c r="E1002" s="50"/>
      <c r="F1002" s="50"/>
      <c r="G1002" s="50"/>
      <c r="H1002" s="50"/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</row>
    <row r="1003" spans="1:18" x14ac:dyDescent="0.25">
      <c r="A1003" s="41" t="s">
        <v>230</v>
      </c>
      <c r="B1003" s="44"/>
      <c r="C1003" s="51">
        <f t="shared" ref="C1003" si="548">SUM(C981:C1002)</f>
        <v>344941</v>
      </c>
      <c r="D1003" s="51">
        <f t="shared" ref="D1003:R1003" si="549">SUM(D981:D1002)</f>
        <v>357829</v>
      </c>
      <c r="E1003" s="51">
        <f t="shared" si="549"/>
        <v>353550</v>
      </c>
      <c r="F1003" s="51">
        <f t="shared" si="549"/>
        <v>362366</v>
      </c>
      <c r="G1003" s="51">
        <f t="shared" si="549"/>
        <v>360924</v>
      </c>
      <c r="H1003" s="51">
        <f t="shared" si="549"/>
        <v>423950</v>
      </c>
      <c r="I1003" s="51">
        <f t="shared" si="549"/>
        <v>434348.55</v>
      </c>
      <c r="J1003" s="51">
        <f t="shared" si="549"/>
        <v>445799.44995000004</v>
      </c>
      <c r="K1003" s="51">
        <f t="shared" si="549"/>
        <v>457466.97547255002</v>
      </c>
      <c r="L1003" s="51">
        <f t="shared" si="549"/>
        <v>470072.07883200614</v>
      </c>
      <c r="M1003" s="51">
        <f t="shared" si="549"/>
        <v>481901.75429096195</v>
      </c>
      <c r="N1003" s="51">
        <f t="shared" si="549"/>
        <v>494131.41044025309</v>
      </c>
      <c r="O1003" s="51">
        <f t="shared" si="549"/>
        <v>507865.38371873717</v>
      </c>
      <c r="P1003" s="51">
        <f t="shared" si="549"/>
        <v>521992.67147131165</v>
      </c>
      <c r="Q1003" s="51">
        <f t="shared" si="549"/>
        <v>536112.44636603747</v>
      </c>
      <c r="R1003" s="51">
        <f t="shared" si="549"/>
        <v>549221.16049277072</v>
      </c>
    </row>
    <row r="1004" spans="1:18" x14ac:dyDescent="0.25">
      <c r="C1004" s="50"/>
      <c r="D1004" s="50"/>
      <c r="E1004" s="50"/>
      <c r="F1004" s="50"/>
      <c r="G1004" s="50"/>
      <c r="H1004" s="50"/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</row>
    <row r="1005" spans="1:18" x14ac:dyDescent="0.25">
      <c r="A1005" s="41" t="s">
        <v>251</v>
      </c>
      <c r="B1005" s="44"/>
      <c r="C1005" s="50"/>
      <c r="D1005" s="50"/>
      <c r="E1005" s="50"/>
      <c r="F1005" s="50"/>
      <c r="G1005" s="50"/>
      <c r="H1005" s="50"/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</row>
    <row r="1006" spans="1:18" x14ac:dyDescent="0.25">
      <c r="C1006" s="50"/>
      <c r="D1006" s="50"/>
      <c r="E1006" s="50"/>
      <c r="F1006" s="50"/>
      <c r="G1006" s="50"/>
      <c r="H1006" s="50"/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</row>
    <row r="1007" spans="1:18" x14ac:dyDescent="0.25">
      <c r="A1007" s="64" t="s">
        <v>655</v>
      </c>
      <c r="C1007" s="50">
        <v>0</v>
      </c>
      <c r="D1007" s="50">
        <v>0</v>
      </c>
      <c r="E1007" s="50">
        <v>0</v>
      </c>
      <c r="F1007" s="50">
        <v>0</v>
      </c>
      <c r="G1007" s="50">
        <v>0</v>
      </c>
      <c r="H1007" s="63">
        <v>50000</v>
      </c>
      <c r="I1007" s="50">
        <v>0</v>
      </c>
      <c r="J1007" s="50">
        <v>0</v>
      </c>
      <c r="K1007" s="50">
        <v>0</v>
      </c>
      <c r="L1007" s="50">
        <v>0</v>
      </c>
      <c r="M1007" s="50">
        <v>0</v>
      </c>
      <c r="N1007" s="50">
        <v>0</v>
      </c>
      <c r="O1007" s="50">
        <v>0</v>
      </c>
      <c r="P1007" s="50">
        <v>0</v>
      </c>
      <c r="Q1007" s="50">
        <v>0</v>
      </c>
      <c r="R1007" s="50">
        <v>0</v>
      </c>
    </row>
    <row r="1008" spans="1:18" x14ac:dyDescent="0.25">
      <c r="C1008" s="50"/>
      <c r="D1008" s="50"/>
      <c r="E1008" s="50"/>
      <c r="F1008" s="50"/>
      <c r="G1008" s="50"/>
      <c r="H1008" s="50"/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</row>
    <row r="1009" spans="1:18" x14ac:dyDescent="0.25">
      <c r="A1009" s="41" t="s">
        <v>254</v>
      </c>
      <c r="B1009" s="44"/>
      <c r="C1009" s="51">
        <f t="shared" ref="C1009:E1009" si="550">SUM(C1007:C1008)</f>
        <v>0</v>
      </c>
      <c r="D1009" s="51">
        <f t="shared" si="550"/>
        <v>0</v>
      </c>
      <c r="E1009" s="51">
        <f t="shared" si="550"/>
        <v>0</v>
      </c>
      <c r="F1009" s="51">
        <v>0</v>
      </c>
      <c r="G1009" s="51">
        <v>0</v>
      </c>
      <c r="H1009" s="51">
        <f>SUM(H1007:H1008)</f>
        <v>50000</v>
      </c>
      <c r="I1009" s="51">
        <f>SUM(I1007:I1008)</f>
        <v>0</v>
      </c>
      <c r="J1009" s="51">
        <f t="shared" ref="J1009:R1009" si="551">SUM(J1007:J1008)</f>
        <v>0</v>
      </c>
      <c r="K1009" s="51">
        <f t="shared" si="551"/>
        <v>0</v>
      </c>
      <c r="L1009" s="51">
        <f t="shared" si="551"/>
        <v>0</v>
      </c>
      <c r="M1009" s="51">
        <f t="shared" si="551"/>
        <v>0</v>
      </c>
      <c r="N1009" s="51">
        <f t="shared" si="551"/>
        <v>0</v>
      </c>
      <c r="O1009" s="51">
        <f t="shared" si="551"/>
        <v>0</v>
      </c>
      <c r="P1009" s="51">
        <f t="shared" si="551"/>
        <v>0</v>
      </c>
      <c r="Q1009" s="51">
        <f t="shared" si="551"/>
        <v>0</v>
      </c>
      <c r="R1009" s="51">
        <f t="shared" si="551"/>
        <v>0</v>
      </c>
    </row>
    <row r="1010" spans="1:18" x14ac:dyDescent="0.25">
      <c r="A1010" s="41"/>
      <c r="B1010" s="44"/>
      <c r="C1010" s="50"/>
      <c r="D1010" s="50"/>
      <c r="E1010" s="50"/>
      <c r="F1010" s="50"/>
      <c r="G1010" s="50"/>
      <c r="H1010" s="50"/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</row>
    <row r="1011" spans="1:18" x14ac:dyDescent="0.25">
      <c r="A1011" s="41" t="s">
        <v>171</v>
      </c>
      <c r="B1011" s="44"/>
      <c r="C1011" s="50"/>
      <c r="D1011" s="50"/>
      <c r="E1011" s="50"/>
      <c r="F1011" s="50"/>
      <c r="G1011" s="50"/>
      <c r="H1011" s="50"/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</row>
    <row r="1012" spans="1:18" x14ac:dyDescent="0.25">
      <c r="A1012" s="41"/>
      <c r="B1012" s="44"/>
      <c r="C1012" s="50"/>
      <c r="D1012" s="50"/>
      <c r="E1012" s="50"/>
      <c r="F1012" s="50"/>
      <c r="G1012" s="50"/>
      <c r="H1012" s="50"/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</row>
    <row r="1013" spans="1:18" x14ac:dyDescent="0.25">
      <c r="A1013" s="41" t="s">
        <v>656</v>
      </c>
      <c r="B1013" s="44"/>
      <c r="C1013" s="50"/>
      <c r="D1013" s="50"/>
      <c r="E1013" s="50"/>
      <c r="F1013" s="50"/>
      <c r="G1013" s="50"/>
      <c r="H1013" s="50"/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</row>
    <row r="1014" spans="1:18" x14ac:dyDescent="0.25">
      <c r="A1014" s="91" t="s">
        <v>400</v>
      </c>
      <c r="B1014" s="163" t="s">
        <v>317</v>
      </c>
      <c r="C1014" s="50">
        <v>0</v>
      </c>
      <c r="D1014" s="50">
        <v>0</v>
      </c>
      <c r="E1014" s="50">
        <v>0</v>
      </c>
      <c r="F1014" s="50">
        <v>26545</v>
      </c>
      <c r="G1014" s="50">
        <v>0</v>
      </c>
      <c r="H1014" s="50">
        <v>0</v>
      </c>
      <c r="I1014" s="50">
        <v>0</v>
      </c>
      <c r="J1014" s="50">
        <v>0</v>
      </c>
      <c r="K1014" s="50">
        <v>0</v>
      </c>
      <c r="L1014" s="50">
        <v>0</v>
      </c>
      <c r="M1014" s="50">
        <v>0</v>
      </c>
      <c r="N1014" s="50">
        <v>0</v>
      </c>
      <c r="O1014" s="50">
        <v>0</v>
      </c>
      <c r="P1014" s="50">
        <v>0</v>
      </c>
      <c r="Q1014" s="50">
        <v>0</v>
      </c>
      <c r="R1014" s="50">
        <v>0</v>
      </c>
    </row>
    <row r="1015" spans="1:18" x14ac:dyDescent="0.25">
      <c r="A1015" s="91" t="s">
        <v>657</v>
      </c>
      <c r="B1015" s="163" t="s">
        <v>317</v>
      </c>
      <c r="C1015" s="50"/>
      <c r="D1015" s="50"/>
      <c r="E1015" s="85">
        <v>13282</v>
      </c>
      <c r="F1015" s="50"/>
      <c r="G1015" s="50"/>
      <c r="H1015" s="50"/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</row>
    <row r="1016" spans="1:18" x14ac:dyDescent="0.25">
      <c r="A1016" s="91" t="s">
        <v>658</v>
      </c>
      <c r="B1016" s="163" t="s">
        <v>317</v>
      </c>
      <c r="C1016" s="50">
        <v>0</v>
      </c>
      <c r="D1016" s="50">
        <v>0</v>
      </c>
      <c r="E1016" s="50">
        <v>0</v>
      </c>
      <c r="F1016" s="50"/>
      <c r="G1016" s="50">
        <v>0</v>
      </c>
      <c r="H1016" s="50">
        <v>0</v>
      </c>
      <c r="I1016" s="50">
        <v>0</v>
      </c>
      <c r="J1016" s="50">
        <v>0</v>
      </c>
      <c r="K1016" s="50">
        <v>0</v>
      </c>
      <c r="L1016" s="50">
        <v>0</v>
      </c>
      <c r="M1016" s="50">
        <v>0</v>
      </c>
      <c r="N1016" s="50">
        <v>0</v>
      </c>
      <c r="O1016" s="50">
        <v>0</v>
      </c>
      <c r="P1016" s="50">
        <v>0</v>
      </c>
      <c r="Q1016" s="50">
        <v>0</v>
      </c>
      <c r="R1016" s="50">
        <v>0</v>
      </c>
    </row>
    <row r="1017" spans="1:18" s="43" customFormat="1" x14ac:dyDescent="0.25">
      <c r="A1017" s="93" t="s">
        <v>396</v>
      </c>
      <c r="B1017" s="96" t="s">
        <v>330</v>
      </c>
      <c r="C1017" s="50"/>
      <c r="D1017" s="50"/>
      <c r="E1017" s="50"/>
      <c r="F1017" s="50">
        <v>1930</v>
      </c>
      <c r="G1017" s="50"/>
      <c r="H1017" s="50"/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</row>
    <row r="1018" spans="1:18" s="43" customFormat="1" x14ac:dyDescent="0.25">
      <c r="A1018" s="93" t="s">
        <v>321</v>
      </c>
      <c r="B1018" s="96" t="s">
        <v>330</v>
      </c>
      <c r="C1018" s="50"/>
      <c r="D1018" s="50"/>
      <c r="E1018" s="50"/>
      <c r="F1018" s="50">
        <v>364</v>
      </c>
      <c r="G1018" s="50"/>
      <c r="H1018" s="50"/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</row>
    <row r="1019" spans="1:18" s="43" customFormat="1" x14ac:dyDescent="0.25">
      <c r="A1019" s="93" t="s">
        <v>659</v>
      </c>
      <c r="B1019" s="96" t="s">
        <v>330</v>
      </c>
      <c r="C1019" s="50"/>
      <c r="D1019" s="50"/>
      <c r="E1019" s="50"/>
      <c r="F1019" s="50"/>
      <c r="G1019" s="172"/>
      <c r="H1019" s="172"/>
      <c r="I1019" s="50"/>
      <c r="J1019" s="50"/>
      <c r="K1019" s="50"/>
      <c r="L1019" s="50"/>
      <c r="M1019" s="50"/>
      <c r="N1019" s="50">
        <v>0</v>
      </c>
      <c r="O1019" s="50"/>
      <c r="P1019" s="50"/>
      <c r="Q1019" s="50"/>
      <c r="R1019" s="50"/>
    </row>
    <row r="1020" spans="1:18" s="43" customFormat="1" x14ac:dyDescent="0.25">
      <c r="A1020" s="93" t="s">
        <v>660</v>
      </c>
      <c r="B1020" s="96" t="s">
        <v>330</v>
      </c>
      <c r="C1020" s="50"/>
      <c r="D1020" s="50"/>
      <c r="E1020" s="50"/>
      <c r="F1020" s="50"/>
      <c r="G1020" s="172"/>
      <c r="H1020" s="172"/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</row>
    <row r="1021" spans="1:18" s="43" customFormat="1" x14ac:dyDescent="0.25">
      <c r="A1021" s="87" t="s">
        <v>322</v>
      </c>
      <c r="B1021" s="96" t="s">
        <v>323</v>
      </c>
      <c r="C1021" s="50"/>
      <c r="D1021" s="50"/>
      <c r="E1021" s="50"/>
      <c r="F1021" s="50"/>
      <c r="G1021" s="50"/>
      <c r="H1021" s="50"/>
      <c r="I1021" s="172"/>
      <c r="J1021" s="50"/>
      <c r="K1021" s="89">
        <v>25000</v>
      </c>
      <c r="L1021" s="50"/>
      <c r="M1021" s="50"/>
      <c r="N1021" s="50"/>
      <c r="O1021" s="50"/>
      <c r="P1021" s="89">
        <v>20000</v>
      </c>
      <c r="Q1021" s="50"/>
      <c r="R1021" s="50"/>
    </row>
    <row r="1022" spans="1:18" s="43" customFormat="1" x14ac:dyDescent="0.25">
      <c r="A1022" s="87" t="s">
        <v>324</v>
      </c>
      <c r="B1022" s="96" t="s">
        <v>323</v>
      </c>
      <c r="C1022" s="50"/>
      <c r="D1022" s="50"/>
      <c r="E1022" s="50"/>
      <c r="F1022" s="50"/>
      <c r="G1022" s="50"/>
      <c r="H1022" s="50"/>
      <c r="I1022" s="95">
        <v>25000</v>
      </c>
      <c r="J1022" s="50"/>
      <c r="K1022" s="50"/>
      <c r="L1022" s="50"/>
      <c r="M1022" s="50"/>
      <c r="N1022" s="50"/>
      <c r="O1022" s="50"/>
      <c r="P1022" s="50"/>
      <c r="Q1022" s="50"/>
      <c r="R1022" s="50"/>
    </row>
    <row r="1023" spans="1:18" x14ac:dyDescent="0.25">
      <c r="A1023" s="41" t="s">
        <v>661</v>
      </c>
      <c r="B1023" s="44"/>
      <c r="C1023" s="50"/>
      <c r="D1023" s="50"/>
      <c r="E1023" s="50"/>
      <c r="F1023" s="50"/>
      <c r="G1023" s="50"/>
      <c r="H1023" s="50"/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</row>
    <row r="1024" spans="1:18" x14ac:dyDescent="0.25">
      <c r="A1024" s="91" t="s">
        <v>662</v>
      </c>
      <c r="B1024" s="163" t="s">
        <v>317</v>
      </c>
      <c r="C1024" s="50">
        <v>0</v>
      </c>
      <c r="D1024" s="50">
        <v>0</v>
      </c>
      <c r="E1024" s="85">
        <v>4836</v>
      </c>
      <c r="F1024" s="50">
        <v>0</v>
      </c>
      <c r="G1024" s="50">
        <v>0</v>
      </c>
      <c r="H1024" s="50">
        <v>0</v>
      </c>
      <c r="I1024" s="50">
        <v>0</v>
      </c>
      <c r="J1024" s="50">
        <v>0</v>
      </c>
      <c r="K1024" s="50">
        <v>0</v>
      </c>
      <c r="L1024" s="50">
        <v>0</v>
      </c>
      <c r="M1024" s="50">
        <v>0</v>
      </c>
      <c r="N1024" s="50"/>
      <c r="O1024" s="50">
        <v>0</v>
      </c>
      <c r="P1024" s="50">
        <v>0</v>
      </c>
      <c r="Q1024" s="50">
        <v>0</v>
      </c>
      <c r="R1024" s="50">
        <v>0</v>
      </c>
    </row>
    <row r="1025" spans="1:18" x14ac:dyDescent="0.25">
      <c r="A1025" s="91" t="s">
        <v>663</v>
      </c>
      <c r="B1025" s="163" t="s">
        <v>317</v>
      </c>
      <c r="C1025" s="50">
        <v>0</v>
      </c>
      <c r="D1025" s="50">
        <v>0</v>
      </c>
      <c r="E1025" s="50">
        <v>0</v>
      </c>
      <c r="F1025" s="85">
        <v>9724</v>
      </c>
      <c r="G1025" s="50">
        <v>0</v>
      </c>
      <c r="H1025" s="50">
        <v>0</v>
      </c>
      <c r="I1025" s="50">
        <v>0</v>
      </c>
      <c r="J1025" s="50">
        <v>0</v>
      </c>
      <c r="K1025" s="50">
        <v>0</v>
      </c>
      <c r="L1025" s="50">
        <v>0</v>
      </c>
      <c r="M1025" s="50">
        <v>0</v>
      </c>
      <c r="N1025" s="50">
        <v>0</v>
      </c>
      <c r="O1025" s="50">
        <v>0</v>
      </c>
      <c r="P1025" s="50">
        <v>0</v>
      </c>
      <c r="Q1025" s="50">
        <v>0</v>
      </c>
      <c r="R1025" s="50">
        <v>0</v>
      </c>
    </row>
    <row r="1026" spans="1:18" x14ac:dyDescent="0.25">
      <c r="A1026" s="91" t="s">
        <v>664</v>
      </c>
      <c r="B1026" s="163" t="s">
        <v>317</v>
      </c>
      <c r="C1026" s="50">
        <v>0</v>
      </c>
      <c r="D1026" s="50">
        <v>0</v>
      </c>
      <c r="E1026" s="50">
        <v>0</v>
      </c>
      <c r="F1026" s="50">
        <v>0</v>
      </c>
      <c r="G1026" s="50">
        <v>0</v>
      </c>
      <c r="H1026" s="50">
        <v>0</v>
      </c>
      <c r="I1026" s="50">
        <v>0</v>
      </c>
      <c r="J1026" s="50">
        <v>0</v>
      </c>
      <c r="K1026" s="50">
        <v>0</v>
      </c>
      <c r="L1026" s="50">
        <v>0</v>
      </c>
      <c r="M1026" s="50">
        <v>0</v>
      </c>
      <c r="N1026" s="50">
        <v>0</v>
      </c>
      <c r="O1026" s="50">
        <v>0</v>
      </c>
      <c r="P1026" s="50">
        <v>0</v>
      </c>
      <c r="Q1026" s="50">
        <v>0</v>
      </c>
      <c r="R1026" s="50">
        <v>0</v>
      </c>
    </row>
    <row r="1027" spans="1:18" x14ac:dyDescent="0.25">
      <c r="A1027" s="91" t="s">
        <v>326</v>
      </c>
      <c r="B1027" s="163" t="s">
        <v>317</v>
      </c>
      <c r="C1027" s="50">
        <v>0</v>
      </c>
      <c r="D1027" s="50">
        <v>0</v>
      </c>
      <c r="E1027" s="50">
        <v>0</v>
      </c>
      <c r="F1027" s="50">
        <v>0</v>
      </c>
      <c r="G1027" s="50">
        <v>0</v>
      </c>
      <c r="H1027" s="50">
        <v>0</v>
      </c>
      <c r="I1027" s="50">
        <v>0</v>
      </c>
      <c r="J1027" s="50">
        <v>0</v>
      </c>
      <c r="K1027" s="50">
        <v>0</v>
      </c>
      <c r="L1027" s="50">
        <v>0</v>
      </c>
      <c r="M1027" s="50">
        <v>0</v>
      </c>
      <c r="N1027" s="50">
        <v>0</v>
      </c>
      <c r="O1027" s="50">
        <v>0</v>
      </c>
      <c r="P1027" s="50">
        <v>0</v>
      </c>
      <c r="Q1027" s="50">
        <v>0</v>
      </c>
      <c r="R1027" s="50">
        <v>0</v>
      </c>
    </row>
    <row r="1028" spans="1:18" x14ac:dyDescent="0.25">
      <c r="A1028" s="91" t="s">
        <v>665</v>
      </c>
      <c r="B1028" s="163" t="s">
        <v>317</v>
      </c>
      <c r="C1028" s="50">
        <v>0</v>
      </c>
      <c r="D1028" s="50">
        <v>0</v>
      </c>
      <c r="E1028" s="85">
        <v>0</v>
      </c>
      <c r="F1028" s="50">
        <v>6608</v>
      </c>
      <c r="G1028" s="50">
        <v>0</v>
      </c>
      <c r="H1028" s="50">
        <v>0</v>
      </c>
      <c r="I1028" s="50">
        <v>0</v>
      </c>
      <c r="J1028" s="50">
        <v>0</v>
      </c>
      <c r="K1028" s="50">
        <v>0</v>
      </c>
      <c r="L1028" s="50">
        <v>0</v>
      </c>
      <c r="M1028" s="50">
        <v>0</v>
      </c>
      <c r="N1028" s="50"/>
      <c r="O1028" s="50">
        <v>0</v>
      </c>
      <c r="P1028" s="50">
        <v>0</v>
      </c>
      <c r="Q1028" s="50">
        <v>0</v>
      </c>
      <c r="R1028" s="50">
        <v>0</v>
      </c>
    </row>
    <row r="1029" spans="1:18" x14ac:dyDescent="0.25">
      <c r="A1029" s="91" t="s">
        <v>666</v>
      </c>
      <c r="B1029" s="163" t="s">
        <v>317</v>
      </c>
      <c r="C1029" s="54">
        <v>9458</v>
      </c>
      <c r="D1029" s="50"/>
      <c r="E1029" s="50"/>
      <c r="F1029" s="50"/>
      <c r="G1029" s="50"/>
      <c r="H1029" s="50"/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</row>
    <row r="1030" spans="1:18" x14ac:dyDescent="0.25">
      <c r="A1030" s="137" t="s">
        <v>667</v>
      </c>
      <c r="B1030" s="163" t="s">
        <v>317</v>
      </c>
      <c r="C1030" s="54"/>
      <c r="D1030" s="85">
        <v>2867</v>
      </c>
      <c r="E1030" s="50"/>
      <c r="F1030" s="50"/>
      <c r="G1030" s="50"/>
      <c r="H1030" s="50"/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</row>
    <row r="1031" spans="1:18" x14ac:dyDescent="0.25">
      <c r="A1031" s="93" t="s">
        <v>668</v>
      </c>
      <c r="B1031" s="96" t="s">
        <v>330</v>
      </c>
      <c r="C1031" s="50"/>
      <c r="D1031" s="50"/>
      <c r="E1031" s="50"/>
      <c r="F1031" s="50"/>
      <c r="G1031" s="50"/>
      <c r="H1031" s="50"/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</row>
    <row r="1032" spans="1:18" x14ac:dyDescent="0.25">
      <c r="A1032" s="93" t="s">
        <v>669</v>
      </c>
      <c r="B1032" s="96" t="s">
        <v>330</v>
      </c>
      <c r="C1032" s="54">
        <v>2200</v>
      </c>
      <c r="D1032" s="50"/>
      <c r="E1032" s="50"/>
      <c r="F1032" s="50"/>
      <c r="G1032" s="50"/>
      <c r="H1032" s="50"/>
      <c r="I1032" s="50"/>
      <c r="J1032" s="50"/>
      <c r="K1032" s="50"/>
      <c r="L1032" s="50"/>
      <c r="M1032" s="50"/>
      <c r="N1032" s="67"/>
    </row>
    <row r="1033" spans="1:18" x14ac:dyDescent="0.25">
      <c r="A1033" s="93" t="s">
        <v>670</v>
      </c>
      <c r="B1033" s="96" t="s">
        <v>330</v>
      </c>
      <c r="C1033" s="50"/>
      <c r="D1033" s="50"/>
      <c r="E1033" s="50"/>
      <c r="F1033" s="50"/>
      <c r="G1033" s="50"/>
      <c r="H1033" s="50"/>
      <c r="I1033" s="50"/>
      <c r="J1033" s="50"/>
      <c r="K1033" s="50"/>
      <c r="L1033" s="50"/>
      <c r="M1033" s="50"/>
      <c r="N1033" s="50">
        <v>0</v>
      </c>
      <c r="O1033" s="50"/>
      <c r="P1033" s="50"/>
      <c r="Q1033" s="50"/>
      <c r="R1033" s="50"/>
    </row>
    <row r="1034" spans="1:18" x14ac:dyDescent="0.25">
      <c r="A1034" s="87" t="s">
        <v>322</v>
      </c>
      <c r="B1034" s="96" t="s">
        <v>323</v>
      </c>
      <c r="C1034" s="50"/>
      <c r="D1034" s="50"/>
      <c r="E1034" s="50"/>
      <c r="F1034" s="50"/>
      <c r="G1034" s="50"/>
      <c r="H1034" s="50"/>
      <c r="I1034" s="50"/>
      <c r="J1034" s="50"/>
      <c r="K1034" s="50"/>
      <c r="L1034" s="50"/>
      <c r="M1034" s="50"/>
      <c r="N1034" s="50"/>
      <c r="O1034" s="50"/>
      <c r="P1034" s="89">
        <v>30000</v>
      </c>
      <c r="Q1034" s="50"/>
      <c r="R1034" s="50"/>
    </row>
    <row r="1035" spans="1:18" x14ac:dyDescent="0.25">
      <c r="A1035" s="87" t="s">
        <v>324</v>
      </c>
      <c r="B1035" s="96" t="s">
        <v>323</v>
      </c>
      <c r="C1035" s="50"/>
      <c r="D1035" s="50"/>
      <c r="E1035" s="50"/>
      <c r="F1035" s="50"/>
      <c r="G1035" s="50"/>
      <c r="H1035" s="50"/>
      <c r="I1035" s="50"/>
      <c r="J1035" s="50"/>
      <c r="K1035" s="50"/>
      <c r="L1035" s="50"/>
      <c r="M1035" s="89">
        <v>30000</v>
      </c>
      <c r="N1035" s="50"/>
      <c r="O1035" s="50"/>
      <c r="P1035" s="89">
        <v>40000</v>
      </c>
      <c r="Q1035" s="50"/>
      <c r="R1035" s="50"/>
    </row>
    <row r="1036" spans="1:18" x14ac:dyDescent="0.25">
      <c r="A1036" s="41" t="s">
        <v>671</v>
      </c>
      <c r="B1036" s="44"/>
      <c r="C1036" s="50"/>
      <c r="D1036" s="50"/>
      <c r="E1036" s="50"/>
      <c r="F1036" s="50"/>
      <c r="G1036" s="50"/>
      <c r="H1036" s="50"/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</row>
    <row r="1037" spans="1:18" x14ac:dyDescent="0.25">
      <c r="A1037" s="91" t="s">
        <v>672</v>
      </c>
      <c r="B1037" s="163" t="s">
        <v>317</v>
      </c>
      <c r="C1037" s="50">
        <v>0</v>
      </c>
      <c r="D1037" s="50">
        <v>0</v>
      </c>
      <c r="E1037" s="50">
        <v>0</v>
      </c>
      <c r="F1037" s="50">
        <v>0</v>
      </c>
      <c r="G1037" s="50">
        <v>0</v>
      </c>
      <c r="H1037" s="50">
        <v>0</v>
      </c>
      <c r="I1037" s="50">
        <v>0</v>
      </c>
      <c r="J1037" s="50">
        <v>0</v>
      </c>
      <c r="K1037" s="50">
        <v>0</v>
      </c>
      <c r="L1037" s="50">
        <v>0</v>
      </c>
      <c r="M1037" s="50">
        <v>0</v>
      </c>
      <c r="N1037" s="50">
        <v>0</v>
      </c>
      <c r="O1037" s="50">
        <v>0</v>
      </c>
      <c r="P1037" s="50">
        <v>0</v>
      </c>
      <c r="Q1037" s="50">
        <v>0</v>
      </c>
      <c r="R1037" s="50">
        <v>0</v>
      </c>
    </row>
    <row r="1038" spans="1:18" x14ac:dyDescent="0.25">
      <c r="A1038" s="91" t="s">
        <v>673</v>
      </c>
      <c r="B1038" s="163" t="s">
        <v>317</v>
      </c>
      <c r="C1038" s="50">
        <v>0</v>
      </c>
      <c r="D1038" s="50">
        <v>0</v>
      </c>
      <c r="E1038" s="50">
        <v>0</v>
      </c>
      <c r="F1038" s="50">
        <v>0</v>
      </c>
      <c r="G1038" s="50">
        <v>0</v>
      </c>
      <c r="H1038" s="50">
        <v>0</v>
      </c>
      <c r="I1038" s="50">
        <v>0</v>
      </c>
      <c r="J1038" s="50">
        <v>0</v>
      </c>
      <c r="K1038" s="50">
        <v>0</v>
      </c>
      <c r="L1038" s="50">
        <v>0</v>
      </c>
      <c r="M1038" s="50">
        <v>0</v>
      </c>
      <c r="N1038" s="50">
        <v>0</v>
      </c>
      <c r="O1038" s="50">
        <v>0</v>
      </c>
      <c r="P1038" s="50">
        <v>0</v>
      </c>
      <c r="Q1038" s="50">
        <v>0</v>
      </c>
      <c r="R1038" s="50">
        <v>0</v>
      </c>
    </row>
    <row r="1039" spans="1:18" x14ac:dyDescent="0.25">
      <c r="A1039" s="91" t="s">
        <v>674</v>
      </c>
      <c r="B1039" s="163"/>
      <c r="C1039" s="54">
        <v>8500</v>
      </c>
      <c r="D1039" s="50">
        <v>15500</v>
      </c>
      <c r="E1039" s="50"/>
      <c r="F1039" s="50"/>
      <c r="G1039" s="50"/>
      <c r="H1039" s="50"/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</row>
    <row r="1040" spans="1:18" s="43" customFormat="1" x14ac:dyDescent="0.25">
      <c r="A1040" s="91" t="s">
        <v>675</v>
      </c>
      <c r="B1040" s="53"/>
      <c r="C1040" s="59"/>
      <c r="D1040" s="50"/>
      <c r="E1040" s="50"/>
      <c r="F1040" s="50"/>
      <c r="G1040" s="50"/>
      <c r="H1040" s="50"/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</row>
    <row r="1041" spans="1:18" s="43" customFormat="1" x14ac:dyDescent="0.25">
      <c r="A1041" s="91" t="s">
        <v>676</v>
      </c>
      <c r="B1041" s="53"/>
      <c r="C1041" s="59">
        <v>62413</v>
      </c>
      <c r="D1041" s="50"/>
      <c r="E1041" s="50"/>
      <c r="F1041" s="50"/>
      <c r="G1041" s="50"/>
      <c r="H1041" s="50"/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</row>
    <row r="1042" spans="1:18" x14ac:dyDescent="0.25">
      <c r="A1042" s="91" t="s">
        <v>677</v>
      </c>
      <c r="B1042" s="163" t="s">
        <v>317</v>
      </c>
      <c r="C1042" s="50"/>
      <c r="D1042" s="50"/>
      <c r="E1042" s="50"/>
      <c r="F1042" s="50"/>
      <c r="G1042" s="50"/>
      <c r="H1042" s="50"/>
      <c r="I1042" s="50"/>
      <c r="J1042" s="50"/>
      <c r="K1042" s="50"/>
      <c r="L1042" s="50"/>
      <c r="M1042" s="50"/>
      <c r="N1042" s="50"/>
    </row>
    <row r="1043" spans="1:18" x14ac:dyDescent="0.25">
      <c r="A1043" s="91" t="s">
        <v>678</v>
      </c>
      <c r="B1043" s="163" t="s">
        <v>317</v>
      </c>
      <c r="C1043" s="50"/>
      <c r="D1043" s="50"/>
      <c r="E1043" s="50"/>
      <c r="F1043" s="50"/>
      <c r="G1043" s="50"/>
      <c r="H1043" s="50"/>
      <c r="I1043" s="50"/>
      <c r="J1043" s="50"/>
      <c r="K1043" s="50"/>
      <c r="L1043" s="50"/>
      <c r="M1043" s="50"/>
      <c r="N1043" s="50"/>
    </row>
    <row r="1044" spans="1:18" x14ac:dyDescent="0.25">
      <c r="A1044" s="91" t="s">
        <v>679</v>
      </c>
      <c r="B1044" s="163" t="s">
        <v>317</v>
      </c>
      <c r="C1044" s="50"/>
      <c r="D1044" s="85">
        <v>19660</v>
      </c>
      <c r="E1044" s="83">
        <v>54986</v>
      </c>
      <c r="F1044" s="83">
        <v>29747</v>
      </c>
      <c r="G1044" s="85">
        <v>5000</v>
      </c>
      <c r="H1044" s="85">
        <v>373418</v>
      </c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</row>
    <row r="1045" spans="1:18" x14ac:dyDescent="0.25">
      <c r="A1045" s="91" t="s">
        <v>680</v>
      </c>
      <c r="B1045" s="163" t="s">
        <v>317</v>
      </c>
      <c r="C1045" s="50">
        <v>22011</v>
      </c>
      <c r="D1045" s="50"/>
      <c r="E1045" s="50"/>
      <c r="F1045" s="50"/>
      <c r="G1045" s="50"/>
      <c r="H1045" s="50"/>
      <c r="I1045" s="50"/>
      <c r="J1045" s="50"/>
      <c r="K1045" s="50"/>
      <c r="L1045" s="50"/>
      <c r="M1045" s="50"/>
      <c r="N1045" s="50"/>
      <c r="O1045" s="50">
        <v>0</v>
      </c>
      <c r="P1045" s="50">
        <v>0</v>
      </c>
      <c r="Q1045" s="50">
        <v>0</v>
      </c>
      <c r="R1045" s="50">
        <v>0</v>
      </c>
    </row>
    <row r="1046" spans="1:18" x14ac:dyDescent="0.25">
      <c r="A1046" s="91" t="s">
        <v>681</v>
      </c>
      <c r="B1046" s="163" t="s">
        <v>317</v>
      </c>
      <c r="C1046" s="50"/>
      <c r="D1046" s="50"/>
      <c r="E1046" s="50"/>
      <c r="F1046" s="85">
        <v>0</v>
      </c>
      <c r="G1046" s="85">
        <v>12418</v>
      </c>
      <c r="H1046" s="50"/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</row>
    <row r="1047" spans="1:18" x14ac:dyDescent="0.25">
      <c r="A1047" s="52" t="s">
        <v>682</v>
      </c>
      <c r="B1047" s="53"/>
      <c r="C1047" s="50"/>
      <c r="D1047" s="50"/>
      <c r="E1047" s="50"/>
      <c r="F1047" s="50"/>
      <c r="G1047" s="50"/>
      <c r="H1047" s="50"/>
      <c r="I1047" s="50"/>
      <c r="J1047" s="50"/>
      <c r="K1047" s="50"/>
      <c r="L1047" s="50"/>
      <c r="M1047" s="50"/>
      <c r="N1047" s="50"/>
    </row>
    <row r="1048" spans="1:18" x14ac:dyDescent="0.25">
      <c r="A1048" s="52" t="s">
        <v>683</v>
      </c>
      <c r="B1048" s="53"/>
      <c r="C1048" s="50">
        <v>7753</v>
      </c>
      <c r="D1048" s="50"/>
      <c r="E1048" s="50"/>
      <c r="F1048" s="50"/>
      <c r="G1048" s="50"/>
      <c r="H1048" s="50"/>
      <c r="I1048" s="50"/>
      <c r="J1048" s="50"/>
      <c r="K1048" s="50"/>
      <c r="L1048" s="50"/>
      <c r="M1048" s="50"/>
      <c r="N1048" s="50"/>
    </row>
    <row r="1049" spans="1:18" x14ac:dyDescent="0.25">
      <c r="A1049" s="93" t="s">
        <v>684</v>
      </c>
      <c r="B1049" s="96" t="s">
        <v>330</v>
      </c>
      <c r="C1049" s="50"/>
      <c r="D1049" s="50"/>
      <c r="E1049" s="50"/>
      <c r="F1049" s="50"/>
      <c r="G1049" s="50"/>
      <c r="H1049" s="50"/>
      <c r="I1049" s="50"/>
      <c r="J1049" s="50"/>
      <c r="K1049" s="50"/>
      <c r="L1049" s="50"/>
      <c r="M1049" s="50"/>
      <c r="N1049" s="50"/>
    </row>
    <row r="1050" spans="1:18" x14ac:dyDescent="0.25">
      <c r="A1050" s="93" t="s">
        <v>685</v>
      </c>
      <c r="B1050" s="96" t="s">
        <v>330</v>
      </c>
      <c r="C1050" s="50"/>
      <c r="D1050" s="50"/>
      <c r="E1050" s="50"/>
      <c r="F1050" s="50"/>
      <c r="G1050" s="50"/>
      <c r="H1050" s="50"/>
      <c r="I1050" s="50"/>
      <c r="J1050" s="50"/>
      <c r="K1050" s="50"/>
      <c r="L1050" s="50"/>
      <c r="M1050" s="50"/>
      <c r="N1050" s="50"/>
    </row>
    <row r="1051" spans="1:18" x14ac:dyDescent="0.25">
      <c r="A1051" s="93" t="s">
        <v>686</v>
      </c>
      <c r="B1051" s="96" t="s">
        <v>330</v>
      </c>
      <c r="C1051" s="50"/>
      <c r="D1051" s="50"/>
      <c r="E1051" s="50"/>
      <c r="F1051" s="50"/>
      <c r="G1051" s="50"/>
      <c r="H1051" s="50"/>
      <c r="I1051" s="50"/>
      <c r="J1051" s="50"/>
      <c r="K1051" s="50"/>
      <c r="L1051" s="50"/>
      <c r="M1051" s="50"/>
      <c r="N1051" s="50">
        <v>0</v>
      </c>
    </row>
    <row r="1052" spans="1:18" x14ac:dyDescent="0.25">
      <c r="A1052" s="93" t="s">
        <v>687</v>
      </c>
      <c r="B1052" s="96" t="s">
        <v>330</v>
      </c>
      <c r="C1052" s="50"/>
      <c r="D1052" s="50"/>
      <c r="E1052" s="50"/>
      <c r="F1052" s="50"/>
      <c r="G1052" s="50"/>
      <c r="H1052" s="50"/>
      <c r="I1052" s="50"/>
      <c r="J1052" s="50"/>
      <c r="K1052" s="50"/>
      <c r="L1052" s="50"/>
      <c r="M1052" s="50"/>
      <c r="N1052" s="50">
        <v>0</v>
      </c>
    </row>
    <row r="1053" spans="1:18" x14ac:dyDescent="0.25">
      <c r="A1053" s="93" t="s">
        <v>688</v>
      </c>
      <c r="B1053" s="96" t="s">
        <v>330</v>
      </c>
      <c r="C1053" s="50"/>
      <c r="D1053" s="50"/>
      <c r="E1053" s="50"/>
      <c r="F1053" s="50"/>
      <c r="G1053" s="50"/>
      <c r="H1053" s="50"/>
      <c r="I1053" s="50"/>
      <c r="J1053" s="50"/>
      <c r="K1053" s="50"/>
      <c r="L1053" s="50"/>
      <c r="M1053" s="50"/>
      <c r="N1053" s="50"/>
    </row>
    <row r="1054" spans="1:18" x14ac:dyDescent="0.25">
      <c r="A1054" s="93" t="s">
        <v>355</v>
      </c>
      <c r="B1054" s="96" t="s">
        <v>330</v>
      </c>
      <c r="C1054" s="50"/>
      <c r="D1054" s="50"/>
      <c r="E1054" s="50"/>
      <c r="F1054" s="50"/>
      <c r="G1054" s="50"/>
      <c r="H1054" s="50"/>
      <c r="I1054" s="50"/>
      <c r="J1054" s="50"/>
      <c r="K1054" s="50"/>
      <c r="L1054" s="50"/>
      <c r="M1054" s="50"/>
      <c r="N1054" s="50">
        <v>0</v>
      </c>
    </row>
    <row r="1055" spans="1:18" x14ac:dyDescent="0.25">
      <c r="A1055" s="87" t="s">
        <v>322</v>
      </c>
      <c r="B1055" s="96" t="s">
        <v>323</v>
      </c>
      <c r="C1055" s="50"/>
      <c r="D1055" s="50"/>
      <c r="E1055" s="50"/>
      <c r="F1055" s="50"/>
      <c r="G1055" s="50"/>
      <c r="H1055" s="50"/>
      <c r="I1055" s="50"/>
      <c r="J1055" s="50"/>
      <c r="K1055" s="50"/>
      <c r="L1055" s="89">
        <v>150000</v>
      </c>
      <c r="M1055" s="50"/>
      <c r="N1055" s="50"/>
      <c r="O1055" s="50"/>
    </row>
    <row r="1056" spans="1:18" x14ac:dyDescent="0.25">
      <c r="A1056" s="87" t="s">
        <v>324</v>
      </c>
      <c r="B1056" s="96" t="s">
        <v>323</v>
      </c>
      <c r="C1056" s="50"/>
      <c r="D1056" s="50"/>
      <c r="E1056" s="50"/>
      <c r="F1056" s="50"/>
      <c r="G1056" s="50"/>
      <c r="H1056" s="50"/>
      <c r="I1056" s="50"/>
      <c r="J1056" s="50"/>
      <c r="K1056" s="50"/>
      <c r="L1056" s="50"/>
      <c r="M1056" s="89">
        <v>100000</v>
      </c>
      <c r="N1056" s="50"/>
      <c r="O1056" s="50"/>
    </row>
    <row r="1057" spans="1:18" x14ac:dyDescent="0.25">
      <c r="A1057" s="87" t="s">
        <v>355</v>
      </c>
      <c r="B1057" s="96" t="s">
        <v>323</v>
      </c>
      <c r="C1057" s="50"/>
      <c r="D1057" s="50"/>
      <c r="E1057" s="50"/>
      <c r="F1057" s="50"/>
      <c r="G1057" s="50"/>
      <c r="H1057" s="50"/>
      <c r="I1057" s="50"/>
      <c r="J1057" s="50"/>
      <c r="K1057" s="50"/>
      <c r="L1057" s="50"/>
      <c r="M1057" s="50"/>
      <c r="N1057" s="50"/>
      <c r="O1057" s="50"/>
      <c r="R1057" s="149">
        <v>50000</v>
      </c>
    </row>
    <row r="1058" spans="1:18" s="43" customFormat="1" x14ac:dyDescent="0.25">
      <c r="A1058" s="173" t="s">
        <v>689</v>
      </c>
      <c r="B1058" s="62" t="s">
        <v>245</v>
      </c>
      <c r="C1058" s="50"/>
      <c r="D1058" s="50"/>
      <c r="E1058" s="50"/>
      <c r="F1058" s="50"/>
      <c r="G1058" s="50"/>
      <c r="H1058" s="63">
        <v>50000</v>
      </c>
      <c r="I1058" s="50"/>
      <c r="J1058" s="50"/>
      <c r="K1058" s="50"/>
      <c r="L1058" s="50"/>
      <c r="M1058" s="50"/>
      <c r="N1058" s="50"/>
      <c r="O1058" s="50"/>
    </row>
    <row r="1059" spans="1:18" s="43" customFormat="1" x14ac:dyDescent="0.25">
      <c r="A1059" s="174" t="s">
        <v>690</v>
      </c>
      <c r="B1059" s="175" t="s">
        <v>691</v>
      </c>
      <c r="C1059" s="50"/>
      <c r="D1059" s="50"/>
      <c r="E1059" s="176">
        <v>1900</v>
      </c>
      <c r="F1059" s="50"/>
      <c r="G1059" s="50"/>
      <c r="H1059" s="50"/>
      <c r="I1059" s="176">
        <v>72500</v>
      </c>
      <c r="J1059" s="176">
        <v>75000</v>
      </c>
      <c r="K1059" s="176">
        <v>62500</v>
      </c>
      <c r="L1059" s="176">
        <v>52500</v>
      </c>
      <c r="M1059" s="176">
        <v>45000</v>
      </c>
      <c r="N1059" s="177">
        <v>82500</v>
      </c>
      <c r="O1059" s="177">
        <v>82500</v>
      </c>
      <c r="P1059" s="177">
        <v>82500</v>
      </c>
      <c r="Q1059" s="177">
        <v>82500</v>
      </c>
      <c r="R1059" s="177">
        <v>82500</v>
      </c>
    </row>
    <row r="1060" spans="1:18" s="43" customFormat="1" x14ac:dyDescent="0.25">
      <c r="A1060" s="178" t="s">
        <v>692</v>
      </c>
      <c r="B1060" s="53"/>
      <c r="C1060" s="50"/>
      <c r="D1060" s="50"/>
      <c r="E1060" s="50"/>
      <c r="F1060" s="50"/>
      <c r="G1060" s="50"/>
      <c r="H1060" s="50"/>
      <c r="I1060" s="50"/>
      <c r="J1060" s="50"/>
      <c r="K1060" s="50"/>
      <c r="L1060" s="50"/>
      <c r="M1060" s="50"/>
      <c r="N1060" s="50"/>
      <c r="O1060" s="50"/>
    </row>
    <row r="1061" spans="1:18" s="43" customFormat="1" x14ac:dyDescent="0.25">
      <c r="A1061" s="87" t="s">
        <v>693</v>
      </c>
      <c r="B1061" s="96" t="s">
        <v>323</v>
      </c>
      <c r="C1061" s="50"/>
      <c r="D1061" s="50"/>
      <c r="E1061" s="50"/>
      <c r="F1061" s="50"/>
      <c r="G1061" s="50"/>
      <c r="H1061" s="50"/>
      <c r="I1061" s="89">
        <v>150000</v>
      </c>
      <c r="J1061" s="50"/>
      <c r="K1061" s="50"/>
      <c r="L1061" s="50"/>
      <c r="M1061" s="50"/>
      <c r="N1061" s="50"/>
      <c r="O1061" s="50"/>
    </row>
    <row r="1062" spans="1:18" s="43" customFormat="1" x14ac:dyDescent="0.25">
      <c r="A1062" s="179"/>
      <c r="B1062" s="53"/>
      <c r="C1062" s="50"/>
      <c r="D1062" s="50"/>
      <c r="E1062" s="50"/>
      <c r="F1062" s="50"/>
      <c r="G1062" s="50"/>
      <c r="H1062" s="50"/>
      <c r="I1062" s="50"/>
      <c r="J1062" s="50"/>
      <c r="K1062" s="50"/>
      <c r="L1062" s="50"/>
      <c r="M1062" s="50"/>
      <c r="N1062" s="50"/>
      <c r="O1062" s="50"/>
    </row>
    <row r="1063" spans="1:18" x14ac:dyDescent="0.25">
      <c r="A1063" s="52"/>
      <c r="B1063" s="53"/>
      <c r="C1063" s="50"/>
      <c r="D1063" s="50"/>
      <c r="E1063" s="50"/>
      <c r="F1063" s="50"/>
      <c r="G1063" s="50"/>
      <c r="H1063" s="50"/>
      <c r="I1063" s="50"/>
      <c r="J1063" s="50"/>
      <c r="K1063" s="50"/>
      <c r="L1063" s="50"/>
      <c r="M1063" s="50"/>
      <c r="N1063" s="50"/>
      <c r="O1063" s="50"/>
    </row>
    <row r="1064" spans="1:18" x14ac:dyDescent="0.25">
      <c r="A1064" s="41" t="s">
        <v>107</v>
      </c>
      <c r="B1064" s="44"/>
      <c r="C1064" s="51">
        <f t="shared" ref="C1064:R1064" si="552">SUM(C1013:C1063)</f>
        <v>112335</v>
      </c>
      <c r="D1064" s="51">
        <f t="shared" si="552"/>
        <v>38027</v>
      </c>
      <c r="E1064" s="51">
        <f t="shared" si="552"/>
        <v>75004</v>
      </c>
      <c r="F1064" s="51">
        <f t="shared" si="552"/>
        <v>74918</v>
      </c>
      <c r="G1064" s="51">
        <f t="shared" si="552"/>
        <v>17418</v>
      </c>
      <c r="H1064" s="51">
        <f t="shared" si="552"/>
        <v>423418</v>
      </c>
      <c r="I1064" s="51">
        <f t="shared" si="552"/>
        <v>247500</v>
      </c>
      <c r="J1064" s="51">
        <f t="shared" si="552"/>
        <v>75000</v>
      </c>
      <c r="K1064" s="51">
        <f t="shared" si="552"/>
        <v>87500</v>
      </c>
      <c r="L1064" s="51">
        <f t="shared" si="552"/>
        <v>202500</v>
      </c>
      <c r="M1064" s="51">
        <f t="shared" si="552"/>
        <v>175000</v>
      </c>
      <c r="N1064" s="51">
        <f t="shared" si="552"/>
        <v>82500</v>
      </c>
      <c r="O1064" s="51">
        <f t="shared" si="552"/>
        <v>82500</v>
      </c>
      <c r="P1064" s="51">
        <f t="shared" si="552"/>
        <v>172500</v>
      </c>
      <c r="Q1064" s="51">
        <f t="shared" si="552"/>
        <v>82500</v>
      </c>
      <c r="R1064" s="51">
        <f t="shared" si="552"/>
        <v>132500</v>
      </c>
    </row>
    <row r="1065" spans="1:18" x14ac:dyDescent="0.25">
      <c r="A1065" s="41"/>
      <c r="B1065" s="44"/>
      <c r="C1065" s="50"/>
      <c r="D1065" s="50"/>
      <c r="E1065" s="50"/>
      <c r="F1065" s="50"/>
      <c r="G1065" s="50"/>
      <c r="H1065" s="50"/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</row>
    <row r="1066" spans="1:18" x14ac:dyDescent="0.25">
      <c r="A1066" s="41" t="s">
        <v>694</v>
      </c>
      <c r="B1066" s="44"/>
      <c r="C1066" s="51">
        <f t="shared" ref="C1066:R1066" si="553">C1064+C1003-C977-C1009</f>
        <v>284138</v>
      </c>
      <c r="D1066" s="51">
        <f t="shared" si="553"/>
        <v>234595</v>
      </c>
      <c r="E1066" s="51">
        <f t="shared" si="553"/>
        <v>282427</v>
      </c>
      <c r="F1066" s="51">
        <f t="shared" si="553"/>
        <v>302771</v>
      </c>
      <c r="G1066" s="51">
        <f t="shared" si="553"/>
        <v>235158</v>
      </c>
      <c r="H1066" s="51">
        <f t="shared" si="553"/>
        <v>444268</v>
      </c>
      <c r="I1066" s="51">
        <f t="shared" si="553"/>
        <v>320627.25000000012</v>
      </c>
      <c r="J1066" s="51">
        <f t="shared" si="553"/>
        <v>150908.83875000011</v>
      </c>
      <c r="K1066" s="51">
        <f t="shared" si="553"/>
        <v>166198.98960375006</v>
      </c>
      <c r="L1066" s="51">
        <f t="shared" si="553"/>
        <v>285092.42928822374</v>
      </c>
      <c r="M1066" s="51">
        <f t="shared" si="553"/>
        <v>260897.55245721631</v>
      </c>
      <c r="N1066" s="51">
        <f t="shared" si="553"/>
        <v>171519.11196433136</v>
      </c>
      <c r="O1066" s="51">
        <f t="shared" si="553"/>
        <v>175125.27778091747</v>
      </c>
      <c r="P1066" s="51">
        <f t="shared" si="553"/>
        <v>268871.56288504653</v>
      </c>
      <c r="Q1066" s="51">
        <f t="shared" si="553"/>
        <v>182776.43117370189</v>
      </c>
      <c r="R1066" s="51">
        <f t="shared" si="553"/>
        <v>235425.08093581913</v>
      </c>
    </row>
    <row r="1067" spans="1:18" x14ac:dyDescent="0.25">
      <c r="A1067" s="41"/>
      <c r="B1067" s="44"/>
      <c r="C1067" s="50"/>
      <c r="D1067" s="50"/>
      <c r="E1067" s="50"/>
      <c r="F1067" s="50"/>
      <c r="G1067" s="50"/>
      <c r="H1067" s="50"/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</row>
    <row r="1068" spans="1:18" x14ac:dyDescent="0.25">
      <c r="A1068" s="41" t="s">
        <v>695</v>
      </c>
      <c r="B1068" s="44"/>
      <c r="C1068" s="50"/>
      <c r="D1068" s="50"/>
      <c r="E1068" s="50"/>
      <c r="F1068" s="50"/>
      <c r="G1068" s="50"/>
      <c r="H1068" s="50"/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</row>
    <row r="1069" spans="1:18" x14ac:dyDescent="0.25">
      <c r="A1069" s="41"/>
      <c r="B1069" s="44"/>
      <c r="C1069" s="50"/>
      <c r="D1069" s="50"/>
      <c r="E1069" s="50"/>
      <c r="F1069" s="50"/>
      <c r="G1069" s="50"/>
      <c r="H1069" s="50"/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</row>
    <row r="1070" spans="1:18" x14ac:dyDescent="0.25">
      <c r="A1070" s="41" t="s">
        <v>202</v>
      </c>
      <c r="B1070" s="44"/>
      <c r="C1070" s="50"/>
      <c r="D1070" s="50"/>
      <c r="E1070" s="50"/>
      <c r="F1070" s="50"/>
      <c r="G1070" s="50"/>
      <c r="H1070" s="50"/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</row>
    <row r="1071" spans="1:18" x14ac:dyDescent="0.25">
      <c r="C1071" s="50"/>
      <c r="D1071" s="50"/>
      <c r="E1071" s="50"/>
      <c r="F1071" s="50"/>
      <c r="G1071" s="50"/>
      <c r="H1071" s="50"/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</row>
    <row r="1072" spans="1:18" x14ac:dyDescent="0.25">
      <c r="A1072" s="52" t="s">
        <v>696</v>
      </c>
      <c r="B1072" s="53"/>
      <c r="C1072" s="52">
        <v>1142</v>
      </c>
      <c r="D1072" s="54">
        <v>91</v>
      </c>
      <c r="E1072" s="54">
        <v>132</v>
      </c>
      <c r="F1072" s="54">
        <v>164</v>
      </c>
      <c r="G1072" s="54">
        <v>91</v>
      </c>
      <c r="H1072" s="54">
        <v>200</v>
      </c>
      <c r="I1072" s="54">
        <f>H1072*1.023</f>
        <v>204.6</v>
      </c>
      <c r="J1072" s="54">
        <f t="shared" ref="J1072:K1072" si="554">I1072*1.024</f>
        <v>209.5104</v>
      </c>
      <c r="K1072" s="54">
        <f t="shared" si="554"/>
        <v>214.53864960000001</v>
      </c>
      <c r="L1072" s="54">
        <f t="shared" ref="L1072" si="555">K1072*1.023</f>
        <v>219.47303854079999</v>
      </c>
      <c r="M1072" s="54">
        <f t="shared" ref="M1072" si="556">L1072*1.022</f>
        <v>224.3014453886976</v>
      </c>
      <c r="N1072" s="54">
        <f t="shared" ref="N1072" si="557">M1072*1.023</f>
        <v>229.46037863263763</v>
      </c>
      <c r="O1072" s="54">
        <f t="shared" ref="O1072:P1072" si="558">N1072*1.025</f>
        <v>235.19688809845354</v>
      </c>
      <c r="P1072" s="54">
        <f t="shared" si="558"/>
        <v>241.07681030091487</v>
      </c>
      <c r="Q1072" s="54">
        <f t="shared" ref="Q1072:R1072" si="559">P1072*1.024</f>
        <v>246.86265374813684</v>
      </c>
      <c r="R1072" s="54">
        <f t="shared" si="559"/>
        <v>252.78735743809213</v>
      </c>
    </row>
    <row r="1073" spans="1:18" x14ac:dyDescent="0.25">
      <c r="A1073" s="43" t="s">
        <v>697</v>
      </c>
      <c r="B1073" s="53"/>
      <c r="C1073" s="52">
        <v>0</v>
      </c>
      <c r="D1073" s="54"/>
      <c r="E1073" s="54"/>
      <c r="F1073" s="54"/>
      <c r="G1073" s="54"/>
      <c r="H1073" s="54"/>
      <c r="I1073" s="54"/>
      <c r="J1073" s="54"/>
      <c r="K1073" s="54"/>
      <c r="L1073" s="54"/>
      <c r="M1073" s="54"/>
      <c r="N1073" s="54"/>
      <c r="O1073" s="54"/>
      <c r="P1073" s="54"/>
      <c r="Q1073" s="54"/>
      <c r="R1073" s="54"/>
    </row>
    <row r="1074" spans="1:18" x14ac:dyDescent="0.25">
      <c r="A1074" s="52" t="s">
        <v>698</v>
      </c>
      <c r="C1074" s="67">
        <v>26127</v>
      </c>
      <c r="D1074" s="50">
        <v>6490</v>
      </c>
      <c r="E1074">
        <v>2123</v>
      </c>
      <c r="F1074">
        <v>1920</v>
      </c>
      <c r="G1074">
        <v>1483</v>
      </c>
      <c r="H1074">
        <v>2500</v>
      </c>
      <c r="I1074" s="54">
        <f>H1074*1.023</f>
        <v>2557.5</v>
      </c>
      <c r="J1074" s="54">
        <f t="shared" ref="J1074:K1074" si="560">I1074*1.024</f>
        <v>2618.88</v>
      </c>
      <c r="K1074" s="54">
        <f t="shared" si="560"/>
        <v>2681.7331200000003</v>
      </c>
      <c r="L1074" s="54">
        <f t="shared" ref="L1074" si="561">K1074*1.023</f>
        <v>2743.4129817600001</v>
      </c>
      <c r="M1074" s="54">
        <f t="shared" ref="M1074" si="562">L1074*1.022</f>
        <v>2803.7680673587201</v>
      </c>
      <c r="N1074" s="54">
        <f t="shared" ref="N1074" si="563">M1074*1.023</f>
        <v>2868.2547329079703</v>
      </c>
      <c r="O1074" s="54">
        <f t="shared" ref="O1074:P1074" si="564">N1074*1.025</f>
        <v>2939.9611012306691</v>
      </c>
      <c r="P1074" s="54">
        <f t="shared" si="564"/>
        <v>3013.4601287614355</v>
      </c>
      <c r="Q1074" s="54">
        <f t="shared" ref="Q1074:R1074" si="565">P1074*1.024</f>
        <v>3085.78317185171</v>
      </c>
      <c r="R1074" s="54">
        <f t="shared" si="565"/>
        <v>3159.841967976151</v>
      </c>
    </row>
    <row r="1075" spans="1:18" x14ac:dyDescent="0.25">
      <c r="A1075" s="52" t="s">
        <v>699</v>
      </c>
      <c r="C1075" s="50"/>
      <c r="D1075" s="50"/>
      <c r="E1075">
        <v>31818</v>
      </c>
      <c r="F1075"/>
      <c r="G1075"/>
      <c r="H1075"/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</row>
    <row r="1076" spans="1:18" x14ac:dyDescent="0.25">
      <c r="A1076" s="41" t="s">
        <v>216</v>
      </c>
      <c r="B1076" s="44"/>
      <c r="C1076" s="51">
        <f t="shared" ref="C1076" si="566">SUM(C1071:C1074)</f>
        <v>27269</v>
      </c>
      <c r="D1076" s="51">
        <f t="shared" ref="D1076" si="567">SUM(D1071:D1074)</f>
        <v>6581</v>
      </c>
      <c r="E1076" s="51">
        <f>SUM(E1071:E1075)</f>
        <v>34073</v>
      </c>
      <c r="F1076" s="51">
        <f t="shared" ref="F1076:R1076" si="568">SUM(F1071:F1075)</f>
        <v>2084</v>
      </c>
      <c r="G1076" s="51">
        <f t="shared" si="568"/>
        <v>1574</v>
      </c>
      <c r="H1076" s="51">
        <f t="shared" si="568"/>
        <v>2700</v>
      </c>
      <c r="I1076" s="51">
        <f t="shared" si="568"/>
        <v>2762.1</v>
      </c>
      <c r="J1076" s="51">
        <f t="shared" si="568"/>
        <v>2828.3904000000002</v>
      </c>
      <c r="K1076" s="51">
        <f t="shared" si="568"/>
        <v>2896.2717696000004</v>
      </c>
      <c r="L1076" s="51">
        <f t="shared" si="568"/>
        <v>2962.8860203008003</v>
      </c>
      <c r="M1076" s="51">
        <f t="shared" si="568"/>
        <v>3028.0695127474178</v>
      </c>
      <c r="N1076" s="51">
        <f t="shared" si="568"/>
        <v>3097.7151115406077</v>
      </c>
      <c r="O1076" s="51">
        <f t="shared" si="568"/>
        <v>3175.1579893291228</v>
      </c>
      <c r="P1076" s="51">
        <f t="shared" si="568"/>
        <v>3254.5369390623505</v>
      </c>
      <c r="Q1076" s="51">
        <f t="shared" si="568"/>
        <v>3332.6458255998468</v>
      </c>
      <c r="R1076" s="51">
        <f t="shared" si="568"/>
        <v>3412.6293254142429</v>
      </c>
    </row>
    <row r="1077" spans="1:18" x14ac:dyDescent="0.25">
      <c r="C1077" s="50"/>
      <c r="D1077" s="50"/>
      <c r="E1077" s="50"/>
      <c r="F1077" s="50"/>
      <c r="G1077" s="50"/>
      <c r="H1077" s="50"/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</row>
    <row r="1078" spans="1:18" x14ac:dyDescent="0.25">
      <c r="A1078" s="41" t="s">
        <v>165</v>
      </c>
      <c r="B1078" s="44"/>
      <c r="C1078" s="50"/>
      <c r="D1078" s="50"/>
      <c r="E1078" s="50"/>
      <c r="F1078" s="50"/>
      <c r="G1078" s="50"/>
      <c r="H1078" s="50"/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</row>
    <row r="1079" spans="1:18" x14ac:dyDescent="0.25">
      <c r="C1079" s="50"/>
      <c r="D1079" s="50"/>
      <c r="E1079" s="50"/>
      <c r="F1079" s="50"/>
      <c r="G1079" s="50"/>
      <c r="H1079" s="50"/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</row>
    <row r="1080" spans="1:18" x14ac:dyDescent="0.25">
      <c r="A1080" s="52" t="s">
        <v>700</v>
      </c>
      <c r="B1080" s="53"/>
      <c r="C1080" s="59">
        <v>19539</v>
      </c>
      <c r="D1080" s="50">
        <v>11039</v>
      </c>
      <c r="E1080" s="50">
        <v>8960</v>
      </c>
      <c r="F1080" s="50">
        <v>5281</v>
      </c>
      <c r="G1080" s="50">
        <v>5239</v>
      </c>
      <c r="H1080" s="50">
        <v>7450</v>
      </c>
      <c r="I1080" s="54">
        <v>7625.4499999999989</v>
      </c>
      <c r="J1080" s="54">
        <v>7807.6920499999987</v>
      </c>
      <c r="K1080" s="54">
        <v>7994.2915604500004</v>
      </c>
      <c r="L1080" s="54">
        <v>8182.5637623828507</v>
      </c>
      <c r="M1080" s="54">
        <v>8370.8898536634915</v>
      </c>
      <c r="N1080" s="54">
        <v>8568.0498219540877</v>
      </c>
      <c r="O1080" s="54">
        <v>8779.013429748873</v>
      </c>
      <c r="P1080" s="54">
        <v>8996.8327137813831</v>
      </c>
      <c r="Q1080" s="54">
        <v>9218.6360516523473</v>
      </c>
      <c r="R1080" s="54">
        <v>9445.9198282324287</v>
      </c>
    </row>
    <row r="1081" spans="1:18" x14ac:dyDescent="0.25">
      <c r="A1081" s="52" t="s">
        <v>701</v>
      </c>
      <c r="B1081" s="53"/>
      <c r="C1081" s="59"/>
      <c r="D1081" s="50"/>
      <c r="E1081" s="50"/>
      <c r="F1081" s="50"/>
      <c r="G1081" s="67">
        <v>0</v>
      </c>
      <c r="H1081" s="67">
        <v>0</v>
      </c>
      <c r="I1081" s="50">
        <v>30000</v>
      </c>
      <c r="J1081" s="54">
        <f t="shared" ref="J1081:K1081" si="569">I1081*1.024</f>
        <v>30720</v>
      </c>
      <c r="K1081" s="54">
        <f t="shared" si="569"/>
        <v>31457.279999999999</v>
      </c>
      <c r="L1081" s="54">
        <f t="shared" ref="L1081" si="570">K1081*1.023</f>
        <v>32180.797439999995</v>
      </c>
      <c r="M1081" s="54">
        <f t="shared" ref="M1081" si="571">L1081*1.022</f>
        <v>32888.774983679992</v>
      </c>
      <c r="N1081" s="54">
        <f t="shared" ref="N1081" si="572">M1081*1.023</f>
        <v>33645.216808304627</v>
      </c>
      <c r="O1081" s="54">
        <f t="shared" ref="O1081:P1081" si="573">N1081*1.025</f>
        <v>34486.347228512241</v>
      </c>
      <c r="P1081" s="54">
        <f t="shared" si="573"/>
        <v>35348.505909225045</v>
      </c>
      <c r="Q1081" s="54">
        <f t="shared" ref="Q1081:R1081" si="574">P1081*1.024</f>
        <v>36196.870051046448</v>
      </c>
      <c r="R1081" s="54">
        <f t="shared" si="574"/>
        <v>37065.594932271561</v>
      </c>
    </row>
    <row r="1082" spans="1:18" x14ac:dyDescent="0.25">
      <c r="A1082" s="52" t="s">
        <v>702</v>
      </c>
      <c r="B1082" s="53"/>
      <c r="C1082" s="50">
        <v>0</v>
      </c>
      <c r="D1082" s="54">
        <f>C1082*1.028</f>
        <v>0</v>
      </c>
      <c r="E1082" s="54">
        <f>D1082*1.028</f>
        <v>0</v>
      </c>
      <c r="F1082" s="54"/>
      <c r="G1082" s="54"/>
      <c r="H1082" s="54"/>
      <c r="I1082" s="54"/>
      <c r="J1082" s="54"/>
      <c r="K1082" s="54"/>
      <c r="L1082" s="54"/>
      <c r="M1082" s="54"/>
      <c r="N1082" s="54">
        <v>0</v>
      </c>
      <c r="O1082" s="54">
        <v>0</v>
      </c>
      <c r="P1082" s="54">
        <v>0</v>
      </c>
      <c r="Q1082" s="54">
        <v>0</v>
      </c>
      <c r="R1082" s="54">
        <v>0</v>
      </c>
    </row>
    <row r="1083" spans="1:18" x14ac:dyDescent="0.25">
      <c r="A1083" s="52" t="s">
        <v>703</v>
      </c>
      <c r="B1083" s="53"/>
      <c r="C1083" s="50"/>
      <c r="D1083" s="50"/>
      <c r="E1083" s="50"/>
      <c r="F1083" s="50"/>
      <c r="G1083" s="50">
        <v>13</v>
      </c>
      <c r="H1083" s="50"/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</row>
    <row r="1084" spans="1:18" x14ac:dyDescent="0.25">
      <c r="A1084" s="43" t="s">
        <v>704</v>
      </c>
      <c r="C1084" s="59">
        <v>409363</v>
      </c>
      <c r="D1084" s="54">
        <v>404441</v>
      </c>
      <c r="E1084" s="54">
        <v>418841</v>
      </c>
      <c r="F1084" s="54">
        <v>423672</v>
      </c>
      <c r="G1084" s="54">
        <v>436367</v>
      </c>
      <c r="H1084" s="54">
        <v>418801</v>
      </c>
      <c r="I1084" s="54">
        <f>H1084*1.023</f>
        <v>428433.42299999995</v>
      </c>
      <c r="J1084" s="54">
        <f t="shared" ref="J1084:K1084" si="575">I1084*1.024</f>
        <v>438715.82515199995</v>
      </c>
      <c r="K1084" s="54">
        <f t="shared" si="575"/>
        <v>449245.00495564798</v>
      </c>
      <c r="L1084" s="54">
        <f t="shared" ref="L1084" si="576">K1084*1.023</f>
        <v>459577.64006962784</v>
      </c>
      <c r="M1084" s="54">
        <f t="shared" ref="M1084" si="577">L1084*1.022</f>
        <v>469688.34815115965</v>
      </c>
      <c r="N1084" s="54">
        <f t="shared" ref="N1084" si="578">M1084*1.023</f>
        <v>480491.1801586363</v>
      </c>
      <c r="O1084" s="54">
        <f t="shared" ref="O1084:P1084" si="579">N1084*1.025</f>
        <v>492503.45966260217</v>
      </c>
      <c r="P1084" s="54">
        <f t="shared" si="579"/>
        <v>504816.04615416715</v>
      </c>
      <c r="Q1084" s="54">
        <f t="shared" ref="Q1084:R1084" si="580">P1084*1.024</f>
        <v>516931.63126186718</v>
      </c>
      <c r="R1084" s="54">
        <f t="shared" si="580"/>
        <v>529337.99041215202</v>
      </c>
    </row>
    <row r="1085" spans="1:18" x14ac:dyDescent="0.25">
      <c r="C1085" s="50"/>
      <c r="D1085" s="50"/>
      <c r="E1085" s="50"/>
      <c r="F1085" s="50"/>
      <c r="G1085" s="50"/>
      <c r="H1085" s="50"/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</row>
    <row r="1086" spans="1:18" x14ac:dyDescent="0.25">
      <c r="A1086" s="41" t="s">
        <v>230</v>
      </c>
      <c r="B1086" s="44"/>
      <c r="C1086" s="51">
        <f t="shared" ref="C1086" si="581">SUM(C1080:C1085)</f>
        <v>428902</v>
      </c>
      <c r="D1086" s="51">
        <f t="shared" ref="D1086:R1086" si="582">SUM(D1080:D1085)</f>
        <v>415480</v>
      </c>
      <c r="E1086" s="51">
        <f t="shared" si="582"/>
        <v>427801</v>
      </c>
      <c r="F1086" s="51">
        <f t="shared" si="582"/>
        <v>428953</v>
      </c>
      <c r="G1086" s="51">
        <f t="shared" si="582"/>
        <v>441619</v>
      </c>
      <c r="H1086" s="51">
        <f t="shared" si="582"/>
        <v>426251</v>
      </c>
      <c r="I1086" s="51">
        <f t="shared" si="582"/>
        <v>466058.87299999996</v>
      </c>
      <c r="J1086" s="51">
        <f>SUM(J1080:J1085)</f>
        <v>477243.51720199996</v>
      </c>
      <c r="K1086" s="51">
        <f t="shared" si="582"/>
        <v>488696.57651609799</v>
      </c>
      <c r="L1086" s="51">
        <f t="shared" si="582"/>
        <v>499941.00127201068</v>
      </c>
      <c r="M1086" s="51">
        <f t="shared" si="582"/>
        <v>510948.01298850315</v>
      </c>
      <c r="N1086" s="51">
        <f t="shared" si="582"/>
        <v>522704.446788895</v>
      </c>
      <c r="O1086" s="51">
        <f t="shared" si="582"/>
        <v>535768.82032086328</v>
      </c>
      <c r="P1086" s="51">
        <f t="shared" si="582"/>
        <v>549161.38477717363</v>
      </c>
      <c r="Q1086" s="51">
        <f t="shared" si="582"/>
        <v>562347.13736456598</v>
      </c>
      <c r="R1086" s="51">
        <f t="shared" si="582"/>
        <v>575849.50517265603</v>
      </c>
    </row>
    <row r="1087" spans="1:18" x14ac:dyDescent="0.25">
      <c r="C1087" s="50"/>
      <c r="D1087" s="50"/>
      <c r="E1087" s="50"/>
      <c r="F1087" s="50"/>
      <c r="G1087" s="50"/>
      <c r="H1087" s="50"/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</row>
    <row r="1088" spans="1:18" x14ac:dyDescent="0.25">
      <c r="A1088" s="41" t="s">
        <v>705</v>
      </c>
      <c r="B1088" s="44"/>
      <c r="C1088" s="51">
        <f t="shared" ref="C1088:R1088" si="583">C1086-C1076</f>
        <v>401633</v>
      </c>
      <c r="D1088" s="51">
        <f t="shared" si="583"/>
        <v>408899</v>
      </c>
      <c r="E1088" s="51">
        <f t="shared" si="583"/>
        <v>393728</v>
      </c>
      <c r="F1088" s="51">
        <f t="shared" si="583"/>
        <v>426869</v>
      </c>
      <c r="G1088" s="51">
        <f t="shared" si="583"/>
        <v>440045</v>
      </c>
      <c r="H1088" s="51">
        <f t="shared" si="583"/>
        <v>423551</v>
      </c>
      <c r="I1088" s="51">
        <f t="shared" si="583"/>
        <v>463296.77299999999</v>
      </c>
      <c r="J1088" s="51">
        <f t="shared" si="583"/>
        <v>474415.12680199998</v>
      </c>
      <c r="K1088" s="51">
        <f t="shared" si="583"/>
        <v>485800.304746498</v>
      </c>
      <c r="L1088" s="51">
        <f t="shared" si="583"/>
        <v>496978.11525170988</v>
      </c>
      <c r="M1088" s="51">
        <f t="shared" si="583"/>
        <v>507919.94347575575</v>
      </c>
      <c r="N1088" s="51">
        <f t="shared" si="583"/>
        <v>519606.73167735437</v>
      </c>
      <c r="O1088" s="51">
        <f t="shared" si="583"/>
        <v>532593.6623315342</v>
      </c>
      <c r="P1088" s="51">
        <f t="shared" si="583"/>
        <v>545906.84783811134</v>
      </c>
      <c r="Q1088" s="51">
        <f t="shared" si="583"/>
        <v>559014.49153896607</v>
      </c>
      <c r="R1088" s="51">
        <f t="shared" si="583"/>
        <v>572436.87584724184</v>
      </c>
    </row>
    <row r="1089" spans="1:18" x14ac:dyDescent="0.25">
      <c r="C1089" s="50"/>
      <c r="D1089" s="50"/>
      <c r="E1089" s="50"/>
      <c r="F1089" s="50"/>
      <c r="G1089" s="50"/>
      <c r="H1089" s="50"/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</row>
    <row r="1090" spans="1:18" x14ac:dyDescent="0.25">
      <c r="A1090" s="41" t="s">
        <v>706</v>
      </c>
      <c r="B1090" s="44"/>
      <c r="C1090" s="51">
        <f t="shared" ref="C1090:R1090" si="584">C434+C542+C580+C669+C690+C962+C1066+C1088</f>
        <v>2702222</v>
      </c>
      <c r="D1090" s="51">
        <f t="shared" si="584"/>
        <v>2468380</v>
      </c>
      <c r="E1090" s="51">
        <f t="shared" si="584"/>
        <v>2427592.08</v>
      </c>
      <c r="F1090" s="51">
        <f t="shared" si="584"/>
        <v>2824265.3200000003</v>
      </c>
      <c r="G1090" s="51">
        <f t="shared" si="584"/>
        <v>2187051</v>
      </c>
      <c r="H1090" s="51">
        <f t="shared" si="584"/>
        <v>2877733.6957668001</v>
      </c>
      <c r="I1090" s="51">
        <f t="shared" si="584"/>
        <v>3272606.0660784161</v>
      </c>
      <c r="J1090" s="51">
        <f t="shared" si="584"/>
        <v>3369635.5414274195</v>
      </c>
      <c r="K1090" s="51">
        <f t="shared" si="584"/>
        <v>3321609.3359417072</v>
      </c>
      <c r="L1090" s="51">
        <f t="shared" si="584"/>
        <v>3495205.035001819</v>
      </c>
      <c r="M1090" s="51">
        <f t="shared" si="584"/>
        <v>3533491.6193832387</v>
      </c>
      <c r="N1090" s="51">
        <f t="shared" si="584"/>
        <v>3685816.4723680359</v>
      </c>
      <c r="O1090" s="51">
        <f t="shared" si="584"/>
        <v>3708277.2132516471</v>
      </c>
      <c r="P1090" s="51">
        <f t="shared" si="584"/>
        <v>3820739.8702959535</v>
      </c>
      <c r="Q1090" s="51">
        <f t="shared" si="584"/>
        <v>3917920.6783553329</v>
      </c>
      <c r="R1090" s="51">
        <f t="shared" si="584"/>
        <v>4035989.0023586033</v>
      </c>
    </row>
    <row r="1091" spans="1:18" x14ac:dyDescent="0.25">
      <c r="C1091" s="50"/>
      <c r="D1091" s="50"/>
      <c r="E1091" s="50"/>
      <c r="F1091" s="50"/>
      <c r="G1091" s="50"/>
      <c r="H1091" s="50"/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</row>
    <row r="1092" spans="1:18" x14ac:dyDescent="0.25">
      <c r="C1092" s="50"/>
      <c r="D1092" s="50"/>
      <c r="E1092" s="50"/>
      <c r="F1092" s="50"/>
      <c r="G1092" s="50"/>
      <c r="H1092" s="50"/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</row>
    <row r="1093" spans="1:18" x14ac:dyDescent="0.25">
      <c r="A1093" s="41" t="s">
        <v>161</v>
      </c>
      <c r="C1093" s="50"/>
      <c r="D1093" s="50"/>
      <c r="E1093" s="50"/>
      <c r="F1093" s="50"/>
      <c r="G1093" s="50"/>
      <c r="H1093" s="50"/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</row>
    <row r="1094" spans="1:18" x14ac:dyDescent="0.25">
      <c r="C1094" s="50"/>
      <c r="D1094" s="50"/>
      <c r="E1094" s="50"/>
      <c r="F1094" s="50"/>
      <c r="G1094" s="50"/>
      <c r="H1094" s="50"/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</row>
    <row r="1095" spans="1:18" x14ac:dyDescent="0.25">
      <c r="A1095" s="41" t="s">
        <v>707</v>
      </c>
      <c r="B1095" s="44"/>
      <c r="C1095" s="50"/>
      <c r="D1095" s="50"/>
      <c r="E1095" s="50"/>
      <c r="F1095" s="50"/>
      <c r="G1095" s="50"/>
      <c r="H1095" s="50"/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</row>
    <row r="1096" spans="1:18" x14ac:dyDescent="0.25">
      <c r="C1096" s="50"/>
      <c r="D1096" s="50"/>
      <c r="E1096" s="50"/>
      <c r="F1096" s="50"/>
      <c r="G1096" s="50"/>
      <c r="H1096" s="50"/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</row>
    <row r="1097" spans="1:18" x14ac:dyDescent="0.25">
      <c r="A1097" s="41" t="s">
        <v>202</v>
      </c>
      <c r="B1097" s="44"/>
      <c r="C1097" s="50"/>
      <c r="D1097" s="50"/>
      <c r="E1097" s="50"/>
      <c r="F1097" s="50"/>
      <c r="G1097" s="50"/>
      <c r="H1097" s="50"/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</row>
    <row r="1098" spans="1:18" x14ac:dyDescent="0.25">
      <c r="C1098" s="50"/>
      <c r="D1098" s="50"/>
      <c r="E1098" s="50"/>
      <c r="F1098" s="50"/>
      <c r="G1098" s="50"/>
      <c r="H1098" s="50"/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</row>
    <row r="1099" spans="1:18" x14ac:dyDescent="0.25">
      <c r="A1099" s="41" t="s">
        <v>708</v>
      </c>
      <c r="B1099" s="44"/>
      <c r="C1099" s="50"/>
      <c r="D1099" s="50"/>
      <c r="E1099" s="50"/>
      <c r="F1099" s="50"/>
      <c r="G1099" s="50"/>
      <c r="H1099" s="50"/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</row>
    <row r="1100" spans="1:18" x14ac:dyDescent="0.25">
      <c r="A1100" s="52" t="s">
        <v>709</v>
      </c>
      <c r="B1100" s="53"/>
      <c r="C1100" s="54">
        <v>16050</v>
      </c>
      <c r="D1100" s="50">
        <v>19962</v>
      </c>
      <c r="E1100" s="50">
        <v>20262</v>
      </c>
      <c r="F1100" s="54">
        <v>18043</v>
      </c>
      <c r="G1100" s="54">
        <v>19475</v>
      </c>
      <c r="H1100" s="50">
        <v>21000</v>
      </c>
      <c r="I1100" s="54">
        <f t="shared" ref="I1100:I1102" si="585">H1100*1.023</f>
        <v>21482.999999999996</v>
      </c>
      <c r="J1100" s="54">
        <f t="shared" ref="J1100:K1102" si="586">I1100*1.024</f>
        <v>21998.591999999997</v>
      </c>
      <c r="K1100" s="54">
        <f t="shared" si="586"/>
        <v>22526.558207999999</v>
      </c>
      <c r="L1100" s="54">
        <f t="shared" ref="L1100:L1102" si="587">K1100*1.023</f>
        <v>23044.669046783998</v>
      </c>
      <c r="M1100" s="54">
        <f t="shared" ref="M1100:M1102" si="588">L1100*1.022</f>
        <v>23551.651765813247</v>
      </c>
      <c r="N1100" s="54">
        <f t="shared" ref="N1100:N1102" si="589">M1100*1.023</f>
        <v>24093.339756426951</v>
      </c>
      <c r="O1100" s="54">
        <f t="shared" ref="O1100:P1102" si="590">N1100*1.025</f>
        <v>24695.673250337622</v>
      </c>
      <c r="P1100" s="54">
        <f t="shared" si="590"/>
        <v>25313.065081596062</v>
      </c>
      <c r="Q1100" s="54">
        <f t="shared" ref="Q1100:R1102" si="591">P1100*1.024</f>
        <v>25920.578643554367</v>
      </c>
      <c r="R1100" s="54">
        <f t="shared" si="591"/>
        <v>26542.672530999673</v>
      </c>
    </row>
    <row r="1101" spans="1:18" x14ac:dyDescent="0.25">
      <c r="A1101" s="52" t="s">
        <v>710</v>
      </c>
      <c r="B1101" s="53"/>
      <c r="C1101" s="54">
        <v>1760</v>
      </c>
      <c r="D1101" s="50">
        <v>5770</v>
      </c>
      <c r="E1101" s="50">
        <v>440</v>
      </c>
      <c r="F1101" s="50">
        <v>880</v>
      </c>
      <c r="G1101" s="50">
        <v>0</v>
      </c>
      <c r="H1101" s="50">
        <v>2000</v>
      </c>
      <c r="I1101" s="54">
        <f t="shared" si="585"/>
        <v>2045.9999999999998</v>
      </c>
      <c r="J1101" s="54">
        <f t="shared" si="586"/>
        <v>2095.1039999999998</v>
      </c>
      <c r="K1101" s="54">
        <f t="shared" si="586"/>
        <v>2145.3864960000001</v>
      </c>
      <c r="L1101" s="54">
        <f t="shared" si="587"/>
        <v>2194.7303854080001</v>
      </c>
      <c r="M1101" s="54">
        <f t="shared" si="588"/>
        <v>2243.0144538869763</v>
      </c>
      <c r="N1101" s="54">
        <f t="shared" si="589"/>
        <v>2294.6037863263764</v>
      </c>
      <c r="O1101" s="54">
        <f t="shared" si="590"/>
        <v>2351.9688809845356</v>
      </c>
      <c r="P1101" s="54">
        <f t="shared" si="590"/>
        <v>2410.7681030091489</v>
      </c>
      <c r="Q1101" s="54">
        <f t="shared" si="591"/>
        <v>2468.6265374813684</v>
      </c>
      <c r="R1101" s="54">
        <f t="shared" si="591"/>
        <v>2527.8735743809211</v>
      </c>
    </row>
    <row r="1102" spans="1:18" x14ac:dyDescent="0.25">
      <c r="A1102" s="52" t="s">
        <v>711</v>
      </c>
      <c r="B1102" s="53"/>
      <c r="C1102" s="54">
        <v>17150</v>
      </c>
      <c r="D1102" s="50">
        <v>18750</v>
      </c>
      <c r="E1102" s="50">
        <v>17650</v>
      </c>
      <c r="F1102" s="50">
        <v>16400</v>
      </c>
      <c r="G1102" s="50">
        <v>15050</v>
      </c>
      <c r="H1102" s="50">
        <v>18000</v>
      </c>
      <c r="I1102" s="54">
        <f t="shared" si="585"/>
        <v>18414</v>
      </c>
      <c r="J1102" s="54">
        <f t="shared" si="586"/>
        <v>18855.936000000002</v>
      </c>
      <c r="K1102" s="54">
        <f t="shared" si="586"/>
        <v>19308.478464000003</v>
      </c>
      <c r="L1102" s="54">
        <f t="shared" si="587"/>
        <v>19752.573468672002</v>
      </c>
      <c r="M1102" s="54">
        <f t="shared" si="588"/>
        <v>20187.130084982786</v>
      </c>
      <c r="N1102" s="54">
        <f t="shared" si="589"/>
        <v>20651.434076937388</v>
      </c>
      <c r="O1102" s="54">
        <f t="shared" si="590"/>
        <v>21167.719928860821</v>
      </c>
      <c r="P1102" s="54">
        <f t="shared" si="590"/>
        <v>21696.91292708234</v>
      </c>
      <c r="Q1102" s="54">
        <f t="shared" si="591"/>
        <v>22217.638837332317</v>
      </c>
      <c r="R1102" s="54">
        <f t="shared" si="591"/>
        <v>22750.862169428292</v>
      </c>
    </row>
    <row r="1103" spans="1:18" x14ac:dyDescent="0.25">
      <c r="A1103" s="52" t="s">
        <v>712</v>
      </c>
      <c r="B1103" s="53"/>
      <c r="C1103" s="59"/>
      <c r="D1103" s="54"/>
      <c r="F1103" s="54"/>
      <c r="G1103" s="54">
        <v>0</v>
      </c>
      <c r="H1103" s="54"/>
      <c r="I1103" s="54"/>
      <c r="J1103" s="54"/>
      <c r="K1103" s="54"/>
      <c r="L1103" s="54"/>
      <c r="M1103" s="54"/>
      <c r="N1103" s="54"/>
      <c r="O1103" s="54"/>
      <c r="P1103" s="54"/>
      <c r="Q1103" s="54"/>
      <c r="R1103" s="54"/>
    </row>
    <row r="1104" spans="1:18" x14ac:dyDescent="0.25">
      <c r="A1104" s="59" t="s">
        <v>713</v>
      </c>
      <c r="B1104" s="53"/>
      <c r="C1104" s="59"/>
      <c r="D1104" s="54">
        <v>7545</v>
      </c>
      <c r="E1104" s="43">
        <v>8445</v>
      </c>
      <c r="F1104" s="54">
        <v>8407</v>
      </c>
      <c r="G1104" s="54">
        <v>8407</v>
      </c>
      <c r="H1104" s="54">
        <v>9000</v>
      </c>
      <c r="I1104" s="54">
        <f t="shared" ref="I1104" si="592">H1104*1.023</f>
        <v>9207</v>
      </c>
      <c r="J1104" s="54">
        <f t="shared" ref="J1104:K1104" si="593">I1104*1.024</f>
        <v>9427.9680000000008</v>
      </c>
      <c r="K1104" s="54">
        <f t="shared" si="593"/>
        <v>9654.2392320000017</v>
      </c>
      <c r="L1104" s="54">
        <f t="shared" ref="L1104" si="594">K1104*1.023</f>
        <v>9876.2867343360012</v>
      </c>
      <c r="M1104" s="54">
        <f t="shared" ref="M1104" si="595">L1104*1.022</f>
        <v>10093.565042491393</v>
      </c>
      <c r="N1104" s="54">
        <f t="shared" ref="N1104" si="596">M1104*1.023</f>
        <v>10325.717038468694</v>
      </c>
      <c r="O1104" s="54">
        <f t="shared" ref="O1104:P1104" si="597">N1104*1.025</f>
        <v>10583.85996443041</v>
      </c>
      <c r="P1104" s="54">
        <f t="shared" si="597"/>
        <v>10848.45646354117</v>
      </c>
      <c r="Q1104" s="54">
        <f t="shared" ref="Q1104:R1104" si="598">P1104*1.024</f>
        <v>11108.819418666159</v>
      </c>
      <c r="R1104" s="54">
        <f t="shared" si="598"/>
        <v>11375.431084714146</v>
      </c>
    </row>
    <row r="1105" spans="1:18" x14ac:dyDescent="0.25">
      <c r="A1105" s="59" t="s">
        <v>714</v>
      </c>
      <c r="B1105" s="53"/>
      <c r="C1105" s="59"/>
      <c r="D1105" s="54"/>
      <c r="F1105" s="54"/>
      <c r="G1105" s="54"/>
      <c r="H1105" s="54"/>
      <c r="I1105" s="54"/>
      <c r="J1105" s="54"/>
      <c r="K1105" s="54"/>
      <c r="L1105" s="54"/>
      <c r="M1105" s="54"/>
      <c r="N1105" s="54"/>
      <c r="O1105" s="54"/>
      <c r="P1105" s="54"/>
      <c r="Q1105" s="54"/>
      <c r="R1105" s="54"/>
    </row>
    <row r="1106" spans="1:18" x14ac:dyDescent="0.25">
      <c r="A1106" s="52"/>
      <c r="B1106" s="53"/>
      <c r="C1106" s="50"/>
      <c r="D1106" s="50"/>
      <c r="E1106" s="50"/>
      <c r="F1106" s="50"/>
      <c r="G1106" s="50"/>
      <c r="H1106" s="50"/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</row>
    <row r="1107" spans="1:18" x14ac:dyDescent="0.25">
      <c r="A1107" s="41" t="s">
        <v>715</v>
      </c>
      <c r="B1107" s="44"/>
      <c r="C1107" s="51">
        <f t="shared" ref="C1107" si="599">SUM(C1100:C1106)</f>
        <v>34960</v>
      </c>
      <c r="D1107" s="51">
        <f t="shared" ref="D1107:R1107" si="600">SUM(D1100:D1106)</f>
        <v>52027</v>
      </c>
      <c r="E1107" s="51">
        <f t="shared" si="600"/>
        <v>46797</v>
      </c>
      <c r="F1107" s="51">
        <f t="shared" si="600"/>
        <v>43730</v>
      </c>
      <c r="G1107" s="51">
        <f t="shared" si="600"/>
        <v>42932</v>
      </c>
      <c r="H1107" s="51">
        <f t="shared" si="600"/>
        <v>50000</v>
      </c>
      <c r="I1107" s="51">
        <f t="shared" si="600"/>
        <v>51150</v>
      </c>
      <c r="J1107" s="51">
        <f t="shared" si="600"/>
        <v>52377.599999999999</v>
      </c>
      <c r="K1107" s="51">
        <f t="shared" si="600"/>
        <v>53634.662400000001</v>
      </c>
      <c r="L1107" s="51">
        <f t="shared" si="600"/>
        <v>54868.259635199996</v>
      </c>
      <c r="M1107" s="51">
        <f t="shared" si="600"/>
        <v>56075.361347174403</v>
      </c>
      <c r="N1107" s="51">
        <f t="shared" si="600"/>
        <v>57365.094658159403</v>
      </c>
      <c r="O1107" s="51">
        <f t="shared" si="600"/>
        <v>58799.222024613387</v>
      </c>
      <c r="P1107" s="51">
        <f t="shared" si="600"/>
        <v>60269.202575228715</v>
      </c>
      <c r="Q1107" s="51">
        <f t="shared" si="600"/>
        <v>61715.663437034207</v>
      </c>
      <c r="R1107" s="51">
        <f t="shared" si="600"/>
        <v>63196.83935952303</v>
      </c>
    </row>
    <row r="1108" spans="1:18" x14ac:dyDescent="0.25">
      <c r="C1108" s="50"/>
      <c r="D1108" s="50"/>
      <c r="E1108" s="50"/>
      <c r="F1108" s="50"/>
      <c r="G1108" s="50"/>
      <c r="H1108" s="50"/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</row>
    <row r="1109" spans="1:18" x14ac:dyDescent="0.25">
      <c r="A1109" s="41" t="s">
        <v>716</v>
      </c>
      <c r="B1109" s="44"/>
      <c r="C1109" s="50"/>
      <c r="D1109" s="50"/>
      <c r="E1109" s="50"/>
      <c r="F1109" s="50"/>
      <c r="G1109" s="50"/>
      <c r="H1109" s="50"/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</row>
    <row r="1110" spans="1:18" x14ac:dyDescent="0.25">
      <c r="A1110" s="52" t="s">
        <v>717</v>
      </c>
      <c r="B1110" s="53"/>
      <c r="C1110" s="54">
        <f>3606+68</f>
        <v>3674</v>
      </c>
      <c r="D1110" s="54">
        <v>3166</v>
      </c>
      <c r="E1110" s="43">
        <v>4443</v>
      </c>
      <c r="F1110" s="54">
        <v>3564</v>
      </c>
      <c r="G1110" s="54">
        <v>8486</v>
      </c>
      <c r="H1110" s="54">
        <v>6500</v>
      </c>
      <c r="I1110" s="54">
        <f t="shared" ref="I1110:I1113" si="601">H1110*1.023</f>
        <v>6649.4999999999991</v>
      </c>
      <c r="J1110" s="54">
        <f t="shared" ref="J1110:K1113" si="602">I1110*1.024</f>
        <v>6809.0879999999988</v>
      </c>
      <c r="K1110" s="54">
        <f t="shared" si="602"/>
        <v>6972.5061119999991</v>
      </c>
      <c r="L1110" s="54">
        <f t="shared" ref="L1110:L1113" si="603">K1110*1.023</f>
        <v>7132.8737525759989</v>
      </c>
      <c r="M1110" s="54">
        <f t="shared" ref="M1110:M1113" si="604">L1110*1.022</f>
        <v>7289.7969751326709</v>
      </c>
      <c r="N1110" s="54">
        <f t="shared" ref="N1110:N1113" si="605">M1110*1.023</f>
        <v>7457.4623055607217</v>
      </c>
      <c r="O1110" s="54">
        <f t="shared" ref="O1110:R1114" si="606">N1110*1.025</f>
        <v>7643.898863199739</v>
      </c>
      <c r="P1110" s="54">
        <f t="shared" si="606"/>
        <v>7834.996334779732</v>
      </c>
      <c r="Q1110" s="54">
        <f t="shared" ref="Q1110:R1113" si="607">P1110*1.024</f>
        <v>8023.0362468144458</v>
      </c>
      <c r="R1110" s="54">
        <f t="shared" si="607"/>
        <v>8215.5891167379923</v>
      </c>
    </row>
    <row r="1111" spans="1:18" x14ac:dyDescent="0.25">
      <c r="A1111" s="52" t="s">
        <v>718</v>
      </c>
      <c r="B1111" s="53"/>
      <c r="C1111" s="54">
        <v>220</v>
      </c>
      <c r="D1111" s="54">
        <v>0</v>
      </c>
      <c r="E1111" s="43">
        <v>0</v>
      </c>
      <c r="F1111" s="54">
        <v>880</v>
      </c>
      <c r="G1111" s="54">
        <v>400</v>
      </c>
      <c r="H1111" s="54">
        <v>1000</v>
      </c>
      <c r="I1111" s="54">
        <f t="shared" si="601"/>
        <v>1022.9999999999999</v>
      </c>
      <c r="J1111" s="54">
        <f t="shared" si="602"/>
        <v>1047.5519999999999</v>
      </c>
      <c r="K1111" s="54">
        <f t="shared" si="602"/>
        <v>1072.693248</v>
      </c>
      <c r="L1111" s="54">
        <f t="shared" si="603"/>
        <v>1097.365192704</v>
      </c>
      <c r="M1111" s="54">
        <f t="shared" si="604"/>
        <v>1121.5072269434881</v>
      </c>
      <c r="N1111" s="54">
        <f t="shared" si="605"/>
        <v>1147.3018931631882</v>
      </c>
      <c r="O1111" s="54">
        <f t="shared" si="606"/>
        <v>1175.9844404922678</v>
      </c>
      <c r="P1111" s="54">
        <f t="shared" si="606"/>
        <v>1205.3840515045745</v>
      </c>
      <c r="Q1111" s="54">
        <f t="shared" si="607"/>
        <v>1234.3132687406842</v>
      </c>
      <c r="R1111" s="54">
        <f t="shared" si="607"/>
        <v>1263.9367871904606</v>
      </c>
    </row>
    <row r="1112" spans="1:18" x14ac:dyDescent="0.25">
      <c r="A1112" s="52" t="s">
        <v>719</v>
      </c>
      <c r="B1112" s="53"/>
      <c r="C1112" s="54">
        <v>3567</v>
      </c>
      <c r="D1112" s="54">
        <v>492</v>
      </c>
      <c r="E1112" s="43">
        <v>0</v>
      </c>
      <c r="F1112" s="54">
        <v>4000</v>
      </c>
      <c r="G1112" s="54">
        <v>5400</v>
      </c>
      <c r="H1112" s="54">
        <v>5000</v>
      </c>
      <c r="I1112" s="54">
        <f t="shared" si="601"/>
        <v>5115</v>
      </c>
      <c r="J1112" s="54">
        <f t="shared" si="602"/>
        <v>5237.76</v>
      </c>
      <c r="K1112" s="54">
        <f t="shared" si="602"/>
        <v>5363.4662400000007</v>
      </c>
      <c r="L1112" s="54">
        <f t="shared" si="603"/>
        <v>5486.8259635200002</v>
      </c>
      <c r="M1112" s="54">
        <f t="shared" si="604"/>
        <v>5607.5361347174403</v>
      </c>
      <c r="N1112" s="54">
        <f t="shared" si="605"/>
        <v>5736.5094658159405</v>
      </c>
      <c r="O1112" s="54">
        <f t="shared" si="606"/>
        <v>5879.9222024613382</v>
      </c>
      <c r="P1112" s="54">
        <f t="shared" si="606"/>
        <v>6026.920257522871</v>
      </c>
      <c r="Q1112" s="54">
        <f t="shared" si="607"/>
        <v>6171.56634370342</v>
      </c>
      <c r="R1112" s="54">
        <f t="shared" si="607"/>
        <v>6319.6839359523019</v>
      </c>
    </row>
    <row r="1113" spans="1:18" x14ac:dyDescent="0.25">
      <c r="A1113" s="43" t="s">
        <v>720</v>
      </c>
      <c r="C1113" s="54">
        <v>23089</v>
      </c>
      <c r="D1113" s="54">
        <v>11891</v>
      </c>
      <c r="E1113" s="43">
        <v>17167</v>
      </c>
      <c r="F1113" s="54">
        <v>18485</v>
      </c>
      <c r="G1113" s="54">
        <v>16048</v>
      </c>
      <c r="H1113" s="54">
        <v>18000</v>
      </c>
      <c r="I1113" s="54">
        <f t="shared" si="601"/>
        <v>18414</v>
      </c>
      <c r="J1113" s="54">
        <f t="shared" si="602"/>
        <v>18855.936000000002</v>
      </c>
      <c r="K1113" s="54">
        <f t="shared" si="602"/>
        <v>19308.478464000003</v>
      </c>
      <c r="L1113" s="54">
        <f t="shared" si="603"/>
        <v>19752.573468672002</v>
      </c>
      <c r="M1113" s="54">
        <f t="shared" si="604"/>
        <v>20187.130084982786</v>
      </c>
      <c r="N1113" s="54">
        <f t="shared" si="605"/>
        <v>20651.434076937388</v>
      </c>
      <c r="O1113" s="54">
        <f t="shared" si="606"/>
        <v>21167.719928860821</v>
      </c>
      <c r="P1113" s="54">
        <f t="shared" si="606"/>
        <v>21696.91292708234</v>
      </c>
      <c r="Q1113" s="54">
        <f t="shared" si="607"/>
        <v>22217.638837332317</v>
      </c>
      <c r="R1113" s="54">
        <f t="shared" si="607"/>
        <v>22750.862169428292</v>
      </c>
    </row>
    <row r="1114" spans="1:18" x14ac:dyDescent="0.25">
      <c r="A1114" s="43" t="s">
        <v>721</v>
      </c>
      <c r="C1114" s="54">
        <v>352</v>
      </c>
      <c r="D1114" s="54">
        <v>0</v>
      </c>
      <c r="E1114" s="43">
        <v>0</v>
      </c>
      <c r="F1114" s="54">
        <v>42</v>
      </c>
      <c r="G1114" s="54">
        <v>610</v>
      </c>
      <c r="H1114" s="54">
        <v>0</v>
      </c>
      <c r="I1114" s="54">
        <f>H1114*1.02</f>
        <v>0</v>
      </c>
      <c r="J1114" s="54">
        <f t="shared" ref="J1114" si="608">I1114*1.021</f>
        <v>0</v>
      </c>
      <c r="K1114" s="54">
        <f t="shared" ref="K1114" si="609">J1114*1.023</f>
        <v>0</v>
      </c>
      <c r="L1114" s="54">
        <f t="shared" ref="L1114" si="610">K1114*1.024</f>
        <v>0</v>
      </c>
      <c r="M1114" s="54">
        <f t="shared" ref="M1114" si="611">L1114*1.023</f>
        <v>0</v>
      </c>
      <c r="N1114" s="54">
        <f t="shared" ref="N1114" si="612">M1114*1.021</f>
        <v>0</v>
      </c>
      <c r="O1114" s="54">
        <f t="shared" ref="O1114" si="613">N1114*1.022</f>
        <v>0</v>
      </c>
      <c r="P1114" s="54">
        <f t="shared" si="606"/>
        <v>0</v>
      </c>
      <c r="Q1114" s="54">
        <f t="shared" si="606"/>
        <v>0</v>
      </c>
      <c r="R1114" s="54">
        <f t="shared" si="606"/>
        <v>0</v>
      </c>
    </row>
    <row r="1115" spans="1:18" x14ac:dyDescent="0.25">
      <c r="C1115" s="50"/>
      <c r="D1115" s="54"/>
      <c r="E1115" s="54"/>
      <c r="F1115" s="54"/>
      <c r="G1115" s="54"/>
      <c r="H1115" s="54"/>
      <c r="I1115" s="54"/>
      <c r="J1115" s="54"/>
      <c r="K1115" s="54"/>
      <c r="L1115" s="54"/>
      <c r="M1115" s="54"/>
      <c r="N1115" s="54"/>
      <c r="O1115" s="54"/>
      <c r="P1115" s="54"/>
      <c r="Q1115" s="54"/>
      <c r="R1115" s="54"/>
    </row>
    <row r="1116" spans="1:18" x14ac:dyDescent="0.25">
      <c r="A1116" s="41" t="s">
        <v>722</v>
      </c>
      <c r="B1116" s="44"/>
      <c r="C1116" s="51">
        <f>SUM(C1110:C1115)</f>
        <v>30902</v>
      </c>
      <c r="D1116" s="51">
        <f t="shared" ref="D1116:R1116" si="614">SUM(D1110:D1115)</f>
        <v>15549</v>
      </c>
      <c r="E1116" s="51">
        <f t="shared" si="614"/>
        <v>21610</v>
      </c>
      <c r="F1116" s="51">
        <f t="shared" si="614"/>
        <v>26971</v>
      </c>
      <c r="G1116" s="51">
        <f t="shared" si="614"/>
        <v>30944</v>
      </c>
      <c r="H1116" s="51">
        <f t="shared" si="614"/>
        <v>30500</v>
      </c>
      <c r="I1116" s="51">
        <f t="shared" si="614"/>
        <v>31201.5</v>
      </c>
      <c r="J1116" s="51">
        <f t="shared" si="614"/>
        <v>31950.335999999999</v>
      </c>
      <c r="K1116" s="51">
        <f t="shared" si="614"/>
        <v>32717.144064000004</v>
      </c>
      <c r="L1116" s="51">
        <f t="shared" si="614"/>
        <v>33469.638377472002</v>
      </c>
      <c r="M1116" s="51">
        <f t="shared" si="614"/>
        <v>34205.970421776387</v>
      </c>
      <c r="N1116" s="51">
        <f t="shared" si="614"/>
        <v>34992.707741477236</v>
      </c>
      <c r="O1116" s="51">
        <f t="shared" si="614"/>
        <v>35867.525435014162</v>
      </c>
      <c r="P1116" s="51">
        <f t="shared" si="614"/>
        <v>36764.213570889522</v>
      </c>
      <c r="Q1116" s="51">
        <f t="shared" si="614"/>
        <v>37646.554696590865</v>
      </c>
      <c r="R1116" s="51">
        <f t="shared" si="614"/>
        <v>38550.072009309049</v>
      </c>
    </row>
    <row r="1117" spans="1:18" x14ac:dyDescent="0.25">
      <c r="A1117" s="41"/>
      <c r="B1117" s="44"/>
      <c r="C1117" s="50"/>
      <c r="D1117" s="50"/>
      <c r="E1117" s="50"/>
      <c r="F1117" s="50"/>
      <c r="G1117" s="50"/>
      <c r="H1117" s="50"/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</row>
    <row r="1118" spans="1:18" x14ac:dyDescent="0.25">
      <c r="A1118" s="41" t="s">
        <v>216</v>
      </c>
      <c r="B1118" s="44"/>
      <c r="C1118" s="51">
        <f t="shared" ref="C1118:R1118" si="615">C1107+C1116</f>
        <v>65862</v>
      </c>
      <c r="D1118" s="51">
        <f t="shared" si="615"/>
        <v>67576</v>
      </c>
      <c r="E1118" s="51">
        <f t="shared" si="615"/>
        <v>68407</v>
      </c>
      <c r="F1118" s="51">
        <f t="shared" si="615"/>
        <v>70701</v>
      </c>
      <c r="G1118" s="51">
        <f t="shared" si="615"/>
        <v>73876</v>
      </c>
      <c r="H1118" s="51">
        <f t="shared" si="615"/>
        <v>80500</v>
      </c>
      <c r="I1118" s="51">
        <f t="shared" si="615"/>
        <v>82351.5</v>
      </c>
      <c r="J1118" s="51">
        <f t="shared" si="615"/>
        <v>84327.936000000002</v>
      </c>
      <c r="K1118" s="51">
        <f t="shared" si="615"/>
        <v>86351.806464000008</v>
      </c>
      <c r="L1118" s="51">
        <f t="shared" si="615"/>
        <v>88337.898012671998</v>
      </c>
      <c r="M1118" s="51">
        <f t="shared" si="615"/>
        <v>90281.331768950797</v>
      </c>
      <c r="N1118" s="51">
        <f t="shared" si="615"/>
        <v>92357.802399636639</v>
      </c>
      <c r="O1118" s="51">
        <f t="shared" si="615"/>
        <v>94666.747459627542</v>
      </c>
      <c r="P1118" s="51">
        <f t="shared" si="615"/>
        <v>97033.416146118238</v>
      </c>
      <c r="Q1118" s="51">
        <f t="shared" si="615"/>
        <v>99362.21813362508</v>
      </c>
      <c r="R1118" s="51">
        <f t="shared" si="615"/>
        <v>101746.91136883208</v>
      </c>
    </row>
    <row r="1119" spans="1:18" x14ac:dyDescent="0.25">
      <c r="A1119" s="41"/>
      <c r="B1119" s="44"/>
      <c r="C1119" s="50"/>
      <c r="D1119" s="50"/>
      <c r="E1119" s="50"/>
      <c r="F1119" s="50"/>
      <c r="G1119" s="50"/>
      <c r="H1119" s="50"/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</row>
    <row r="1120" spans="1:18" x14ac:dyDescent="0.25">
      <c r="A1120" s="41" t="s">
        <v>165</v>
      </c>
      <c r="B1120" s="44"/>
      <c r="C1120" s="50"/>
      <c r="D1120" s="50"/>
      <c r="E1120" s="50"/>
      <c r="F1120" s="50"/>
      <c r="G1120" s="50"/>
      <c r="H1120" s="50"/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</row>
    <row r="1121" spans="1:18" x14ac:dyDescent="0.25">
      <c r="A1121" s="41"/>
      <c r="B1121" s="44"/>
      <c r="C1121" s="50"/>
      <c r="D1121" s="50"/>
      <c r="E1121" s="50"/>
      <c r="F1121" s="50"/>
      <c r="G1121" s="50"/>
      <c r="H1121" s="50"/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</row>
    <row r="1122" spans="1:18" x14ac:dyDescent="0.25">
      <c r="A1122" s="41" t="s">
        <v>723</v>
      </c>
      <c r="B1122" s="44"/>
      <c r="C1122" s="50"/>
      <c r="D1122" s="50"/>
      <c r="E1122" s="50"/>
      <c r="F1122" s="50"/>
      <c r="G1122" s="50"/>
      <c r="H1122" s="50"/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</row>
    <row r="1123" spans="1:18" x14ac:dyDescent="0.25">
      <c r="A1123" s="43" t="s">
        <v>217</v>
      </c>
      <c r="C1123" s="54">
        <v>40481</v>
      </c>
      <c r="D1123" s="54">
        <v>44416</v>
      </c>
      <c r="E1123" s="43">
        <v>41453</v>
      </c>
      <c r="F1123" s="43">
        <v>40381</v>
      </c>
      <c r="G1123" s="43">
        <v>45988</v>
      </c>
      <c r="H1123" s="43">
        <v>46200</v>
      </c>
      <c r="I1123" s="50">
        <f>H1123*1.025</f>
        <v>47354.999999999993</v>
      </c>
      <c r="J1123" s="50">
        <f>I1123*1.029</f>
        <v>48728.294999999991</v>
      </c>
      <c r="K1123" s="54">
        <f>J1123*1.031</f>
        <v>50238.872144999987</v>
      </c>
      <c r="L1123" s="54">
        <f>K1123*1.033</f>
        <v>51896.754925784982</v>
      </c>
      <c r="M1123" s="54">
        <f>L1123*1.032</f>
        <v>53557.451083410102</v>
      </c>
      <c r="N1123" s="54">
        <f>M1123*1.03</f>
        <v>55164.174615912409</v>
      </c>
      <c r="O1123" s="54">
        <f>N1123*1.032</f>
        <v>56929.42820362161</v>
      </c>
      <c r="P1123" s="54">
        <f>O1123*1.034</f>
        <v>58865.028762544745</v>
      </c>
      <c r="Q1123" s="54">
        <f>P1123*1.034</f>
        <v>60866.439740471265</v>
      </c>
      <c r="R1123" s="54">
        <f>Q1123*1.034</f>
        <v>62935.898691647293</v>
      </c>
    </row>
    <row r="1124" spans="1:18" x14ac:dyDescent="0.25">
      <c r="A1124" s="43" t="s">
        <v>219</v>
      </c>
      <c r="C1124" s="54">
        <v>2159</v>
      </c>
      <c r="D1124" s="54">
        <v>2863</v>
      </c>
      <c r="E1124" s="50">
        <v>2182</v>
      </c>
      <c r="F1124" s="54">
        <v>2095</v>
      </c>
      <c r="G1124" s="54">
        <v>2054</v>
      </c>
      <c r="H1124" s="50">
        <v>2000</v>
      </c>
      <c r="I1124" s="54">
        <v>2046</v>
      </c>
      <c r="J1124" s="54">
        <v>2095</v>
      </c>
      <c r="K1124" s="54">
        <v>2145</v>
      </c>
      <c r="L1124" s="54">
        <v>2194</v>
      </c>
      <c r="M1124" s="54">
        <v>2242</v>
      </c>
      <c r="N1124" s="54">
        <v>2294</v>
      </c>
      <c r="O1124" s="54">
        <v>2351</v>
      </c>
      <c r="P1124" s="54">
        <v>2410</v>
      </c>
      <c r="Q1124" s="54">
        <v>2468</v>
      </c>
      <c r="R1124" s="54">
        <v>2468</v>
      </c>
    </row>
    <row r="1125" spans="1:18" x14ac:dyDescent="0.25">
      <c r="A1125" s="43" t="s">
        <v>220</v>
      </c>
      <c r="C1125" s="50">
        <v>3926</v>
      </c>
      <c r="D1125" s="54">
        <v>5686</v>
      </c>
      <c r="E1125" s="54">
        <v>6587</v>
      </c>
      <c r="F1125" s="50">
        <v>4404</v>
      </c>
      <c r="G1125" s="50">
        <v>5055</v>
      </c>
      <c r="H1125" s="50">
        <v>5800</v>
      </c>
      <c r="I1125" s="50">
        <f>H1125*1.025</f>
        <v>5944.9999999999991</v>
      </c>
      <c r="J1125" s="50">
        <f>I1125*1.029</f>
        <v>6117.4049999999988</v>
      </c>
      <c r="K1125" s="54">
        <f>J1125*1.031</f>
        <v>6307.0445549999986</v>
      </c>
      <c r="L1125" s="54">
        <f>K1125*1.033</f>
        <v>6515.177025314998</v>
      </c>
      <c r="M1125" s="54">
        <f>L1125*1.032</f>
        <v>6723.6626901250784</v>
      </c>
      <c r="N1125" s="54">
        <f>M1125*1.03</f>
        <v>6925.3725708288312</v>
      </c>
      <c r="O1125" s="54">
        <f>N1125*1.032</f>
        <v>7146.9844930953541</v>
      </c>
      <c r="P1125" s="54">
        <f>O1125*1.034</f>
        <v>7389.9819658605966</v>
      </c>
      <c r="Q1125" s="54">
        <f>P1125*1.034</f>
        <v>7641.2413526998571</v>
      </c>
      <c r="R1125" s="54">
        <f>Q1125*1.034</f>
        <v>7901.0435586916528</v>
      </c>
    </row>
    <row r="1126" spans="1:18" x14ac:dyDescent="0.25">
      <c r="A1126" s="43" t="s">
        <v>221</v>
      </c>
      <c r="C1126" s="169">
        <v>1988</v>
      </c>
      <c r="D1126" s="180">
        <v>1988</v>
      </c>
      <c r="E1126" s="180">
        <v>2373</v>
      </c>
      <c r="F1126" s="98">
        <v>1849</v>
      </c>
      <c r="G1126" s="98">
        <v>1849</v>
      </c>
      <c r="H1126" s="98">
        <v>1860</v>
      </c>
      <c r="I1126" s="180">
        <v>1950</v>
      </c>
      <c r="J1126" s="180">
        <v>1950</v>
      </c>
      <c r="K1126" s="180">
        <v>2010</v>
      </c>
      <c r="L1126" s="180">
        <v>2100</v>
      </c>
      <c r="M1126" s="180">
        <v>2170</v>
      </c>
      <c r="N1126" s="180">
        <v>2150</v>
      </c>
      <c r="O1126" s="180">
        <v>2240</v>
      </c>
      <c r="P1126" s="180">
        <v>2330</v>
      </c>
      <c r="Q1126" s="180">
        <v>2430</v>
      </c>
      <c r="R1126" s="180">
        <v>2430</v>
      </c>
    </row>
    <row r="1127" spans="1:18" x14ac:dyDescent="0.25">
      <c r="A1127" s="52" t="s">
        <v>724</v>
      </c>
      <c r="B1127" s="53"/>
      <c r="C1127" s="54">
        <v>14390</v>
      </c>
      <c r="D1127" s="54">
        <v>16665</v>
      </c>
      <c r="E1127" s="50">
        <v>14301</v>
      </c>
      <c r="F1127" s="54">
        <v>20684</v>
      </c>
      <c r="G1127" s="54">
        <v>15750</v>
      </c>
      <c r="H1127" s="54">
        <v>16000</v>
      </c>
      <c r="I1127" s="54">
        <f t="shared" ref="I1127:I1135" si="616">H1127*1.023</f>
        <v>16367.999999999998</v>
      </c>
      <c r="J1127" s="54">
        <f t="shared" ref="J1127:K1135" si="617">I1127*1.024</f>
        <v>16760.831999999999</v>
      </c>
      <c r="K1127" s="54">
        <f t="shared" si="617"/>
        <v>17163.091968000001</v>
      </c>
      <c r="L1127" s="54">
        <f t="shared" ref="L1127:L1135" si="618">K1127*1.023</f>
        <v>17557.843083264001</v>
      </c>
      <c r="M1127" s="54">
        <f t="shared" ref="M1127:M1135" si="619">L1127*1.022</f>
        <v>17944.11563109581</v>
      </c>
      <c r="N1127" s="54">
        <f t="shared" ref="N1127:N1135" si="620">M1127*1.023</f>
        <v>18356.830290611011</v>
      </c>
      <c r="O1127" s="54">
        <f t="shared" ref="O1127:P1135" si="621">N1127*1.025</f>
        <v>18815.751047876285</v>
      </c>
      <c r="P1127" s="54">
        <f t="shared" si="621"/>
        <v>19286.144824073192</v>
      </c>
      <c r="Q1127" s="54">
        <f t="shared" ref="Q1127:R1135" si="622">P1127*1.024</f>
        <v>19749.012299850947</v>
      </c>
      <c r="R1127" s="54">
        <f t="shared" si="622"/>
        <v>20222.988595047369</v>
      </c>
    </row>
    <row r="1128" spans="1:18" x14ac:dyDescent="0.25">
      <c r="A1128" s="52" t="s">
        <v>226</v>
      </c>
      <c r="B1128" s="53"/>
      <c r="C1128" s="54">
        <v>117</v>
      </c>
      <c r="D1128" s="54">
        <v>230</v>
      </c>
      <c r="E1128" s="50">
        <v>758</v>
      </c>
      <c r="F1128" s="54">
        <v>345</v>
      </c>
      <c r="G1128" s="50">
        <v>301</v>
      </c>
      <c r="H1128" s="50">
        <v>800</v>
      </c>
      <c r="I1128" s="54">
        <f t="shared" si="616"/>
        <v>818.4</v>
      </c>
      <c r="J1128" s="54">
        <f t="shared" si="617"/>
        <v>838.04160000000002</v>
      </c>
      <c r="K1128" s="54">
        <f t="shared" si="617"/>
        <v>858.15459840000005</v>
      </c>
      <c r="L1128" s="54">
        <f t="shared" si="618"/>
        <v>877.89215416319996</v>
      </c>
      <c r="M1128" s="54">
        <f t="shared" si="619"/>
        <v>897.20578155479041</v>
      </c>
      <c r="N1128" s="54">
        <f t="shared" si="620"/>
        <v>917.84151453055051</v>
      </c>
      <c r="O1128" s="54">
        <f t="shared" si="621"/>
        <v>940.78755239381417</v>
      </c>
      <c r="P1128" s="54">
        <f t="shared" si="621"/>
        <v>964.30724120365949</v>
      </c>
      <c r="Q1128" s="54">
        <f t="shared" si="622"/>
        <v>987.45061499254734</v>
      </c>
      <c r="R1128" s="54">
        <f t="shared" si="622"/>
        <v>1011.1494297523685</v>
      </c>
    </row>
    <row r="1129" spans="1:18" x14ac:dyDescent="0.25">
      <c r="A1129" s="52" t="s">
        <v>725</v>
      </c>
      <c r="B1129" s="53"/>
      <c r="C1129" s="54">
        <v>0</v>
      </c>
      <c r="D1129" s="54">
        <v>0</v>
      </c>
      <c r="E1129" s="43">
        <v>0</v>
      </c>
      <c r="F1129" s="54">
        <v>0</v>
      </c>
      <c r="G1129" s="54">
        <v>0</v>
      </c>
      <c r="H1129" s="54">
        <v>5000</v>
      </c>
      <c r="I1129" s="54">
        <f t="shared" si="616"/>
        <v>5115</v>
      </c>
      <c r="J1129" s="54">
        <f t="shared" si="617"/>
        <v>5237.76</v>
      </c>
      <c r="K1129" s="54">
        <f t="shared" si="617"/>
        <v>5363.4662400000007</v>
      </c>
      <c r="L1129" s="54">
        <f t="shared" si="618"/>
        <v>5486.8259635200002</v>
      </c>
      <c r="M1129" s="54">
        <f t="shared" si="619"/>
        <v>5607.5361347174403</v>
      </c>
      <c r="N1129" s="54">
        <f t="shared" si="620"/>
        <v>5736.5094658159405</v>
      </c>
      <c r="O1129" s="54">
        <f t="shared" si="621"/>
        <v>5879.9222024613382</v>
      </c>
      <c r="P1129" s="54">
        <f t="shared" si="621"/>
        <v>6026.920257522871</v>
      </c>
      <c r="Q1129" s="54">
        <f t="shared" si="622"/>
        <v>6171.56634370342</v>
      </c>
      <c r="R1129" s="54">
        <f t="shared" si="622"/>
        <v>6319.6839359523019</v>
      </c>
    </row>
    <row r="1130" spans="1:18" x14ac:dyDescent="0.25">
      <c r="A1130" s="52" t="s">
        <v>726</v>
      </c>
      <c r="B1130" s="53"/>
      <c r="C1130" s="54">
        <v>5368</v>
      </c>
      <c r="D1130" s="54">
        <v>2500</v>
      </c>
      <c r="E1130" s="43">
        <v>4676</v>
      </c>
      <c r="F1130" s="54">
        <v>4389</v>
      </c>
      <c r="G1130" s="54">
        <v>4434</v>
      </c>
      <c r="H1130" s="54">
        <v>4700</v>
      </c>
      <c r="I1130" s="54">
        <f t="shared" si="616"/>
        <v>4808.0999999999995</v>
      </c>
      <c r="J1130" s="54">
        <f t="shared" si="617"/>
        <v>4923.4943999999996</v>
      </c>
      <c r="K1130" s="54">
        <f t="shared" si="617"/>
        <v>5041.6582656</v>
      </c>
      <c r="L1130" s="54">
        <f t="shared" si="618"/>
        <v>5157.6164057087999</v>
      </c>
      <c r="M1130" s="54">
        <f t="shared" si="619"/>
        <v>5271.0839666343936</v>
      </c>
      <c r="N1130" s="54">
        <f t="shared" si="620"/>
        <v>5392.3188978669841</v>
      </c>
      <c r="O1130" s="54">
        <f t="shared" si="621"/>
        <v>5527.1268703136584</v>
      </c>
      <c r="P1130" s="54">
        <f t="shared" si="621"/>
        <v>5665.305042071499</v>
      </c>
      <c r="Q1130" s="54">
        <f t="shared" si="622"/>
        <v>5801.2723630812152</v>
      </c>
      <c r="R1130" s="54">
        <f t="shared" si="622"/>
        <v>5940.5028997951649</v>
      </c>
    </row>
    <row r="1131" spans="1:18" x14ac:dyDescent="0.25">
      <c r="A1131" s="52" t="s">
        <v>727</v>
      </c>
      <c r="B1131" s="53"/>
      <c r="C1131" s="54">
        <v>5500</v>
      </c>
      <c r="D1131" s="54">
        <v>7417</v>
      </c>
      <c r="E1131" s="43">
        <f>6682</f>
        <v>6682</v>
      </c>
      <c r="F1131" s="54">
        <v>7558</v>
      </c>
      <c r="G1131" s="50">
        <v>13154</v>
      </c>
      <c r="H1131" s="50">
        <f>7800+8100</f>
        <v>15900</v>
      </c>
      <c r="I1131" s="54">
        <f t="shared" si="616"/>
        <v>16265.699999999999</v>
      </c>
      <c r="J1131" s="54">
        <f t="shared" si="617"/>
        <v>16656.076799999999</v>
      </c>
      <c r="K1131" s="54">
        <f t="shared" si="617"/>
        <v>17055.822643200001</v>
      </c>
      <c r="L1131" s="54">
        <f t="shared" si="618"/>
        <v>17448.106563993599</v>
      </c>
      <c r="M1131" s="54">
        <f t="shared" si="619"/>
        <v>17831.96490840146</v>
      </c>
      <c r="N1131" s="54">
        <f t="shared" si="620"/>
        <v>18242.100101294691</v>
      </c>
      <c r="O1131" s="54">
        <f t="shared" si="621"/>
        <v>18698.152603827057</v>
      </c>
      <c r="P1131" s="54">
        <f t="shared" si="621"/>
        <v>19165.606418922733</v>
      </c>
      <c r="Q1131" s="54">
        <f t="shared" si="622"/>
        <v>19625.580972976877</v>
      </c>
      <c r="R1131" s="54">
        <f t="shared" si="622"/>
        <v>20096.594916328322</v>
      </c>
    </row>
    <row r="1132" spans="1:18" x14ac:dyDescent="0.25">
      <c r="A1132" s="52" t="s">
        <v>728</v>
      </c>
      <c r="B1132" s="53"/>
      <c r="C1132" s="59">
        <v>0</v>
      </c>
      <c r="D1132" s="54">
        <v>0</v>
      </c>
      <c r="E1132" s="43">
        <v>0</v>
      </c>
      <c r="F1132" s="54">
        <v>0</v>
      </c>
      <c r="G1132" s="50">
        <v>0</v>
      </c>
      <c r="H1132" s="50">
        <v>0</v>
      </c>
      <c r="I1132" s="54">
        <f t="shared" si="616"/>
        <v>0</v>
      </c>
      <c r="J1132" s="54">
        <f t="shared" si="617"/>
        <v>0</v>
      </c>
      <c r="K1132" s="54">
        <f t="shared" si="617"/>
        <v>0</v>
      </c>
      <c r="L1132" s="54">
        <f t="shared" si="618"/>
        <v>0</v>
      </c>
      <c r="M1132" s="54">
        <f t="shared" si="619"/>
        <v>0</v>
      </c>
      <c r="N1132" s="54">
        <f t="shared" si="620"/>
        <v>0</v>
      </c>
      <c r="O1132" s="54">
        <f t="shared" si="621"/>
        <v>0</v>
      </c>
      <c r="P1132" s="54">
        <f t="shared" si="621"/>
        <v>0</v>
      </c>
      <c r="Q1132" s="54">
        <f t="shared" si="622"/>
        <v>0</v>
      </c>
      <c r="R1132" s="54">
        <f t="shared" si="622"/>
        <v>0</v>
      </c>
    </row>
    <row r="1133" spans="1:18" x14ac:dyDescent="0.25">
      <c r="A1133" s="52" t="s">
        <v>729</v>
      </c>
      <c r="B1133" s="53"/>
      <c r="C1133" s="59">
        <v>0</v>
      </c>
      <c r="D1133" s="54">
        <v>0</v>
      </c>
      <c r="E1133" s="43">
        <v>0</v>
      </c>
      <c r="F1133" s="54">
        <v>0</v>
      </c>
      <c r="G1133" s="50">
        <v>0</v>
      </c>
      <c r="H1133" s="50">
        <v>1000</v>
      </c>
      <c r="I1133" s="54">
        <f t="shared" si="616"/>
        <v>1022.9999999999999</v>
      </c>
      <c r="J1133" s="54">
        <f t="shared" si="617"/>
        <v>1047.5519999999999</v>
      </c>
      <c r="K1133" s="54">
        <f t="shared" si="617"/>
        <v>1072.693248</v>
      </c>
      <c r="L1133" s="54">
        <f t="shared" si="618"/>
        <v>1097.365192704</v>
      </c>
      <c r="M1133" s="54">
        <f t="shared" si="619"/>
        <v>1121.5072269434881</v>
      </c>
      <c r="N1133" s="54">
        <f t="shared" si="620"/>
        <v>1147.3018931631882</v>
      </c>
      <c r="O1133" s="54">
        <f t="shared" si="621"/>
        <v>1175.9844404922678</v>
      </c>
      <c r="P1133" s="54">
        <f t="shared" si="621"/>
        <v>1205.3840515045745</v>
      </c>
      <c r="Q1133" s="54">
        <f t="shared" si="622"/>
        <v>1234.3132687406842</v>
      </c>
      <c r="R1133" s="54">
        <f t="shared" si="622"/>
        <v>1263.9367871904606</v>
      </c>
    </row>
    <row r="1134" spans="1:18" x14ac:dyDescent="0.25">
      <c r="A1134" s="52" t="s">
        <v>730</v>
      </c>
      <c r="B1134" s="53"/>
      <c r="C1134" s="54">
        <v>1402</v>
      </c>
      <c r="D1134" s="54">
        <v>0</v>
      </c>
      <c r="E1134" s="43">
        <v>2000</v>
      </c>
      <c r="F1134" s="54">
        <v>0</v>
      </c>
      <c r="G1134" s="50">
        <v>0</v>
      </c>
      <c r="H1134" s="50">
        <v>2000</v>
      </c>
      <c r="I1134" s="54">
        <f t="shared" si="616"/>
        <v>2045.9999999999998</v>
      </c>
      <c r="J1134" s="54">
        <f t="shared" si="617"/>
        <v>2095.1039999999998</v>
      </c>
      <c r="K1134" s="54">
        <f t="shared" si="617"/>
        <v>2145.3864960000001</v>
      </c>
      <c r="L1134" s="54">
        <f t="shared" si="618"/>
        <v>2194.7303854080001</v>
      </c>
      <c r="M1134" s="54">
        <f t="shared" si="619"/>
        <v>2243.0144538869763</v>
      </c>
      <c r="N1134" s="54">
        <f t="shared" si="620"/>
        <v>2294.6037863263764</v>
      </c>
      <c r="O1134" s="54">
        <f t="shared" si="621"/>
        <v>2351.9688809845356</v>
      </c>
      <c r="P1134" s="54">
        <f t="shared" si="621"/>
        <v>2410.7681030091489</v>
      </c>
      <c r="Q1134" s="54">
        <f t="shared" si="622"/>
        <v>2468.6265374813684</v>
      </c>
      <c r="R1134" s="54">
        <f t="shared" si="622"/>
        <v>2527.8735743809211</v>
      </c>
    </row>
    <row r="1135" spans="1:18" x14ac:dyDescent="0.25">
      <c r="A1135" s="59" t="s">
        <v>731</v>
      </c>
      <c r="B1135" s="66"/>
      <c r="C1135" s="59">
        <v>0</v>
      </c>
      <c r="D1135" s="54">
        <v>0</v>
      </c>
      <c r="E1135" s="43">
        <v>0</v>
      </c>
      <c r="F1135" s="54">
        <v>0</v>
      </c>
      <c r="G1135" s="50">
        <v>0</v>
      </c>
      <c r="H1135" s="50">
        <v>2000</v>
      </c>
      <c r="I1135" s="54">
        <f t="shared" si="616"/>
        <v>2045.9999999999998</v>
      </c>
      <c r="J1135" s="54">
        <f t="shared" si="617"/>
        <v>2095.1039999999998</v>
      </c>
      <c r="K1135" s="54">
        <f t="shared" si="617"/>
        <v>2145.3864960000001</v>
      </c>
      <c r="L1135" s="54">
        <f t="shared" si="618"/>
        <v>2194.7303854080001</v>
      </c>
      <c r="M1135" s="54">
        <f t="shared" si="619"/>
        <v>2243.0144538869763</v>
      </c>
      <c r="N1135" s="54">
        <f t="shared" si="620"/>
        <v>2294.6037863263764</v>
      </c>
      <c r="O1135" s="54">
        <f t="shared" si="621"/>
        <v>2351.9688809845356</v>
      </c>
      <c r="P1135" s="54">
        <f t="shared" si="621"/>
        <v>2410.7681030091489</v>
      </c>
      <c r="Q1135" s="54">
        <f t="shared" si="622"/>
        <v>2468.6265374813684</v>
      </c>
      <c r="R1135" s="54">
        <f t="shared" si="622"/>
        <v>2527.8735743809211</v>
      </c>
    </row>
    <row r="1136" spans="1:18" x14ac:dyDescent="0.25">
      <c r="A1136" s="52" t="s">
        <v>732</v>
      </c>
      <c r="B1136" s="53"/>
      <c r="C1136" s="59">
        <v>0</v>
      </c>
      <c r="D1136" s="54">
        <f>C1136*1.025</f>
        <v>0</v>
      </c>
      <c r="E1136" s="54">
        <f>D1136*1.025</f>
        <v>0</v>
      </c>
      <c r="F1136" s="54">
        <v>0</v>
      </c>
      <c r="G1136" s="54">
        <v>0</v>
      </c>
      <c r="H1136" s="54">
        <v>0</v>
      </c>
      <c r="I1136" s="54">
        <v>0</v>
      </c>
      <c r="J1136" s="54">
        <v>0</v>
      </c>
      <c r="K1136" s="54">
        <v>0</v>
      </c>
      <c r="L1136" s="54">
        <v>0</v>
      </c>
      <c r="M1136" s="54">
        <v>0</v>
      </c>
      <c r="N1136" s="54">
        <v>0</v>
      </c>
      <c r="O1136" s="54">
        <v>0</v>
      </c>
      <c r="P1136" s="54">
        <v>0</v>
      </c>
      <c r="Q1136" s="54">
        <f t="shared" ref="Q1136:R1137" si="623">P1136*1.02</f>
        <v>0</v>
      </c>
      <c r="R1136" s="54">
        <f t="shared" si="623"/>
        <v>0</v>
      </c>
    </row>
    <row r="1137" spans="1:18" x14ac:dyDescent="0.25">
      <c r="A1137" s="52" t="s">
        <v>733</v>
      </c>
      <c r="B1137" s="53"/>
      <c r="C1137" s="59">
        <v>0</v>
      </c>
      <c r="D1137" s="54">
        <f>C1137*1.025</f>
        <v>0</v>
      </c>
      <c r="E1137" s="54">
        <f>D1137*1.025</f>
        <v>0</v>
      </c>
      <c r="F1137" s="54">
        <v>0</v>
      </c>
      <c r="G1137" s="54">
        <v>0</v>
      </c>
      <c r="H1137" s="54">
        <v>0</v>
      </c>
      <c r="I1137" s="54">
        <v>0</v>
      </c>
      <c r="J1137" s="54">
        <v>0</v>
      </c>
      <c r="K1137" s="54">
        <v>0</v>
      </c>
      <c r="L1137" s="54">
        <v>0</v>
      </c>
      <c r="M1137" s="54">
        <v>0</v>
      </c>
      <c r="N1137" s="54">
        <v>0</v>
      </c>
      <c r="O1137" s="54">
        <v>0</v>
      </c>
      <c r="P1137" s="54">
        <v>0</v>
      </c>
      <c r="Q1137" s="54">
        <f t="shared" si="623"/>
        <v>0</v>
      </c>
      <c r="R1137" s="54">
        <f t="shared" si="623"/>
        <v>0</v>
      </c>
    </row>
    <row r="1138" spans="1:18" x14ac:dyDescent="0.25">
      <c r="A1138" s="52" t="s">
        <v>712</v>
      </c>
      <c r="B1138" s="53"/>
      <c r="C1138" s="59">
        <v>0</v>
      </c>
      <c r="D1138" s="54"/>
      <c r="E1138" s="54"/>
      <c r="F1138" s="54"/>
      <c r="G1138" s="54"/>
      <c r="H1138" s="54"/>
      <c r="I1138" s="54"/>
      <c r="J1138" s="54"/>
      <c r="K1138" s="54"/>
      <c r="L1138" s="54"/>
      <c r="M1138" s="54"/>
      <c r="N1138" s="54"/>
      <c r="O1138" s="54"/>
      <c r="P1138" s="54"/>
      <c r="Q1138" s="54"/>
      <c r="R1138" s="54"/>
    </row>
    <row r="1139" spans="1:18" x14ac:dyDescent="0.25">
      <c r="A1139" s="59" t="s">
        <v>714</v>
      </c>
      <c r="B1139" s="53"/>
      <c r="C1139" s="59"/>
      <c r="D1139" s="54"/>
      <c r="E1139" s="54"/>
      <c r="F1139" s="54"/>
      <c r="G1139" s="50"/>
      <c r="H1139" s="54"/>
      <c r="I1139" s="54"/>
      <c r="J1139" s="54"/>
      <c r="K1139" s="54"/>
      <c r="L1139" s="54"/>
      <c r="M1139" s="54"/>
      <c r="N1139" s="54"/>
      <c r="O1139" s="54"/>
      <c r="P1139" s="54"/>
      <c r="Q1139" s="54"/>
      <c r="R1139" s="54"/>
    </row>
    <row r="1140" spans="1:18" x14ac:dyDescent="0.25">
      <c r="A1140" s="52"/>
      <c r="B1140" s="53"/>
      <c r="C1140" s="50"/>
      <c r="D1140" s="50"/>
      <c r="E1140" s="50"/>
      <c r="F1140" s="50"/>
      <c r="G1140" s="50"/>
      <c r="H1140" s="50"/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</row>
    <row r="1141" spans="1:18" x14ac:dyDescent="0.25">
      <c r="A1141" s="41" t="s">
        <v>734</v>
      </c>
      <c r="B1141" s="44"/>
      <c r="C1141" s="51">
        <f t="shared" ref="C1141" si="624">SUM(C1123:C1140)</f>
        <v>75331</v>
      </c>
      <c r="D1141" s="51">
        <f t="shared" ref="D1141:F1141" si="625">SUM(D1123:D1140)</f>
        <v>81765</v>
      </c>
      <c r="E1141" s="51">
        <f t="shared" si="625"/>
        <v>81012</v>
      </c>
      <c r="F1141" s="51">
        <f t="shared" si="625"/>
        <v>81705</v>
      </c>
      <c r="G1141" s="51">
        <f t="shared" ref="G1141" si="626">SUM(G1123:G1139)</f>
        <v>88585</v>
      </c>
      <c r="H1141" s="51">
        <f t="shared" ref="H1141:R1141" si="627">SUM(H1123:H1140)</f>
        <v>103260</v>
      </c>
      <c r="I1141" s="51">
        <f t="shared" si="627"/>
        <v>105786.19999999998</v>
      </c>
      <c r="J1141" s="51">
        <f t="shared" si="627"/>
        <v>108544.66479999998</v>
      </c>
      <c r="K1141" s="51">
        <f t="shared" si="627"/>
        <v>111546.57665519998</v>
      </c>
      <c r="L1141" s="51">
        <f t="shared" si="627"/>
        <v>114721.04208526957</v>
      </c>
      <c r="M1141" s="51">
        <f t="shared" si="627"/>
        <v>117852.55633065653</v>
      </c>
      <c r="N1141" s="51">
        <f t="shared" si="627"/>
        <v>120915.65692267634</v>
      </c>
      <c r="O1141" s="51">
        <f t="shared" si="627"/>
        <v>124409.07517605045</v>
      </c>
      <c r="P1141" s="51">
        <f t="shared" si="627"/>
        <v>128130.21476972217</v>
      </c>
      <c r="Q1141" s="51">
        <f t="shared" si="627"/>
        <v>131912.13003147955</v>
      </c>
      <c r="R1141" s="51">
        <f t="shared" si="627"/>
        <v>135645.54596316675</v>
      </c>
    </row>
    <row r="1142" spans="1:18" x14ac:dyDescent="0.25">
      <c r="C1142" s="50"/>
      <c r="D1142" s="50"/>
      <c r="E1142" s="50"/>
      <c r="F1142" s="50"/>
      <c r="G1142" s="50"/>
      <c r="H1142" s="50"/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</row>
    <row r="1143" spans="1:18" x14ac:dyDescent="0.25">
      <c r="A1143" s="41" t="s">
        <v>735</v>
      </c>
      <c r="B1143" s="44"/>
      <c r="C1143" s="50"/>
      <c r="D1143" s="50"/>
      <c r="E1143" s="50"/>
      <c r="F1143" s="50"/>
      <c r="G1143" s="50"/>
      <c r="H1143" s="50"/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</row>
    <row r="1144" spans="1:18" x14ac:dyDescent="0.25">
      <c r="A1144" s="43" t="s">
        <v>736</v>
      </c>
      <c r="C1144" s="54">
        <v>159320</v>
      </c>
      <c r="D1144">
        <v>165207</v>
      </c>
      <c r="E1144" s="43">
        <v>147272</v>
      </c>
      <c r="F1144" s="50">
        <v>139388</v>
      </c>
      <c r="G1144" s="50">
        <v>139485</v>
      </c>
      <c r="H1144" s="50">
        <v>175100</v>
      </c>
      <c r="I1144" s="50">
        <f>H1144*1.025</f>
        <v>179477.49999999997</v>
      </c>
      <c r="J1144" s="50">
        <f>I1144*1.029</f>
        <v>184682.34749999995</v>
      </c>
      <c r="K1144" s="54">
        <f>J1144*1.031</f>
        <v>190407.50027249992</v>
      </c>
      <c r="L1144" s="54">
        <f>K1144*1.033</f>
        <v>196690.9477814924</v>
      </c>
      <c r="M1144" s="54">
        <f>L1144*1.032</f>
        <v>202985.05811050016</v>
      </c>
      <c r="N1144" s="54">
        <f>M1144*1.03</f>
        <v>209074.60985381517</v>
      </c>
      <c r="O1144" s="54">
        <f>N1144*1.032</f>
        <v>215764.99736913727</v>
      </c>
      <c r="P1144" s="54">
        <f>O1144*1.034</f>
        <v>223101.00727968794</v>
      </c>
      <c r="Q1144" s="54">
        <f>P1144*1.034</f>
        <v>230686.44152719734</v>
      </c>
      <c r="R1144" s="54">
        <f>Q1144*1.034</f>
        <v>238529.78053912206</v>
      </c>
    </row>
    <row r="1145" spans="1:18" x14ac:dyDescent="0.25">
      <c r="A1145" s="43" t="s">
        <v>737</v>
      </c>
      <c r="C1145" s="54">
        <v>21183</v>
      </c>
      <c r="D1145" s="50">
        <v>13937</v>
      </c>
      <c r="E1145" s="50">
        <v>11353</v>
      </c>
      <c r="F1145" s="50">
        <v>10294</v>
      </c>
      <c r="G1145" s="50">
        <v>10016</v>
      </c>
      <c r="H1145" s="50">
        <v>12000</v>
      </c>
      <c r="I1145" s="54">
        <v>12276</v>
      </c>
      <c r="J1145" s="54">
        <v>12571</v>
      </c>
      <c r="K1145" s="54">
        <v>12873</v>
      </c>
      <c r="L1145" s="54">
        <v>13169</v>
      </c>
      <c r="M1145" s="54">
        <v>13459</v>
      </c>
      <c r="N1145" s="54">
        <v>13769</v>
      </c>
      <c r="O1145" s="54">
        <v>14113</v>
      </c>
      <c r="P1145" s="54">
        <v>14466</v>
      </c>
      <c r="Q1145" s="54">
        <v>14813</v>
      </c>
      <c r="R1145" s="54">
        <v>14813</v>
      </c>
    </row>
    <row r="1146" spans="1:18" x14ac:dyDescent="0.25">
      <c r="A1146" s="43" t="s">
        <v>220</v>
      </c>
      <c r="C1146" s="50">
        <v>20520</v>
      </c>
      <c r="D1146">
        <v>24016</v>
      </c>
      <c r="E1146" s="54">
        <v>19282</v>
      </c>
      <c r="F1146" s="50">
        <v>35418</v>
      </c>
      <c r="G1146" s="50">
        <v>14477</v>
      </c>
      <c r="H1146" s="50">
        <v>22800</v>
      </c>
      <c r="I1146" s="50">
        <f>H1146*1.025</f>
        <v>23369.999999999996</v>
      </c>
      <c r="J1146" s="50">
        <f>I1146*1.029</f>
        <v>24047.729999999996</v>
      </c>
      <c r="K1146" s="54">
        <f>J1146*1.031</f>
        <v>24793.209629999994</v>
      </c>
      <c r="L1146" s="54">
        <f>K1146*1.033</f>
        <v>25611.385547789992</v>
      </c>
      <c r="M1146" s="54">
        <f>L1146*1.032</f>
        <v>26430.949885319274</v>
      </c>
      <c r="N1146" s="54">
        <f>M1146*1.03</f>
        <v>27223.878381878854</v>
      </c>
      <c r="O1146" s="54">
        <f>N1146*1.032</f>
        <v>28095.042490098978</v>
      </c>
      <c r="P1146" s="54">
        <f>O1146*1.034</f>
        <v>29050.273934762343</v>
      </c>
      <c r="Q1146" s="54">
        <f>P1146*1.034</f>
        <v>30037.983248544264</v>
      </c>
      <c r="R1146" s="54">
        <f>Q1146*1.034</f>
        <v>31059.274678994771</v>
      </c>
    </row>
    <row r="1147" spans="1:18" x14ac:dyDescent="0.25">
      <c r="A1147" s="43" t="s">
        <v>221</v>
      </c>
      <c r="C1147" s="169">
        <v>5691</v>
      </c>
      <c r="D1147" s="98">
        <v>5217</v>
      </c>
      <c r="E1147" s="98">
        <v>5109</v>
      </c>
      <c r="F1147" s="98">
        <v>5109</v>
      </c>
      <c r="G1147" s="98">
        <v>4857</v>
      </c>
      <c r="H1147" s="98">
        <v>10200</v>
      </c>
      <c r="I1147" s="98">
        <v>10200</v>
      </c>
      <c r="J1147" s="98">
        <v>10200</v>
      </c>
      <c r="K1147" s="180">
        <v>10600</v>
      </c>
      <c r="L1147" s="180">
        <v>10600</v>
      </c>
      <c r="M1147" s="180">
        <v>10600</v>
      </c>
      <c r="N1147" s="180">
        <v>11200</v>
      </c>
      <c r="O1147" s="180">
        <v>11200</v>
      </c>
      <c r="P1147" s="180">
        <v>11200</v>
      </c>
      <c r="Q1147" s="180">
        <v>12100</v>
      </c>
      <c r="R1147" s="180">
        <v>12100</v>
      </c>
    </row>
    <row r="1148" spans="1:18" x14ac:dyDescent="0.25">
      <c r="A1148" s="43" t="s">
        <v>738</v>
      </c>
      <c r="C1148" s="54">
        <f>1167+34451-20</f>
        <v>35598</v>
      </c>
      <c r="D1148" s="50">
        <v>30105</v>
      </c>
      <c r="E1148" s="43">
        <f>1102+1200+35437+36672</f>
        <v>74411</v>
      </c>
      <c r="F1148" s="54">
        <v>112471</v>
      </c>
      <c r="G1148" s="50">
        <v>59935</v>
      </c>
      <c r="H1148" s="50">
        <v>43100</v>
      </c>
      <c r="I1148" s="54">
        <f t="shared" ref="I1148:I1149" si="628">H1148*1.023</f>
        <v>44091.299999999996</v>
      </c>
      <c r="J1148" s="54">
        <f t="shared" ref="J1148:K1149" si="629">I1148*1.024</f>
        <v>45149.491199999997</v>
      </c>
      <c r="K1148" s="54">
        <f t="shared" si="629"/>
        <v>46233.0789888</v>
      </c>
      <c r="L1148" s="54">
        <f t="shared" ref="L1148:L1149" si="630">K1148*1.023</f>
        <v>47296.439805542395</v>
      </c>
      <c r="M1148" s="54">
        <f t="shared" ref="M1148:M1149" si="631">L1148*1.022</f>
        <v>48336.961481264327</v>
      </c>
      <c r="N1148" s="54">
        <f t="shared" ref="N1148:N1149" si="632">M1148*1.023</f>
        <v>49448.7115953334</v>
      </c>
      <c r="O1148" s="54">
        <f t="shared" ref="O1148:P1149" si="633">N1148*1.025</f>
        <v>50684.929385216732</v>
      </c>
      <c r="P1148" s="54">
        <f t="shared" si="633"/>
        <v>51952.052619847149</v>
      </c>
      <c r="Q1148" s="54">
        <f t="shared" ref="Q1148:R1149" si="634">P1148*1.024</f>
        <v>53198.901882723483</v>
      </c>
      <c r="R1148" s="54">
        <f t="shared" si="634"/>
        <v>54475.675527908847</v>
      </c>
    </row>
    <row r="1149" spans="1:18" x14ac:dyDescent="0.25">
      <c r="A1149" s="52" t="s">
        <v>739</v>
      </c>
      <c r="B1149" s="53"/>
      <c r="C1149" s="54">
        <v>356</v>
      </c>
      <c r="D1149" s="54">
        <v>399</v>
      </c>
      <c r="E1149" s="43">
        <v>0</v>
      </c>
      <c r="F1149" s="54">
        <v>0</v>
      </c>
      <c r="G1149" s="54">
        <v>0</v>
      </c>
      <c r="H1149" s="50">
        <v>500</v>
      </c>
      <c r="I1149" s="54">
        <f t="shared" si="628"/>
        <v>511.49999999999994</v>
      </c>
      <c r="J1149" s="54">
        <f t="shared" si="629"/>
        <v>523.77599999999995</v>
      </c>
      <c r="K1149" s="54">
        <f t="shared" si="629"/>
        <v>536.34662400000002</v>
      </c>
      <c r="L1149" s="54">
        <f t="shared" si="630"/>
        <v>548.68259635200002</v>
      </c>
      <c r="M1149" s="54">
        <f t="shared" si="631"/>
        <v>560.75361347174407</v>
      </c>
      <c r="N1149" s="54">
        <f t="shared" si="632"/>
        <v>573.6509465815941</v>
      </c>
      <c r="O1149" s="54">
        <f t="shared" si="633"/>
        <v>587.99222024613391</v>
      </c>
      <c r="P1149" s="54">
        <f t="shared" si="633"/>
        <v>602.69202575228724</v>
      </c>
      <c r="Q1149" s="54">
        <f t="shared" si="634"/>
        <v>617.15663437034209</v>
      </c>
      <c r="R1149" s="54">
        <f t="shared" si="634"/>
        <v>631.96839359523028</v>
      </c>
    </row>
    <row r="1150" spans="1:18" x14ac:dyDescent="0.25">
      <c r="A1150" s="52"/>
      <c r="B1150" s="53"/>
      <c r="C1150" s="50"/>
      <c r="D1150" s="50"/>
      <c r="E1150" s="50"/>
      <c r="F1150" s="50"/>
      <c r="G1150" s="50"/>
      <c r="H1150" s="50"/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</row>
    <row r="1151" spans="1:18" x14ac:dyDescent="0.25">
      <c r="A1151" s="41" t="s">
        <v>722</v>
      </c>
      <c r="B1151" s="44"/>
      <c r="C1151" s="51">
        <f t="shared" ref="C1151" si="635">SUM(C1144:C1150)</f>
        <v>242668</v>
      </c>
      <c r="D1151" s="51">
        <f t="shared" ref="D1151:R1151" si="636">SUM(D1144:D1150)</f>
        <v>238881</v>
      </c>
      <c r="E1151" s="51">
        <f t="shared" si="636"/>
        <v>257427</v>
      </c>
      <c r="F1151" s="51">
        <f t="shared" si="636"/>
        <v>302680</v>
      </c>
      <c r="G1151" s="51">
        <f t="shared" si="636"/>
        <v>228770</v>
      </c>
      <c r="H1151" s="51">
        <f t="shared" si="636"/>
        <v>263700</v>
      </c>
      <c r="I1151" s="51">
        <f t="shared" si="636"/>
        <v>269926.3</v>
      </c>
      <c r="J1151" s="51">
        <f t="shared" si="636"/>
        <v>277174.34469999996</v>
      </c>
      <c r="K1151" s="51">
        <f t="shared" si="636"/>
        <v>285443.13551529992</v>
      </c>
      <c r="L1151" s="51">
        <f t="shared" si="636"/>
        <v>293916.45573117683</v>
      </c>
      <c r="M1151" s="51">
        <f t="shared" si="636"/>
        <v>302372.72309055552</v>
      </c>
      <c r="N1151" s="51">
        <f t="shared" si="636"/>
        <v>311289.85077760904</v>
      </c>
      <c r="O1151" s="51">
        <f t="shared" si="636"/>
        <v>320445.96146469907</v>
      </c>
      <c r="P1151" s="51">
        <f t="shared" si="636"/>
        <v>330372.02586004965</v>
      </c>
      <c r="Q1151" s="51">
        <f t="shared" si="636"/>
        <v>341453.48329283542</v>
      </c>
      <c r="R1151" s="51">
        <f t="shared" si="636"/>
        <v>351609.69913962093</v>
      </c>
    </row>
    <row r="1152" spans="1:18" x14ac:dyDescent="0.25">
      <c r="A1152" s="41"/>
      <c r="B1152" s="44"/>
      <c r="C1152" s="50"/>
      <c r="D1152" s="50"/>
      <c r="E1152" s="50"/>
      <c r="F1152" s="50"/>
      <c r="G1152" s="50"/>
      <c r="H1152" s="50"/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</row>
    <row r="1153" spans="1:18" x14ac:dyDescent="0.25">
      <c r="A1153" s="41" t="s">
        <v>230</v>
      </c>
      <c r="B1153" s="44"/>
      <c r="C1153" s="51">
        <f t="shared" ref="C1153:R1153" si="637">C1141+C1151</f>
        <v>317999</v>
      </c>
      <c r="D1153" s="51">
        <f t="shared" si="637"/>
        <v>320646</v>
      </c>
      <c r="E1153" s="51">
        <f t="shared" si="637"/>
        <v>338439</v>
      </c>
      <c r="F1153" s="51">
        <f t="shared" si="637"/>
        <v>384385</v>
      </c>
      <c r="G1153" s="51">
        <f t="shared" si="637"/>
        <v>317355</v>
      </c>
      <c r="H1153" s="51">
        <f t="shared" si="637"/>
        <v>366960</v>
      </c>
      <c r="I1153" s="51">
        <f t="shared" si="637"/>
        <v>375712.5</v>
      </c>
      <c r="J1153" s="51">
        <f t="shared" si="637"/>
        <v>385719.00949999993</v>
      </c>
      <c r="K1153" s="51">
        <f t="shared" si="637"/>
        <v>396989.7121704999</v>
      </c>
      <c r="L1153" s="51">
        <f t="shared" si="637"/>
        <v>408637.49781644641</v>
      </c>
      <c r="M1153" s="51">
        <f t="shared" si="637"/>
        <v>420225.27942121204</v>
      </c>
      <c r="N1153" s="51">
        <f t="shared" si="637"/>
        <v>432205.50770028541</v>
      </c>
      <c r="O1153" s="51">
        <f t="shared" si="637"/>
        <v>444855.03664074955</v>
      </c>
      <c r="P1153" s="51">
        <f t="shared" si="637"/>
        <v>458502.24062977184</v>
      </c>
      <c r="Q1153" s="51">
        <f t="shared" si="637"/>
        <v>473365.61332431494</v>
      </c>
      <c r="R1153" s="51">
        <f t="shared" si="637"/>
        <v>487255.24510278768</v>
      </c>
    </row>
    <row r="1154" spans="1:18" x14ac:dyDescent="0.25">
      <c r="C1154" s="50"/>
      <c r="D1154" s="50"/>
      <c r="E1154" s="50"/>
      <c r="F1154" s="50"/>
      <c r="G1154" s="50"/>
      <c r="H1154" s="50"/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</row>
    <row r="1155" spans="1:18" x14ac:dyDescent="0.25">
      <c r="A1155" s="41" t="s">
        <v>740</v>
      </c>
      <c r="B1155" s="44"/>
      <c r="C1155" s="51">
        <f t="shared" ref="C1155" si="638">C1153-C1118</f>
        <v>252137</v>
      </c>
      <c r="D1155" s="51">
        <f>D1153-D1118</f>
        <v>253070</v>
      </c>
      <c r="E1155" s="51">
        <f t="shared" ref="E1155:R1155" si="639">E1153-E1118</f>
        <v>270032</v>
      </c>
      <c r="F1155" s="51">
        <f t="shared" si="639"/>
        <v>313684</v>
      </c>
      <c r="G1155" s="51">
        <f t="shared" si="639"/>
        <v>243479</v>
      </c>
      <c r="H1155" s="51">
        <f t="shared" si="639"/>
        <v>286460</v>
      </c>
      <c r="I1155" s="51">
        <f t="shared" si="639"/>
        <v>293361</v>
      </c>
      <c r="J1155" s="51">
        <f t="shared" si="639"/>
        <v>301391.07349999994</v>
      </c>
      <c r="K1155" s="51">
        <f t="shared" si="639"/>
        <v>310637.90570649988</v>
      </c>
      <c r="L1155" s="51">
        <f t="shared" si="639"/>
        <v>320299.59980377438</v>
      </c>
      <c r="M1155" s="51">
        <f t="shared" si="639"/>
        <v>329943.94765226124</v>
      </c>
      <c r="N1155" s="51">
        <f t="shared" si="639"/>
        <v>339847.70530064875</v>
      </c>
      <c r="O1155" s="51">
        <f t="shared" si="639"/>
        <v>350188.28918112197</v>
      </c>
      <c r="P1155" s="51">
        <f t="shared" si="639"/>
        <v>361468.82448365359</v>
      </c>
      <c r="Q1155" s="51">
        <f t="shared" si="639"/>
        <v>374003.39519068983</v>
      </c>
      <c r="R1155" s="51">
        <f t="shared" si="639"/>
        <v>385508.33373395563</v>
      </c>
    </row>
    <row r="1156" spans="1:18" x14ac:dyDescent="0.25">
      <c r="C1156" s="50"/>
      <c r="D1156" s="50"/>
      <c r="E1156" s="50"/>
      <c r="F1156" s="50"/>
      <c r="G1156" s="50"/>
      <c r="H1156" s="50"/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</row>
    <row r="1157" spans="1:18" x14ac:dyDescent="0.25">
      <c r="A1157" s="41" t="s">
        <v>741</v>
      </c>
      <c r="B1157" s="44"/>
      <c r="C1157" s="50"/>
      <c r="D1157" s="50"/>
      <c r="E1157" s="50"/>
      <c r="F1157" s="50"/>
      <c r="G1157" s="50"/>
      <c r="H1157" s="50"/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</row>
    <row r="1158" spans="1:18" x14ac:dyDescent="0.25">
      <c r="A1158" s="41"/>
      <c r="B1158" s="44"/>
      <c r="C1158" s="50"/>
      <c r="D1158" s="50"/>
      <c r="E1158" s="50"/>
      <c r="F1158" s="50"/>
      <c r="G1158" s="50"/>
      <c r="H1158" s="50"/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</row>
    <row r="1159" spans="1:18" x14ac:dyDescent="0.25">
      <c r="A1159" s="41" t="s">
        <v>202</v>
      </c>
      <c r="B1159" s="44"/>
      <c r="C1159" s="50"/>
      <c r="D1159" s="50"/>
      <c r="E1159" s="50"/>
      <c r="F1159" s="50"/>
      <c r="G1159" s="50"/>
      <c r="H1159" s="50"/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</row>
    <row r="1160" spans="1:18" x14ac:dyDescent="0.25">
      <c r="C1160" s="50"/>
      <c r="D1160" s="50"/>
      <c r="E1160" s="50"/>
      <c r="F1160" s="50"/>
      <c r="G1160" s="50"/>
      <c r="H1160" s="50"/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</row>
    <row r="1161" spans="1:18" x14ac:dyDescent="0.25">
      <c r="A1161" s="52" t="s">
        <v>742</v>
      </c>
      <c r="B1161" s="53"/>
      <c r="C1161" s="50"/>
      <c r="D1161" s="50"/>
      <c r="E1161" s="50"/>
      <c r="F1161" s="50"/>
      <c r="G1161" s="50"/>
      <c r="H1161" s="50"/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</row>
    <row r="1162" spans="1:18" x14ac:dyDescent="0.25">
      <c r="A1162" s="43" t="s">
        <v>743</v>
      </c>
      <c r="C1162" s="54">
        <f>2123778+11980-4193</f>
        <v>2131565</v>
      </c>
      <c r="D1162">
        <f>2299173+6619</f>
        <v>2305792</v>
      </c>
      <c r="E1162" s="43">
        <f>2418556+6938</f>
        <v>2425494</v>
      </c>
      <c r="F1162">
        <f>2486654+3695</f>
        <v>2490349</v>
      </c>
      <c r="G1162">
        <v>2564640</v>
      </c>
      <c r="H1162">
        <v>2733400</v>
      </c>
      <c r="I1162" s="54">
        <f t="shared" ref="I1162:I1168" si="640">H1162*1.023</f>
        <v>2796268.1999999997</v>
      </c>
      <c r="J1162" s="54">
        <f t="shared" ref="J1162:K1168" si="641">I1162*1.024</f>
        <v>2863378.6368</v>
      </c>
      <c r="K1162" s="54">
        <f t="shared" si="641"/>
        <v>2932099.7240832001</v>
      </c>
      <c r="L1162" s="54">
        <f t="shared" ref="L1162:L1168" si="642">K1162*1.023</f>
        <v>2999538.0177371134</v>
      </c>
      <c r="M1162" s="54">
        <f t="shared" ref="M1162:M1168" si="643">L1162*1.022</f>
        <v>3065527.8541273298</v>
      </c>
      <c r="N1162" s="54">
        <f t="shared" ref="N1162:N1168" si="644">M1162*1.023</f>
        <v>3136034.9947722582</v>
      </c>
      <c r="O1162" s="54">
        <f t="shared" ref="O1162:P1168" si="645">N1162*1.025</f>
        <v>3214435.8696415643</v>
      </c>
      <c r="P1162" s="54">
        <f t="shared" si="645"/>
        <v>3294796.766382603</v>
      </c>
      <c r="Q1162" s="50">
        <f t="shared" ref="Q1162:R1168" si="646">P1162*1.024</f>
        <v>3373871.8887757855</v>
      </c>
      <c r="R1162" s="50">
        <f t="shared" si="646"/>
        <v>3454844.8141064043</v>
      </c>
    </row>
    <row r="1163" spans="1:18" x14ac:dyDescent="0.25">
      <c r="A1163" s="43" t="s">
        <v>744</v>
      </c>
      <c r="C1163" s="54">
        <f>140488+5</f>
        <v>140493</v>
      </c>
      <c r="D1163">
        <f>148628+1503</f>
        <v>150131</v>
      </c>
      <c r="E1163" s="43">
        <f>161125-4805</f>
        <v>156320</v>
      </c>
      <c r="F1163">
        <f>156330+2449</f>
        <v>158779</v>
      </c>
      <c r="G1163">
        <v>165478</v>
      </c>
      <c r="H1163">
        <v>175600</v>
      </c>
      <c r="I1163" s="54">
        <f t="shared" si="640"/>
        <v>179638.8</v>
      </c>
      <c r="J1163" s="54">
        <f t="shared" si="641"/>
        <v>183950.1312</v>
      </c>
      <c r="K1163" s="54">
        <f t="shared" si="641"/>
        <v>188364.93434880002</v>
      </c>
      <c r="L1163" s="54">
        <f t="shared" si="642"/>
        <v>192697.32783882241</v>
      </c>
      <c r="M1163" s="54">
        <f t="shared" si="643"/>
        <v>196936.66905127652</v>
      </c>
      <c r="N1163" s="54">
        <f t="shared" si="644"/>
        <v>201466.21243945585</v>
      </c>
      <c r="O1163" s="54">
        <f t="shared" si="645"/>
        <v>206502.86775044224</v>
      </c>
      <c r="P1163" s="54">
        <f t="shared" si="645"/>
        <v>211665.43944420328</v>
      </c>
      <c r="Q1163" s="50">
        <f t="shared" si="646"/>
        <v>216745.40999086417</v>
      </c>
      <c r="R1163" s="50">
        <f t="shared" si="646"/>
        <v>221947.29983064492</v>
      </c>
    </row>
    <row r="1164" spans="1:18" x14ac:dyDescent="0.25">
      <c r="A1164" s="43" t="s">
        <v>745</v>
      </c>
      <c r="C1164" s="54">
        <f>853-34</f>
        <v>819</v>
      </c>
      <c r="D1164">
        <f>2221-12</f>
        <v>2209</v>
      </c>
      <c r="E1164" s="43">
        <f>2608-82</f>
        <v>2526</v>
      </c>
      <c r="F1164">
        <f>3770+96</f>
        <v>3866</v>
      </c>
      <c r="G1164">
        <v>3953</v>
      </c>
      <c r="H1164">
        <v>4300</v>
      </c>
      <c r="I1164" s="54">
        <f t="shared" si="640"/>
        <v>4398.8999999999996</v>
      </c>
      <c r="J1164" s="54">
        <f t="shared" si="641"/>
        <v>4504.4735999999994</v>
      </c>
      <c r="K1164" s="54">
        <f t="shared" si="641"/>
        <v>4612.5809663999999</v>
      </c>
      <c r="L1164" s="54">
        <f t="shared" si="642"/>
        <v>4718.6703286271995</v>
      </c>
      <c r="M1164" s="54">
        <f t="shared" si="643"/>
        <v>4822.4810758569984</v>
      </c>
      <c r="N1164" s="54">
        <f t="shared" si="644"/>
        <v>4933.3981406017092</v>
      </c>
      <c r="O1164" s="54">
        <f t="shared" si="645"/>
        <v>5056.7330941167511</v>
      </c>
      <c r="P1164" s="54">
        <f t="shared" si="645"/>
        <v>5183.151421469669</v>
      </c>
      <c r="Q1164" s="50">
        <f t="shared" si="646"/>
        <v>5307.5470555849415</v>
      </c>
      <c r="R1164" s="50">
        <f t="shared" si="646"/>
        <v>5434.9281849189802</v>
      </c>
    </row>
    <row r="1165" spans="1:18" x14ac:dyDescent="0.25">
      <c r="A1165" s="52" t="s">
        <v>746</v>
      </c>
      <c r="B1165" s="53"/>
      <c r="C1165" s="54">
        <v>5487</v>
      </c>
      <c r="D1165" s="54">
        <v>5272</v>
      </c>
      <c r="E1165" s="43">
        <v>6339</v>
      </c>
      <c r="F1165" s="43">
        <v>6159</v>
      </c>
      <c r="G1165" s="43">
        <v>5596</v>
      </c>
      <c r="H1165" s="43">
        <v>6100</v>
      </c>
      <c r="I1165" s="54">
        <f t="shared" si="640"/>
        <v>6240.2999999999993</v>
      </c>
      <c r="J1165" s="54">
        <f t="shared" si="641"/>
        <v>6390.0671999999995</v>
      </c>
      <c r="K1165" s="54">
        <f t="shared" si="641"/>
        <v>6543.4288127999998</v>
      </c>
      <c r="L1165" s="54">
        <f t="shared" si="642"/>
        <v>6693.9276754943994</v>
      </c>
      <c r="M1165" s="54">
        <f t="shared" si="643"/>
        <v>6841.1940843552766</v>
      </c>
      <c r="N1165" s="54">
        <f t="shared" si="644"/>
        <v>6998.5415482954477</v>
      </c>
      <c r="O1165" s="54">
        <f t="shared" si="645"/>
        <v>7173.5050870028335</v>
      </c>
      <c r="P1165" s="54">
        <f t="shared" si="645"/>
        <v>7352.8427141779039</v>
      </c>
      <c r="Q1165" s="50">
        <f t="shared" si="646"/>
        <v>7529.310939318174</v>
      </c>
      <c r="R1165" s="50">
        <f t="shared" si="646"/>
        <v>7710.0144018618103</v>
      </c>
    </row>
    <row r="1166" spans="1:18" x14ac:dyDescent="0.25">
      <c r="A1166" s="52" t="s">
        <v>747</v>
      </c>
      <c r="B1166" s="53"/>
      <c r="C1166" s="54">
        <v>-29332</v>
      </c>
      <c r="D1166" s="54">
        <v>-29869</v>
      </c>
      <c r="E1166" s="43">
        <v>-29408</v>
      </c>
      <c r="F1166" s="54">
        <v>-30214</v>
      </c>
      <c r="G1166" s="54">
        <v>-25633</v>
      </c>
      <c r="H1166" s="54">
        <v>-26100</v>
      </c>
      <c r="I1166" s="54">
        <f t="shared" si="640"/>
        <v>-26700.3</v>
      </c>
      <c r="J1166" s="54">
        <f t="shared" si="641"/>
        <v>-27341.107199999999</v>
      </c>
      <c r="K1166" s="54">
        <f t="shared" si="641"/>
        <v>-27997.2937728</v>
      </c>
      <c r="L1166" s="54">
        <f t="shared" si="642"/>
        <v>-28641.231529574397</v>
      </c>
      <c r="M1166" s="54">
        <f t="shared" si="643"/>
        <v>-29271.338623225034</v>
      </c>
      <c r="N1166" s="54">
        <f t="shared" si="644"/>
        <v>-29944.579411559207</v>
      </c>
      <c r="O1166" s="54">
        <f t="shared" si="645"/>
        <v>-30693.193896848185</v>
      </c>
      <c r="P1166" s="54">
        <f t="shared" si="645"/>
        <v>-31460.523744269387</v>
      </c>
      <c r="Q1166" s="50">
        <f t="shared" si="646"/>
        <v>-32215.576314131853</v>
      </c>
      <c r="R1166" s="50">
        <f t="shared" si="646"/>
        <v>-32988.750145671016</v>
      </c>
    </row>
    <row r="1167" spans="1:18" x14ac:dyDescent="0.25">
      <c r="A1167" s="52" t="s">
        <v>748</v>
      </c>
      <c r="B1167" s="53"/>
      <c r="C1167" s="54"/>
      <c r="D1167" s="54"/>
      <c r="F1167" s="50"/>
      <c r="G1167" s="54">
        <v>13699</v>
      </c>
      <c r="H1167" s="54">
        <v>14400</v>
      </c>
      <c r="I1167" s="54">
        <f t="shared" si="640"/>
        <v>14731.199999999999</v>
      </c>
      <c r="J1167" s="54">
        <f t="shared" si="641"/>
        <v>15084.748799999999</v>
      </c>
      <c r="K1167" s="54">
        <f t="shared" si="641"/>
        <v>15446.7827712</v>
      </c>
      <c r="L1167" s="54">
        <f t="shared" si="642"/>
        <v>15802.058774937599</v>
      </c>
      <c r="M1167" s="54">
        <f t="shared" si="643"/>
        <v>16149.704067986226</v>
      </c>
      <c r="N1167" s="54">
        <f t="shared" si="644"/>
        <v>16521.147261549908</v>
      </c>
      <c r="O1167" s="54">
        <f t="shared" si="645"/>
        <v>16934.175943088652</v>
      </c>
      <c r="P1167" s="54">
        <f t="shared" si="645"/>
        <v>17357.530341665868</v>
      </c>
      <c r="Q1167" s="50">
        <f t="shared" si="646"/>
        <v>17774.111069865849</v>
      </c>
      <c r="R1167" s="50">
        <f t="shared" si="646"/>
        <v>18200.68973554263</v>
      </c>
    </row>
    <row r="1168" spans="1:18" x14ac:dyDescent="0.25">
      <c r="A1168" s="43" t="s">
        <v>749</v>
      </c>
      <c r="C1168" s="54">
        <v>89903</v>
      </c>
      <c r="D1168" s="54">
        <v>75008</v>
      </c>
      <c r="E1168" s="43">
        <v>75008</v>
      </c>
      <c r="F1168" s="54">
        <v>74956</v>
      </c>
      <c r="G1168" s="54">
        <v>0</v>
      </c>
      <c r="H1168" s="54">
        <v>0</v>
      </c>
      <c r="I1168" s="54">
        <f t="shared" si="640"/>
        <v>0</v>
      </c>
      <c r="J1168" s="54">
        <f t="shared" si="641"/>
        <v>0</v>
      </c>
      <c r="K1168" s="54">
        <f t="shared" si="641"/>
        <v>0</v>
      </c>
      <c r="L1168" s="54">
        <f t="shared" si="642"/>
        <v>0</v>
      </c>
      <c r="M1168" s="54">
        <f t="shared" si="643"/>
        <v>0</v>
      </c>
      <c r="N1168" s="54">
        <f t="shared" si="644"/>
        <v>0</v>
      </c>
      <c r="O1168" s="54">
        <f t="shared" si="645"/>
        <v>0</v>
      </c>
      <c r="P1168" s="54">
        <f t="shared" si="645"/>
        <v>0</v>
      </c>
      <c r="Q1168" s="50">
        <f t="shared" si="646"/>
        <v>0</v>
      </c>
      <c r="R1168" s="50">
        <f t="shared" si="646"/>
        <v>0</v>
      </c>
    </row>
    <row r="1169" spans="1:18" x14ac:dyDescent="0.25">
      <c r="A1169" s="43" t="s">
        <v>750</v>
      </c>
      <c r="C1169" s="54"/>
      <c r="D1169" s="54"/>
      <c r="F1169" s="54"/>
      <c r="G1169" s="54">
        <v>59821</v>
      </c>
      <c r="H1169" s="67">
        <v>59800</v>
      </c>
      <c r="I1169" s="67">
        <v>59800</v>
      </c>
      <c r="J1169" s="50">
        <v>59800</v>
      </c>
      <c r="K1169" s="54"/>
      <c r="L1169" s="54"/>
      <c r="M1169" s="54"/>
      <c r="N1169" s="54"/>
      <c r="O1169" s="54"/>
      <c r="P1169" s="54"/>
      <c r="Q1169" s="50"/>
      <c r="R1169" s="50"/>
    </row>
    <row r="1170" spans="1:18" x14ac:dyDescent="0.25">
      <c r="A1170" s="43" t="s">
        <v>751</v>
      </c>
      <c r="C1170" s="54">
        <v>862</v>
      </c>
      <c r="D1170" s="50"/>
      <c r="E1170" s="43">
        <v>0</v>
      </c>
      <c r="F1170" s="50"/>
      <c r="G1170" s="50">
        <v>0</v>
      </c>
      <c r="H1170" s="50"/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</row>
    <row r="1171" spans="1:18" x14ac:dyDescent="0.25">
      <c r="A1171" s="52" t="s">
        <v>752</v>
      </c>
      <c r="C1171" s="54">
        <v>22500</v>
      </c>
      <c r="D1171" s="50">
        <v>2500</v>
      </c>
      <c r="E1171" s="43">
        <v>0</v>
      </c>
      <c r="F1171" s="50"/>
      <c r="G1171" s="50">
        <v>0</v>
      </c>
      <c r="H1171" s="50"/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</row>
    <row r="1172" spans="1:18" x14ac:dyDescent="0.25">
      <c r="A1172" s="43" t="s">
        <v>753</v>
      </c>
      <c r="C1172" s="54">
        <v>4079</v>
      </c>
      <c r="D1172" s="54">
        <v>5625</v>
      </c>
      <c r="E1172" s="43">
        <v>5838</v>
      </c>
      <c r="F1172" s="54">
        <v>5121</v>
      </c>
      <c r="G1172" s="54">
        <v>7847</v>
      </c>
      <c r="H1172" s="54">
        <v>7000</v>
      </c>
      <c r="I1172" s="54">
        <f t="shared" ref="I1172" si="647">H1172*1.023</f>
        <v>7160.9999999999991</v>
      </c>
      <c r="J1172" s="54">
        <f t="shared" ref="J1172:K1172" si="648">I1172*1.024</f>
        <v>7332.8639999999996</v>
      </c>
      <c r="K1172" s="54">
        <f t="shared" si="648"/>
        <v>7508.8527359999998</v>
      </c>
      <c r="L1172" s="54">
        <f t="shared" ref="L1172" si="649">K1172*1.023</f>
        <v>7681.5563489279994</v>
      </c>
      <c r="M1172" s="54">
        <f t="shared" ref="M1172" si="650">L1172*1.022</f>
        <v>7850.5505886044157</v>
      </c>
      <c r="N1172" s="54">
        <f t="shared" ref="N1172" si="651">M1172*1.023</f>
        <v>8031.1132521423169</v>
      </c>
      <c r="O1172" s="54">
        <f t="shared" ref="O1172:R1173" si="652">N1172*1.025</f>
        <v>8231.8910834458748</v>
      </c>
      <c r="P1172" s="54">
        <f t="shared" si="652"/>
        <v>8437.6883605320218</v>
      </c>
      <c r="Q1172" s="50">
        <f t="shared" ref="Q1172:R1172" si="653">P1172*1.024</f>
        <v>8640.1928811847902</v>
      </c>
      <c r="R1172" s="50">
        <f t="shared" si="653"/>
        <v>8847.5575103332249</v>
      </c>
    </row>
    <row r="1173" spans="1:18" x14ac:dyDescent="0.25">
      <c r="A1173" s="43" t="s">
        <v>754</v>
      </c>
      <c r="C1173" s="54">
        <v>356</v>
      </c>
      <c r="D1173" s="54">
        <v>0</v>
      </c>
      <c r="E1173" s="43">
        <v>0</v>
      </c>
      <c r="F1173" s="54">
        <v>0</v>
      </c>
      <c r="G1173" s="54">
        <v>0</v>
      </c>
      <c r="H1173" s="54">
        <v>0</v>
      </c>
      <c r="I1173" s="54">
        <f>H1173*1.02</f>
        <v>0</v>
      </c>
      <c r="J1173" s="54">
        <f t="shared" ref="J1173" si="654">I1173*1.021</f>
        <v>0</v>
      </c>
      <c r="K1173" s="54">
        <f t="shared" ref="K1173" si="655">J1173*1.023</f>
        <v>0</v>
      </c>
      <c r="L1173" s="54">
        <f t="shared" ref="L1173" si="656">K1173*1.024</f>
        <v>0</v>
      </c>
      <c r="M1173" s="54">
        <f t="shared" ref="M1173" si="657">L1173*1.023</f>
        <v>0</v>
      </c>
      <c r="N1173" s="54">
        <f t="shared" ref="N1173" si="658">M1173*1.021</f>
        <v>0</v>
      </c>
      <c r="O1173" s="54">
        <f t="shared" ref="O1173" si="659">N1173*1.022</f>
        <v>0</v>
      </c>
      <c r="P1173" s="54">
        <f t="shared" si="652"/>
        <v>0</v>
      </c>
      <c r="Q1173" s="50">
        <f t="shared" si="652"/>
        <v>0</v>
      </c>
      <c r="R1173" s="50">
        <f t="shared" si="652"/>
        <v>0</v>
      </c>
    </row>
    <row r="1174" spans="1:18" x14ac:dyDescent="0.25">
      <c r="A1174" s="52" t="s">
        <v>755</v>
      </c>
      <c r="B1174" s="53"/>
      <c r="C1174" s="59"/>
      <c r="D1174" s="50"/>
      <c r="E1174" s="43">
        <v>0</v>
      </c>
      <c r="F1174" s="50"/>
      <c r="G1174" s="50">
        <v>0</v>
      </c>
      <c r="H1174" s="50"/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</row>
    <row r="1175" spans="1:18" x14ac:dyDescent="0.25">
      <c r="A1175" s="43" t="s">
        <v>756</v>
      </c>
      <c r="C1175" s="54">
        <v>758</v>
      </c>
      <c r="D1175" s="54">
        <v>520</v>
      </c>
      <c r="E1175" s="43">
        <v>645</v>
      </c>
      <c r="F1175" s="54">
        <v>546</v>
      </c>
      <c r="G1175" s="54">
        <v>585</v>
      </c>
      <c r="H1175" s="54">
        <v>600</v>
      </c>
      <c r="I1175" s="54">
        <f t="shared" ref="I1175" si="660">H1175*1.023</f>
        <v>613.79999999999995</v>
      </c>
      <c r="J1175" s="54">
        <f t="shared" ref="J1175:K1175" si="661">I1175*1.024</f>
        <v>628.53120000000001</v>
      </c>
      <c r="K1175" s="54">
        <f t="shared" si="661"/>
        <v>643.61594880000007</v>
      </c>
      <c r="L1175" s="54">
        <f t="shared" ref="L1175" si="662">K1175*1.023</f>
        <v>658.4191156224</v>
      </c>
      <c r="M1175" s="54">
        <f t="shared" ref="M1175" si="663">L1175*1.022</f>
        <v>672.90433616609278</v>
      </c>
      <c r="N1175" s="54">
        <f t="shared" ref="N1175" si="664">M1175*1.023</f>
        <v>688.38113589791283</v>
      </c>
      <c r="O1175" s="54">
        <f t="shared" ref="O1175:P1175" si="665">N1175*1.025</f>
        <v>705.59066429536063</v>
      </c>
      <c r="P1175" s="54">
        <f t="shared" si="665"/>
        <v>723.23043090274462</v>
      </c>
      <c r="Q1175" s="50">
        <f t="shared" ref="Q1175:R1175" si="666">P1175*1.024</f>
        <v>740.58796124441051</v>
      </c>
      <c r="R1175" s="50">
        <f t="shared" si="666"/>
        <v>758.36207231427636</v>
      </c>
    </row>
    <row r="1176" spans="1:18" x14ac:dyDescent="0.25">
      <c r="C1176" s="50"/>
      <c r="D1176" s="50"/>
      <c r="E1176" s="50"/>
      <c r="F1176" s="50"/>
      <c r="G1176" s="50"/>
      <c r="H1176" s="50"/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</row>
    <row r="1177" spans="1:18" x14ac:dyDescent="0.25">
      <c r="A1177" s="41" t="s">
        <v>216</v>
      </c>
      <c r="B1177" s="44"/>
      <c r="C1177" s="51">
        <f t="shared" ref="C1177" si="667">SUM(C1162:C1176)</f>
        <v>2367490</v>
      </c>
      <c r="D1177" s="51">
        <f t="shared" ref="D1177:F1177" si="668">SUM(D1162:D1176)</f>
        <v>2517188</v>
      </c>
      <c r="E1177" s="51">
        <f t="shared" si="668"/>
        <v>2642762</v>
      </c>
      <c r="F1177" s="51">
        <f t="shared" si="668"/>
        <v>2709562</v>
      </c>
      <c r="G1177" s="51">
        <f>SUM(G1162:G1176)</f>
        <v>2795986</v>
      </c>
      <c r="H1177" s="51">
        <f>SUM(H1162:H1176)</f>
        <v>2975100</v>
      </c>
      <c r="I1177" s="51">
        <f t="shared" ref="I1177:R1177" si="669">SUM(I1162:I1176)</f>
        <v>3042151.8999999994</v>
      </c>
      <c r="J1177" s="51">
        <f t="shared" si="669"/>
        <v>3113728.3456000006</v>
      </c>
      <c r="K1177" s="51">
        <f t="shared" si="669"/>
        <v>3127222.6258944003</v>
      </c>
      <c r="L1177" s="51">
        <f t="shared" si="669"/>
        <v>3199148.7462899708</v>
      </c>
      <c r="M1177" s="51">
        <f t="shared" si="669"/>
        <v>3269530.0187083501</v>
      </c>
      <c r="N1177" s="51">
        <f t="shared" si="669"/>
        <v>3344729.2091386421</v>
      </c>
      <c r="O1177" s="51">
        <f t="shared" si="669"/>
        <v>3428347.4393671076</v>
      </c>
      <c r="P1177" s="51">
        <f t="shared" si="669"/>
        <v>3514056.1253512851</v>
      </c>
      <c r="Q1177" s="51">
        <f t="shared" si="669"/>
        <v>3598393.472359716</v>
      </c>
      <c r="R1177" s="51">
        <f t="shared" si="669"/>
        <v>3684754.915696349</v>
      </c>
    </row>
    <row r="1178" spans="1:18" x14ac:dyDescent="0.25">
      <c r="C1178" s="50"/>
      <c r="D1178" s="50"/>
      <c r="E1178" s="50"/>
      <c r="F1178" s="50"/>
      <c r="G1178" s="50"/>
      <c r="H1178" s="50"/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</row>
    <row r="1179" spans="1:18" x14ac:dyDescent="0.25">
      <c r="A1179" s="41" t="s">
        <v>165</v>
      </c>
      <c r="B1179" s="44"/>
      <c r="C1179" s="50"/>
      <c r="D1179" s="50"/>
      <c r="E1179" s="50"/>
      <c r="F1179" s="50"/>
      <c r="G1179" s="50"/>
      <c r="H1179" s="50"/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</row>
    <row r="1180" spans="1:18" x14ac:dyDescent="0.25">
      <c r="C1180" s="50"/>
      <c r="D1180" s="50"/>
      <c r="E1180" s="50"/>
      <c r="F1180" s="50"/>
      <c r="G1180" s="50"/>
      <c r="H1180" s="50"/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</row>
    <row r="1181" spans="1:18" x14ac:dyDescent="0.25">
      <c r="A1181" s="52" t="s">
        <v>757</v>
      </c>
      <c r="B1181" s="53"/>
      <c r="C1181" s="50"/>
      <c r="D1181" s="50"/>
      <c r="E1181" s="50"/>
      <c r="F1181" s="50"/>
      <c r="G1181" s="50"/>
      <c r="H1181" s="50"/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</row>
    <row r="1182" spans="1:18" x14ac:dyDescent="0.25">
      <c r="A1182" s="52" t="s">
        <v>758</v>
      </c>
      <c r="B1182" s="53"/>
      <c r="C1182" s="54">
        <v>813384</v>
      </c>
      <c r="D1182" s="50">
        <v>873807</v>
      </c>
      <c r="E1182" s="50">
        <v>986389</v>
      </c>
      <c r="F1182" s="50">
        <v>959132</v>
      </c>
      <c r="G1182" s="50">
        <v>993239</v>
      </c>
      <c r="H1182" s="50">
        <f>1020000+60000+24000</f>
        <v>1104000</v>
      </c>
      <c r="I1182" s="50">
        <f t="shared" ref="I1182:I1183" si="670">H1182*1.023</f>
        <v>1129392</v>
      </c>
      <c r="J1182" s="54">
        <f t="shared" ref="J1182:K1183" si="671">I1182*1.024</f>
        <v>1156497.4080000001</v>
      </c>
      <c r="K1182" s="54">
        <f t="shared" si="671"/>
        <v>1184253.3457920002</v>
      </c>
      <c r="L1182" s="54">
        <f t="shared" ref="L1182:L1183" si="672">K1182*1.023</f>
        <v>1211491.1727452162</v>
      </c>
      <c r="M1182" s="54">
        <f t="shared" ref="M1182:M1183" si="673">L1182*1.022</f>
        <v>1238143.978545611</v>
      </c>
      <c r="N1182" s="54">
        <f t="shared" ref="N1182:N1183" si="674">M1182*1.023</f>
        <v>1266621.2900521599</v>
      </c>
      <c r="O1182" s="54">
        <f t="shared" ref="O1182:P1183" si="675">N1182*1.025</f>
        <v>1298286.8223034637</v>
      </c>
      <c r="P1182" s="54">
        <f t="shared" si="675"/>
        <v>1330743.9928610502</v>
      </c>
      <c r="Q1182" s="50">
        <f t="shared" ref="Q1182:R1183" si="676">P1182*1.024</f>
        <v>1362681.8486897154</v>
      </c>
      <c r="R1182" s="50">
        <f t="shared" si="676"/>
        <v>1395386.2130582687</v>
      </c>
    </row>
    <row r="1183" spans="1:18" x14ac:dyDescent="0.25">
      <c r="A1183" s="52" t="s">
        <v>759</v>
      </c>
      <c r="B1183" s="53"/>
      <c r="C1183" s="54"/>
      <c r="D1183" s="50">
        <v>0</v>
      </c>
      <c r="E1183" s="50">
        <v>18161</v>
      </c>
      <c r="F1183" s="50">
        <v>5630</v>
      </c>
      <c r="G1183" s="50">
        <v>7739</v>
      </c>
      <c r="H1183" s="50">
        <v>10500</v>
      </c>
      <c r="I1183" s="50">
        <f t="shared" si="670"/>
        <v>10741.499999999998</v>
      </c>
      <c r="J1183" s="54">
        <f t="shared" si="671"/>
        <v>10999.295999999998</v>
      </c>
      <c r="K1183" s="54">
        <f t="shared" si="671"/>
        <v>11263.279103999999</v>
      </c>
      <c r="L1183" s="54">
        <f t="shared" si="672"/>
        <v>11522.334523391999</v>
      </c>
      <c r="M1183" s="54">
        <f t="shared" si="673"/>
        <v>11775.825882906624</v>
      </c>
      <c r="N1183" s="54">
        <f t="shared" si="674"/>
        <v>12046.669878213475</v>
      </c>
      <c r="O1183" s="54">
        <f t="shared" si="675"/>
        <v>12347.836625168811</v>
      </c>
      <c r="P1183" s="54">
        <f t="shared" si="675"/>
        <v>12656.532540798031</v>
      </c>
      <c r="Q1183" s="50">
        <f t="shared" si="676"/>
        <v>12960.289321777183</v>
      </c>
      <c r="R1183" s="50">
        <f t="shared" si="676"/>
        <v>13271.336265499836</v>
      </c>
    </row>
    <row r="1184" spans="1:18" x14ac:dyDescent="0.25">
      <c r="A1184" s="52" t="s">
        <v>760</v>
      </c>
      <c r="B1184" s="53"/>
      <c r="C1184" s="54"/>
      <c r="D1184" s="50"/>
      <c r="E1184" s="50"/>
      <c r="F1184" s="50"/>
      <c r="G1184" s="50"/>
      <c r="H1184" s="50"/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</row>
    <row r="1185" spans="1:18" x14ac:dyDescent="0.25">
      <c r="A1185" s="52" t="s">
        <v>761</v>
      </c>
      <c r="B1185" s="53"/>
      <c r="C1185" s="54">
        <v>839909</v>
      </c>
      <c r="D1185" s="50">
        <v>926606</v>
      </c>
      <c r="E1185" s="50">
        <v>937826</v>
      </c>
      <c r="F1185" s="50">
        <v>963314</v>
      </c>
      <c r="G1185" s="50">
        <v>1048055</v>
      </c>
      <c r="H1185" s="50">
        <v>1101000</v>
      </c>
      <c r="I1185" s="50">
        <f t="shared" ref="I1185" si="677">H1185*1.023</f>
        <v>1126323</v>
      </c>
      <c r="J1185" s="54">
        <f t="shared" ref="J1185:K1185" si="678">I1185*1.024</f>
        <v>1153354.7520000001</v>
      </c>
      <c r="K1185" s="54">
        <f t="shared" si="678"/>
        <v>1181035.2660480002</v>
      </c>
      <c r="L1185" s="54">
        <f t="shared" ref="L1185" si="679">K1185*1.023</f>
        <v>1208199.077167104</v>
      </c>
      <c r="M1185" s="54">
        <f t="shared" ref="M1185" si="680">L1185*1.022</f>
        <v>1234779.4568647803</v>
      </c>
      <c r="N1185" s="54">
        <f t="shared" ref="N1185" si="681">M1185*1.023</f>
        <v>1263179.3843726702</v>
      </c>
      <c r="O1185" s="54">
        <f t="shared" ref="O1185:P1185" si="682">N1185*1.025</f>
        <v>1294758.8689819868</v>
      </c>
      <c r="P1185" s="54">
        <f t="shared" si="682"/>
        <v>1327127.8407065363</v>
      </c>
      <c r="Q1185" s="50">
        <f t="shared" ref="Q1185:R1185" si="683">P1185*1.024</f>
        <v>1358978.9088834932</v>
      </c>
      <c r="R1185" s="50">
        <f t="shared" si="683"/>
        <v>1391594.402696697</v>
      </c>
    </row>
    <row r="1186" spans="1:18" x14ac:dyDescent="0.25">
      <c r="A1186" s="52" t="s">
        <v>762</v>
      </c>
      <c r="B1186" s="53"/>
      <c r="C1186" s="54">
        <v>6843</v>
      </c>
      <c r="D1186" s="50">
        <v>0</v>
      </c>
      <c r="E1186" s="50"/>
      <c r="F1186" s="50">
        <v>0</v>
      </c>
      <c r="G1186" s="50">
        <v>0</v>
      </c>
      <c r="H1186" s="50">
        <v>0</v>
      </c>
      <c r="I1186" s="50">
        <v>0</v>
      </c>
      <c r="J1186" s="50">
        <v>0</v>
      </c>
      <c r="K1186" s="50">
        <v>0</v>
      </c>
      <c r="L1186" s="50">
        <v>0</v>
      </c>
      <c r="M1186" s="50">
        <v>0</v>
      </c>
      <c r="N1186" s="50">
        <v>0</v>
      </c>
      <c r="O1186" s="50">
        <v>0</v>
      </c>
      <c r="P1186" s="50">
        <v>0</v>
      </c>
      <c r="Q1186" s="50">
        <v>0</v>
      </c>
      <c r="R1186" s="50">
        <v>0</v>
      </c>
    </row>
    <row r="1187" spans="1:18" x14ac:dyDescent="0.25">
      <c r="A1187" s="52" t="s">
        <v>763</v>
      </c>
      <c r="B1187" s="53"/>
      <c r="C1187" s="50">
        <v>0</v>
      </c>
      <c r="D1187" s="50">
        <v>0</v>
      </c>
      <c r="E1187" s="50">
        <v>0</v>
      </c>
      <c r="F1187" s="50">
        <v>0</v>
      </c>
      <c r="G1187" s="50">
        <v>0</v>
      </c>
      <c r="H1187" s="50">
        <v>0</v>
      </c>
      <c r="I1187" s="50">
        <v>0</v>
      </c>
      <c r="J1187" s="54">
        <v>0</v>
      </c>
      <c r="K1187" s="54">
        <v>0</v>
      </c>
      <c r="L1187" s="54">
        <v>0</v>
      </c>
      <c r="M1187" s="54">
        <v>0</v>
      </c>
      <c r="N1187" s="54">
        <v>0</v>
      </c>
      <c r="O1187" s="54">
        <v>0</v>
      </c>
      <c r="P1187" s="50">
        <v>0</v>
      </c>
      <c r="Q1187" s="50">
        <f t="shared" ref="Q1187:R1190" si="684">P1187*1.024</f>
        <v>0</v>
      </c>
      <c r="R1187" s="50">
        <f t="shared" si="684"/>
        <v>0</v>
      </c>
    </row>
    <row r="1188" spans="1:18" x14ac:dyDescent="0.25">
      <c r="A1188" s="52" t="s">
        <v>764</v>
      </c>
      <c r="B1188" s="53"/>
      <c r="C1188" s="50">
        <v>63942</v>
      </c>
      <c r="D1188" s="50">
        <v>57210</v>
      </c>
      <c r="E1188" s="50">
        <v>65143</v>
      </c>
      <c r="F1188" s="50">
        <v>66751</v>
      </c>
      <c r="G1188" s="50">
        <v>69851</v>
      </c>
      <c r="H1188" s="50">
        <v>72500</v>
      </c>
      <c r="I1188" s="50">
        <f t="shared" ref="I1188:I1190" si="685">H1188*1.023</f>
        <v>74167.5</v>
      </c>
      <c r="J1188" s="54">
        <f t="shared" ref="J1188:K1190" si="686">I1188*1.024</f>
        <v>75947.520000000004</v>
      </c>
      <c r="K1188" s="54">
        <f t="shared" si="686"/>
        <v>77770.260480000012</v>
      </c>
      <c r="L1188" s="54">
        <f t="shared" ref="L1188:L1190" si="687">K1188*1.023</f>
        <v>79558.976471040005</v>
      </c>
      <c r="M1188" s="54">
        <f t="shared" ref="M1188:M1190" si="688">L1188*1.022</f>
        <v>81309.273953402881</v>
      </c>
      <c r="N1188" s="54">
        <f t="shared" ref="N1188:N1190" si="689">M1188*1.023</f>
        <v>83179.387254331145</v>
      </c>
      <c r="O1188" s="54">
        <f t="shared" ref="O1188:P1190" si="690">N1188*1.025</f>
        <v>85258.871935689414</v>
      </c>
      <c r="P1188" s="54">
        <f t="shared" si="690"/>
        <v>87390.343734081645</v>
      </c>
      <c r="Q1188" s="50">
        <f t="shared" si="684"/>
        <v>89487.711983699613</v>
      </c>
      <c r="R1188" s="50">
        <f t="shared" si="684"/>
        <v>91635.417071308402</v>
      </c>
    </row>
    <row r="1189" spans="1:18" x14ac:dyDescent="0.25">
      <c r="A1189" s="52" t="s">
        <v>765</v>
      </c>
      <c r="B1189" s="53"/>
      <c r="C1189" s="54">
        <v>43131</v>
      </c>
      <c r="D1189" s="50">
        <f>13260+1537</f>
        <v>14797</v>
      </c>
      <c r="E1189" s="50">
        <v>41145</v>
      </c>
      <c r="F1189" s="50">
        <v>-10428</v>
      </c>
      <c r="G1189" s="50">
        <v>157</v>
      </c>
      <c r="H1189" s="50">
        <v>0</v>
      </c>
      <c r="I1189" s="50">
        <f t="shared" si="685"/>
        <v>0</v>
      </c>
      <c r="J1189" s="54">
        <f t="shared" si="686"/>
        <v>0</v>
      </c>
      <c r="K1189" s="54">
        <f t="shared" si="686"/>
        <v>0</v>
      </c>
      <c r="L1189" s="54">
        <f t="shared" si="687"/>
        <v>0</v>
      </c>
      <c r="M1189" s="54">
        <f t="shared" si="688"/>
        <v>0</v>
      </c>
      <c r="N1189" s="54">
        <f t="shared" si="689"/>
        <v>0</v>
      </c>
      <c r="O1189" s="54">
        <f t="shared" si="690"/>
        <v>0</v>
      </c>
      <c r="P1189" s="54">
        <f t="shared" si="690"/>
        <v>0</v>
      </c>
      <c r="Q1189" s="50">
        <f t="shared" si="684"/>
        <v>0</v>
      </c>
      <c r="R1189" s="50">
        <f t="shared" si="684"/>
        <v>0</v>
      </c>
    </row>
    <row r="1190" spans="1:18" x14ac:dyDescent="0.25">
      <c r="A1190" s="52" t="s">
        <v>766</v>
      </c>
      <c r="B1190" s="53"/>
      <c r="C1190" s="54"/>
      <c r="D1190" s="50"/>
      <c r="E1190" s="50"/>
      <c r="F1190" s="50"/>
      <c r="G1190" s="50">
        <v>22555</v>
      </c>
      <c r="H1190" s="50">
        <v>25000</v>
      </c>
      <c r="I1190" s="50">
        <f t="shared" si="685"/>
        <v>25574.999999999996</v>
      </c>
      <c r="J1190" s="54">
        <f t="shared" si="686"/>
        <v>26188.799999999996</v>
      </c>
      <c r="K1190" s="54">
        <f t="shared" si="686"/>
        <v>26817.331199999997</v>
      </c>
      <c r="L1190" s="54">
        <f t="shared" si="687"/>
        <v>27434.129817599995</v>
      </c>
      <c r="M1190" s="54">
        <f t="shared" si="688"/>
        <v>28037.680673587194</v>
      </c>
      <c r="N1190" s="54">
        <f t="shared" si="689"/>
        <v>28682.547329079698</v>
      </c>
      <c r="O1190" s="54">
        <f t="shared" si="690"/>
        <v>29399.611012306686</v>
      </c>
      <c r="P1190" s="54">
        <f t="shared" si="690"/>
        <v>30134.60128761435</v>
      </c>
      <c r="Q1190" s="50">
        <f t="shared" si="684"/>
        <v>30857.831718517096</v>
      </c>
      <c r="R1190" s="50">
        <f t="shared" si="684"/>
        <v>31598.419679761508</v>
      </c>
    </row>
    <row r="1191" spans="1:18" x14ac:dyDescent="0.25">
      <c r="A1191" s="52" t="s">
        <v>755</v>
      </c>
      <c r="B1191" s="53"/>
      <c r="C1191" s="50">
        <f>14103+36292</f>
        <v>50395</v>
      </c>
      <c r="D1191" s="50">
        <v>58900</v>
      </c>
      <c r="E1191" s="50">
        <v>72982</v>
      </c>
      <c r="F1191" s="50">
        <v>70413</v>
      </c>
      <c r="G1191" s="50">
        <v>137836</v>
      </c>
      <c r="H1191" s="50">
        <v>115300</v>
      </c>
      <c r="I1191" s="50">
        <v>118153.09999999998</v>
      </c>
      <c r="J1191" s="54">
        <v>121504.34939999998</v>
      </c>
      <c r="K1191" s="54">
        <v>125163.19113059997</v>
      </c>
      <c r="L1191" s="54">
        <v>129135.89053045375</v>
      </c>
      <c r="M1191" s="54">
        <v>133106.92634410079</v>
      </c>
      <c r="N1191" s="54">
        <v>136984.73104077129</v>
      </c>
      <c r="O1191" s="54">
        <v>141250.1850692695</v>
      </c>
      <c r="P1191" s="50">
        <v>145897.10862014754</v>
      </c>
      <c r="Q1191" s="50">
        <v>150680.41885766137</v>
      </c>
      <c r="R1191" s="50">
        <v>155622.10904831698</v>
      </c>
    </row>
    <row r="1192" spans="1:18" x14ac:dyDescent="0.25">
      <c r="A1192" s="43" t="s">
        <v>767</v>
      </c>
      <c r="C1192" s="50">
        <v>0</v>
      </c>
      <c r="D1192" s="50">
        <v>0</v>
      </c>
      <c r="E1192" s="50">
        <v>0</v>
      </c>
      <c r="F1192" s="50">
        <v>0</v>
      </c>
      <c r="G1192" s="50">
        <v>0</v>
      </c>
      <c r="H1192" s="50">
        <v>4500</v>
      </c>
      <c r="I1192" s="50">
        <f>H1192*1.025</f>
        <v>4612.5</v>
      </c>
      <c r="J1192" s="50">
        <f>I1192*1.029</f>
        <v>4746.2624999999998</v>
      </c>
      <c r="K1192" s="54">
        <f>J1192*1.031</f>
        <v>4893.3966374999991</v>
      </c>
      <c r="L1192" s="54">
        <f>K1192*1.033</f>
        <v>5054.8787265374986</v>
      </c>
      <c r="M1192" s="54">
        <f>L1192*1.032</f>
        <v>5216.6348457866989</v>
      </c>
      <c r="N1192" s="54">
        <f>M1192*1.03</f>
        <v>5373.1338911602998</v>
      </c>
      <c r="O1192" s="54">
        <f>N1192*1.032</f>
        <v>5545.0741756774296</v>
      </c>
      <c r="P1192" s="54">
        <f>O1192*1.034</f>
        <v>5733.6066976504626</v>
      </c>
      <c r="Q1192" s="50">
        <f>P1192*1.034</f>
        <v>5928.5493253705781</v>
      </c>
      <c r="R1192" s="50">
        <f>Q1192*1.034</f>
        <v>6130.1200024331783</v>
      </c>
    </row>
    <row r="1193" spans="1:18" x14ac:dyDescent="0.25">
      <c r="A1193" s="43" t="s">
        <v>768</v>
      </c>
      <c r="C1193" s="54">
        <v>34900</v>
      </c>
      <c r="D1193" s="50">
        <v>52631</v>
      </c>
      <c r="E1193" s="50">
        <v>67120</v>
      </c>
      <c r="F1193" s="50">
        <v>50443</v>
      </c>
      <c r="G1193" s="50">
        <v>29245</v>
      </c>
      <c r="H1193" s="50">
        <v>30000</v>
      </c>
      <c r="I1193" s="50">
        <f t="shared" ref="I1193:I1197" si="691">H1193*1.023</f>
        <v>30689.999999999996</v>
      </c>
      <c r="J1193" s="54">
        <f t="shared" ref="J1193:K1197" si="692">I1193*1.024</f>
        <v>31426.559999999998</v>
      </c>
      <c r="K1193" s="54">
        <f t="shared" si="692"/>
        <v>32180.797439999998</v>
      </c>
      <c r="L1193" s="54">
        <f t="shared" ref="L1193:L1197" si="693">K1193*1.023</f>
        <v>32920.955781119992</v>
      </c>
      <c r="M1193" s="54">
        <f t="shared" ref="M1193:M1197" si="694">L1193*1.022</f>
        <v>33645.216808304634</v>
      </c>
      <c r="N1193" s="54">
        <f t="shared" ref="N1193:N1197" si="695">M1193*1.023</f>
        <v>34419.056794895638</v>
      </c>
      <c r="O1193" s="54">
        <f t="shared" ref="O1193:P1197" si="696">N1193*1.025</f>
        <v>35279.533214768024</v>
      </c>
      <c r="P1193" s="54">
        <f t="shared" si="696"/>
        <v>36161.521545137221</v>
      </c>
      <c r="Q1193" s="50">
        <f t="shared" ref="Q1193:R1197" si="697">P1193*1.024</f>
        <v>37029.398062220513</v>
      </c>
      <c r="R1193" s="50">
        <f t="shared" si="697"/>
        <v>37918.103615713808</v>
      </c>
    </row>
    <row r="1194" spans="1:18" x14ac:dyDescent="0.25">
      <c r="A1194" s="52" t="s">
        <v>769</v>
      </c>
      <c r="B1194" s="53"/>
      <c r="C1194" s="54">
        <v>142728</v>
      </c>
      <c r="D1194" s="50">
        <v>126985</v>
      </c>
      <c r="E1194" s="50">
        <v>68745</v>
      </c>
      <c r="F1194" s="50">
        <v>19265</v>
      </c>
      <c r="G1194" s="50">
        <v>10782</v>
      </c>
      <c r="H1194" s="50">
        <v>10000</v>
      </c>
      <c r="I1194" s="50">
        <f t="shared" si="691"/>
        <v>10230</v>
      </c>
      <c r="J1194" s="54">
        <f t="shared" si="692"/>
        <v>10475.52</v>
      </c>
      <c r="K1194" s="54">
        <f t="shared" si="692"/>
        <v>10726.932480000001</v>
      </c>
      <c r="L1194" s="54">
        <f t="shared" si="693"/>
        <v>10973.65192704</v>
      </c>
      <c r="M1194" s="54">
        <f t="shared" si="694"/>
        <v>11215.072269434881</v>
      </c>
      <c r="N1194" s="54">
        <f t="shared" si="695"/>
        <v>11473.018931631881</v>
      </c>
      <c r="O1194" s="54">
        <f t="shared" si="696"/>
        <v>11759.844404922676</v>
      </c>
      <c r="P1194" s="54">
        <f t="shared" si="696"/>
        <v>12053.840515045742</v>
      </c>
      <c r="Q1194" s="50">
        <f t="shared" si="697"/>
        <v>12343.13268740684</v>
      </c>
      <c r="R1194" s="50">
        <f t="shared" si="697"/>
        <v>12639.367871904604</v>
      </c>
    </row>
    <row r="1195" spans="1:18" x14ac:dyDescent="0.25">
      <c r="A1195" s="52" t="s">
        <v>36</v>
      </c>
      <c r="B1195" s="53"/>
      <c r="C1195" s="54">
        <v>6763</v>
      </c>
      <c r="D1195" s="50">
        <v>5543</v>
      </c>
      <c r="E1195" s="50">
        <v>8224</v>
      </c>
      <c r="F1195" s="50">
        <v>7284</v>
      </c>
      <c r="G1195" s="50">
        <v>9259</v>
      </c>
      <c r="H1195" s="50">
        <v>10000</v>
      </c>
      <c r="I1195" s="50">
        <f t="shared" si="691"/>
        <v>10230</v>
      </c>
      <c r="J1195" s="54">
        <f t="shared" si="692"/>
        <v>10475.52</v>
      </c>
      <c r="K1195" s="54">
        <f t="shared" si="692"/>
        <v>10726.932480000001</v>
      </c>
      <c r="L1195" s="54">
        <f t="shared" si="693"/>
        <v>10973.65192704</v>
      </c>
      <c r="M1195" s="54">
        <f t="shared" si="694"/>
        <v>11215.072269434881</v>
      </c>
      <c r="N1195" s="54">
        <f t="shared" si="695"/>
        <v>11473.018931631881</v>
      </c>
      <c r="O1195" s="54">
        <f t="shared" si="696"/>
        <v>11759.844404922676</v>
      </c>
      <c r="P1195" s="54">
        <f t="shared" si="696"/>
        <v>12053.840515045742</v>
      </c>
      <c r="Q1195" s="50">
        <f t="shared" si="697"/>
        <v>12343.13268740684</v>
      </c>
      <c r="R1195" s="50">
        <f t="shared" si="697"/>
        <v>12639.367871904604</v>
      </c>
    </row>
    <row r="1196" spans="1:18" x14ac:dyDescent="0.25">
      <c r="A1196" s="52" t="s">
        <v>770</v>
      </c>
      <c r="B1196" s="53"/>
      <c r="C1196" s="54">
        <v>154252</v>
      </c>
      <c r="D1196" s="50">
        <v>160267</v>
      </c>
      <c r="E1196" s="50">
        <v>163488</v>
      </c>
      <c r="F1196" s="50">
        <v>164544</v>
      </c>
      <c r="G1196" s="50">
        <v>165531</v>
      </c>
      <c r="H1196" s="50">
        <v>176000</v>
      </c>
      <c r="I1196" s="50">
        <f t="shared" si="691"/>
        <v>180047.99999999997</v>
      </c>
      <c r="J1196" s="54">
        <f t="shared" si="692"/>
        <v>184369.15199999997</v>
      </c>
      <c r="K1196" s="54">
        <f t="shared" si="692"/>
        <v>188794.01164799999</v>
      </c>
      <c r="L1196" s="54">
        <f t="shared" si="693"/>
        <v>193136.27391590396</v>
      </c>
      <c r="M1196" s="54">
        <f t="shared" si="694"/>
        <v>197385.27194205386</v>
      </c>
      <c r="N1196" s="54">
        <f t="shared" si="695"/>
        <v>201925.13319672109</v>
      </c>
      <c r="O1196" s="54">
        <f t="shared" si="696"/>
        <v>206973.26152663911</v>
      </c>
      <c r="P1196" s="54">
        <f t="shared" si="696"/>
        <v>212147.59306480506</v>
      </c>
      <c r="Q1196" s="50">
        <f t="shared" si="697"/>
        <v>217239.13529836037</v>
      </c>
      <c r="R1196" s="50">
        <f t="shared" si="697"/>
        <v>222452.87454552102</v>
      </c>
    </row>
    <row r="1197" spans="1:18" x14ac:dyDescent="0.25">
      <c r="A1197" s="52" t="s">
        <v>771</v>
      </c>
      <c r="B1197" s="53"/>
      <c r="C1197" s="54"/>
      <c r="D1197" s="50">
        <v>4596</v>
      </c>
      <c r="E1197" s="50">
        <v>21035</v>
      </c>
      <c r="F1197" s="50">
        <v>20566</v>
      </c>
      <c r="G1197" s="50">
        <v>21640</v>
      </c>
      <c r="H1197" s="50">
        <v>23000</v>
      </c>
      <c r="I1197" s="50">
        <f t="shared" si="691"/>
        <v>23528.999999999996</v>
      </c>
      <c r="J1197" s="54">
        <f t="shared" si="692"/>
        <v>24093.695999999996</v>
      </c>
      <c r="K1197" s="54">
        <f t="shared" si="692"/>
        <v>24671.944703999998</v>
      </c>
      <c r="L1197" s="54">
        <f t="shared" si="693"/>
        <v>25239.399432191996</v>
      </c>
      <c r="M1197" s="54">
        <f t="shared" si="694"/>
        <v>25794.666219700222</v>
      </c>
      <c r="N1197" s="54">
        <f t="shared" si="695"/>
        <v>26387.943542753324</v>
      </c>
      <c r="O1197" s="54">
        <f t="shared" si="696"/>
        <v>27047.642131322154</v>
      </c>
      <c r="P1197" s="54">
        <f t="shared" si="696"/>
        <v>27723.833184605206</v>
      </c>
      <c r="Q1197" s="50">
        <f t="shared" si="697"/>
        <v>28389.20518103573</v>
      </c>
      <c r="R1197" s="50">
        <f t="shared" si="697"/>
        <v>29070.546105380588</v>
      </c>
    </row>
    <row r="1198" spans="1:18" x14ac:dyDescent="0.25">
      <c r="A1198" s="52" t="s">
        <v>756</v>
      </c>
      <c r="B1198" s="53"/>
      <c r="C1198" s="54">
        <v>55</v>
      </c>
      <c r="D1198" s="50">
        <v>0</v>
      </c>
      <c r="E1198" s="50">
        <v>0</v>
      </c>
      <c r="F1198" s="50">
        <v>0</v>
      </c>
      <c r="G1198" s="50">
        <v>0</v>
      </c>
      <c r="H1198" s="50"/>
      <c r="I1198" s="54"/>
      <c r="J1198" s="54"/>
      <c r="K1198" s="54"/>
      <c r="L1198" s="54"/>
      <c r="M1198" s="54"/>
      <c r="N1198" s="54"/>
      <c r="O1198" s="54"/>
      <c r="P1198" s="54"/>
      <c r="Q1198" s="50"/>
      <c r="R1198" s="50"/>
    </row>
    <row r="1199" spans="1:18" x14ac:dyDescent="0.25">
      <c r="A1199" s="52" t="s">
        <v>772</v>
      </c>
      <c r="B1199" s="53"/>
      <c r="C1199" s="50"/>
      <c r="D1199" s="50"/>
      <c r="E1199" s="50"/>
      <c r="F1199" s="50"/>
      <c r="G1199" s="50">
        <v>0</v>
      </c>
      <c r="H1199" s="50"/>
      <c r="I1199" s="50"/>
      <c r="J1199" s="50"/>
      <c r="K1199" s="50"/>
      <c r="L1199" s="50"/>
      <c r="M1199" s="50"/>
      <c r="N1199" s="50"/>
      <c r="O1199" s="50"/>
      <c r="P1199" s="50"/>
      <c r="Q1199" s="50"/>
      <c r="R1199" s="50"/>
    </row>
    <row r="1200" spans="1:18" x14ac:dyDescent="0.25">
      <c r="A1200" s="52" t="s">
        <v>773</v>
      </c>
      <c r="B1200" s="53"/>
      <c r="C1200" s="52">
        <v>0</v>
      </c>
      <c r="D1200" s="50">
        <v>0</v>
      </c>
      <c r="E1200" s="50">
        <v>0</v>
      </c>
      <c r="F1200" s="50">
        <v>0</v>
      </c>
      <c r="G1200" s="50">
        <v>0</v>
      </c>
      <c r="H1200" s="50"/>
      <c r="I1200" s="50">
        <f t="shared" ref="I1200:I1202" si="698">H1200*1.025</f>
        <v>0</v>
      </c>
      <c r="J1200" s="50">
        <f t="shared" ref="J1200:J1202" si="699">I1200*1.029</f>
        <v>0</v>
      </c>
      <c r="K1200" s="54">
        <f t="shared" ref="K1200:K1202" si="700">J1200*1.031</f>
        <v>0</v>
      </c>
      <c r="L1200" s="54">
        <f t="shared" ref="L1200:L1202" si="701">K1200*1.033</f>
        <v>0</v>
      </c>
      <c r="M1200" s="54">
        <f t="shared" ref="M1200:M1202" si="702">L1200*1.032</f>
        <v>0</v>
      </c>
      <c r="N1200" s="54">
        <f t="shared" ref="N1200:N1202" si="703">M1200*1.03</f>
        <v>0</v>
      </c>
      <c r="O1200" s="54">
        <f t="shared" ref="O1200:O1202" si="704">N1200*1.032</f>
        <v>0</v>
      </c>
      <c r="P1200" s="54">
        <f t="shared" ref="P1200:R1206" si="705">O1200*1.034</f>
        <v>0</v>
      </c>
      <c r="Q1200" s="54">
        <f t="shared" si="705"/>
        <v>0</v>
      </c>
      <c r="R1200" s="54">
        <f t="shared" si="705"/>
        <v>0</v>
      </c>
    </row>
    <row r="1201" spans="1:18" x14ac:dyDescent="0.25">
      <c r="A1201" s="52" t="s">
        <v>774</v>
      </c>
      <c r="B1201" s="53"/>
      <c r="C1201" s="54">
        <v>35082</v>
      </c>
      <c r="D1201" s="50">
        <v>73599</v>
      </c>
      <c r="E1201" s="50">
        <v>21014</v>
      </c>
      <c r="F1201" s="50"/>
      <c r="G1201" s="50">
        <v>76876</v>
      </c>
      <c r="H1201" s="50">
        <v>73200</v>
      </c>
      <c r="I1201" s="50">
        <f t="shared" si="698"/>
        <v>75030</v>
      </c>
      <c r="J1201" s="50">
        <f t="shared" si="699"/>
        <v>77205.87</v>
      </c>
      <c r="K1201" s="54">
        <f t="shared" si="700"/>
        <v>79599.251969999983</v>
      </c>
      <c r="L1201" s="54">
        <f t="shared" si="701"/>
        <v>82226.027285009972</v>
      </c>
      <c r="M1201" s="54">
        <f t="shared" si="702"/>
        <v>84857.260158130288</v>
      </c>
      <c r="N1201" s="54">
        <f t="shared" si="703"/>
        <v>87402.977962874196</v>
      </c>
      <c r="O1201" s="54">
        <f t="shared" si="704"/>
        <v>90199.873257686166</v>
      </c>
      <c r="P1201" s="54">
        <f t="shared" si="705"/>
        <v>93266.668948447492</v>
      </c>
      <c r="Q1201" s="50">
        <f t="shared" si="705"/>
        <v>96437.73569269471</v>
      </c>
      <c r="R1201" s="50">
        <f t="shared" si="705"/>
        <v>99716.618706246329</v>
      </c>
    </row>
    <row r="1202" spans="1:18" x14ac:dyDescent="0.25">
      <c r="A1202" s="52" t="s">
        <v>775</v>
      </c>
      <c r="B1202" s="53"/>
      <c r="C1202" s="50">
        <v>-1775</v>
      </c>
      <c r="D1202" s="50">
        <v>8265</v>
      </c>
      <c r="E1202" s="50">
        <v>60</v>
      </c>
      <c r="F1202" s="50"/>
      <c r="G1202" s="50">
        <v>15167</v>
      </c>
      <c r="H1202" s="50">
        <v>7500</v>
      </c>
      <c r="I1202" s="50">
        <f t="shared" si="698"/>
        <v>7687.4999999999991</v>
      </c>
      <c r="J1202" s="50">
        <f t="shared" si="699"/>
        <v>7910.4374999999982</v>
      </c>
      <c r="K1202" s="54">
        <f t="shared" si="700"/>
        <v>8155.6610624999976</v>
      </c>
      <c r="L1202" s="54">
        <f t="shared" si="701"/>
        <v>8424.7978775624961</v>
      </c>
      <c r="M1202" s="54">
        <f t="shared" si="702"/>
        <v>8694.3914096444969</v>
      </c>
      <c r="N1202" s="54">
        <f t="shared" si="703"/>
        <v>8955.2231519338329</v>
      </c>
      <c r="O1202" s="54">
        <f t="shared" si="704"/>
        <v>9241.7902927957166</v>
      </c>
      <c r="P1202" s="54">
        <f t="shared" si="705"/>
        <v>9556.0111627507704</v>
      </c>
      <c r="Q1202" s="50">
        <f t="shared" si="705"/>
        <v>9880.9155422842978</v>
      </c>
      <c r="R1202" s="50">
        <f t="shared" si="705"/>
        <v>10216.866670721964</v>
      </c>
    </row>
    <row r="1203" spans="1:18" x14ac:dyDescent="0.25">
      <c r="A1203" s="43" t="s">
        <v>221</v>
      </c>
      <c r="B1203" s="53"/>
      <c r="C1203" s="50"/>
      <c r="D1203" s="50"/>
      <c r="E1203" s="50"/>
      <c r="F1203" s="50"/>
      <c r="G1203" s="50">
        <v>0</v>
      </c>
      <c r="H1203" s="58">
        <v>310</v>
      </c>
      <c r="I1203" s="58">
        <v>4210</v>
      </c>
      <c r="J1203" s="58">
        <v>4210</v>
      </c>
      <c r="K1203" s="169">
        <v>4210</v>
      </c>
      <c r="L1203" s="169">
        <v>4250</v>
      </c>
      <c r="M1203" s="169">
        <v>5950</v>
      </c>
      <c r="N1203" s="169">
        <v>5950</v>
      </c>
      <c r="O1203" s="169">
        <v>5950</v>
      </c>
      <c r="P1203" s="169">
        <v>5950</v>
      </c>
      <c r="Q1203" s="58">
        <v>5090</v>
      </c>
      <c r="R1203" s="58">
        <v>5090</v>
      </c>
    </row>
    <row r="1204" spans="1:18" x14ac:dyDescent="0.25">
      <c r="A1204" s="43" t="s">
        <v>219</v>
      </c>
      <c r="B1204" s="53"/>
      <c r="C1204" s="50"/>
      <c r="D1204" s="50"/>
      <c r="E1204" s="50"/>
      <c r="F1204" s="50"/>
      <c r="G1204" s="50">
        <v>0</v>
      </c>
      <c r="H1204" s="67">
        <v>5000</v>
      </c>
      <c r="I1204" s="50">
        <f t="shared" ref="I1204" si="706">H1204*1.023</f>
        <v>5115</v>
      </c>
      <c r="J1204" s="54">
        <f t="shared" ref="J1204:K1204" si="707">I1204*1.024</f>
        <v>5237.76</v>
      </c>
      <c r="K1204" s="54">
        <f t="shared" si="707"/>
        <v>5363.4662400000007</v>
      </c>
      <c r="L1204" s="54">
        <f t="shared" ref="L1204" si="708">K1204*1.023</f>
        <v>5486.8259635200002</v>
      </c>
      <c r="M1204" s="54">
        <f t="shared" ref="M1204" si="709">L1204*1.022</f>
        <v>5607.5361347174403</v>
      </c>
      <c r="N1204" s="54">
        <f t="shared" ref="N1204" si="710">M1204*1.023</f>
        <v>5736.5094658159405</v>
      </c>
      <c r="O1204" s="54">
        <f t="shared" ref="O1204:P1204" si="711">N1204*1.025</f>
        <v>5879.9222024613382</v>
      </c>
      <c r="P1204" s="54">
        <f t="shared" si="711"/>
        <v>6026.920257522871</v>
      </c>
      <c r="Q1204" s="50">
        <f t="shared" ref="Q1204:R1204" si="712">P1204*1.024</f>
        <v>6171.56634370342</v>
      </c>
      <c r="R1204" s="50">
        <f t="shared" si="712"/>
        <v>6319.6839359523019</v>
      </c>
    </row>
    <row r="1205" spans="1:18" x14ac:dyDescent="0.25">
      <c r="A1205" s="109" t="s">
        <v>776</v>
      </c>
      <c r="B1205" s="53"/>
      <c r="C1205" s="50"/>
      <c r="D1205" s="50"/>
      <c r="E1205" s="50"/>
      <c r="F1205" s="50"/>
      <c r="G1205" s="50"/>
      <c r="H1205" s="50">
        <v>30300</v>
      </c>
      <c r="I1205" s="50">
        <f t="shared" ref="I1205:I1206" si="713">H1205*1.025</f>
        <v>31057.499999999996</v>
      </c>
      <c r="J1205" s="50">
        <f t="shared" ref="J1205:J1206" si="714">I1205*1.029</f>
        <v>31958.167499999992</v>
      </c>
      <c r="K1205" s="54">
        <f t="shared" ref="K1205:K1206" si="715">J1205*1.031</f>
        <v>32948.870692499986</v>
      </c>
      <c r="L1205" s="54">
        <f t="shared" ref="L1205:L1206" si="716">K1205*1.033</f>
        <v>34036.183425352479</v>
      </c>
      <c r="M1205" s="54">
        <f t="shared" ref="M1205:M1206" si="717">L1205*1.032</f>
        <v>35125.341294963757</v>
      </c>
      <c r="N1205" s="54">
        <f t="shared" ref="N1205:N1206" si="718">M1205*1.03</f>
        <v>36179.101533812667</v>
      </c>
      <c r="O1205" s="54">
        <f t="shared" ref="O1205:O1206" si="719">N1205*1.032</f>
        <v>37336.832782894671</v>
      </c>
      <c r="P1205" s="54">
        <f t="shared" si="705"/>
        <v>38606.285097513093</v>
      </c>
      <c r="Q1205" s="50">
        <f t="shared" si="705"/>
        <v>39918.898790828542</v>
      </c>
      <c r="R1205" s="50">
        <f t="shared" si="705"/>
        <v>41276.141349716716</v>
      </c>
    </row>
    <row r="1206" spans="1:18" x14ac:dyDescent="0.25">
      <c r="A1206" s="52" t="s">
        <v>775</v>
      </c>
      <c r="B1206" s="53"/>
      <c r="C1206" s="50"/>
      <c r="D1206" s="50"/>
      <c r="E1206" s="50"/>
      <c r="F1206" s="50"/>
      <c r="G1206" s="50"/>
      <c r="H1206" s="50">
        <v>2900</v>
      </c>
      <c r="I1206" s="50">
        <f t="shared" si="713"/>
        <v>2972.4999999999995</v>
      </c>
      <c r="J1206" s="50">
        <f t="shared" si="714"/>
        <v>3058.7024999999994</v>
      </c>
      <c r="K1206" s="54">
        <f t="shared" si="715"/>
        <v>3153.5222774999993</v>
      </c>
      <c r="L1206" s="54">
        <f t="shared" si="716"/>
        <v>3257.588512657499</v>
      </c>
      <c r="M1206" s="54">
        <f t="shared" si="717"/>
        <v>3361.8313450625392</v>
      </c>
      <c r="N1206" s="54">
        <f t="shared" si="718"/>
        <v>3462.6862854144156</v>
      </c>
      <c r="O1206" s="54">
        <f t="shared" si="719"/>
        <v>3573.492246547677</v>
      </c>
      <c r="P1206" s="54">
        <f t="shared" si="705"/>
        <v>3694.9909829302983</v>
      </c>
      <c r="Q1206" s="50">
        <f t="shared" si="705"/>
        <v>3820.6206763499285</v>
      </c>
      <c r="R1206" s="50">
        <f t="shared" si="705"/>
        <v>3950.5217793458264</v>
      </c>
    </row>
    <row r="1207" spans="1:18" x14ac:dyDescent="0.25">
      <c r="A1207" s="52" t="s">
        <v>749</v>
      </c>
      <c r="B1207" s="53"/>
      <c r="C1207" s="54">
        <v>55138</v>
      </c>
      <c r="D1207" s="52">
        <f>67569+3726</f>
        <v>71295</v>
      </c>
      <c r="E1207" s="50">
        <v>74453</v>
      </c>
      <c r="F1207" s="50">
        <f>74911+177</f>
        <v>75088</v>
      </c>
      <c r="G1207" s="50"/>
      <c r="H1207" s="50"/>
      <c r="I1207" s="50"/>
      <c r="J1207" s="50"/>
      <c r="K1207" s="50"/>
      <c r="L1207" s="50"/>
      <c r="M1207" s="50"/>
      <c r="N1207" s="50"/>
      <c r="O1207" s="50"/>
      <c r="P1207" s="50"/>
      <c r="Q1207" s="50"/>
      <c r="R1207" s="50"/>
    </row>
    <row r="1208" spans="1:18" x14ac:dyDescent="0.25">
      <c r="A1208" s="52" t="s">
        <v>775</v>
      </c>
      <c r="B1208" s="53"/>
      <c r="C1208" s="54"/>
      <c r="D1208" s="50"/>
      <c r="E1208" s="50">
        <v>7228</v>
      </c>
      <c r="F1208" s="50">
        <v>6870</v>
      </c>
      <c r="G1208" s="50">
        <v>-19441</v>
      </c>
      <c r="H1208" s="50"/>
      <c r="I1208" s="54"/>
      <c r="J1208" s="54"/>
      <c r="K1208" s="54"/>
      <c r="L1208" s="54"/>
      <c r="M1208" s="54"/>
      <c r="N1208" s="54"/>
      <c r="O1208" s="54"/>
      <c r="P1208" s="54"/>
      <c r="Q1208" s="50"/>
      <c r="R1208" s="50"/>
    </row>
    <row r="1209" spans="1:18" x14ac:dyDescent="0.25">
      <c r="A1209" s="52" t="s">
        <v>777</v>
      </c>
      <c r="B1209" s="53"/>
      <c r="C1209" s="54"/>
      <c r="D1209" s="50"/>
      <c r="E1209" s="50"/>
      <c r="F1209" s="50"/>
      <c r="G1209" s="50">
        <v>12510</v>
      </c>
      <c r="H1209" s="50">
        <v>59800</v>
      </c>
      <c r="I1209" s="50">
        <v>59800</v>
      </c>
      <c r="J1209" s="50">
        <v>59800</v>
      </c>
      <c r="K1209" s="50"/>
      <c r="L1209" s="50"/>
      <c r="M1209" s="50"/>
      <c r="N1209" s="50"/>
      <c r="O1209" s="50"/>
      <c r="P1209" s="50"/>
      <c r="Q1209" s="50"/>
      <c r="R1209" s="50"/>
    </row>
    <row r="1210" spans="1:18" x14ac:dyDescent="0.25">
      <c r="A1210" s="52" t="s">
        <v>778</v>
      </c>
      <c r="B1210" s="53"/>
      <c r="C1210" s="54">
        <f>11614+2752+4643+6296</f>
        <v>25305</v>
      </c>
      <c r="D1210" s="50">
        <v>7559</v>
      </c>
      <c r="E1210" s="50">
        <v>7830</v>
      </c>
      <c r="F1210" s="50">
        <v>9915</v>
      </c>
      <c r="G1210" s="50">
        <v>6122</v>
      </c>
      <c r="H1210" s="50">
        <v>30000</v>
      </c>
      <c r="I1210" s="50">
        <f t="shared" ref="I1210" si="720">H1210*1.023</f>
        <v>30689.999999999996</v>
      </c>
      <c r="J1210" s="50">
        <f t="shared" ref="J1210:K1210" si="721">I1210*1.024</f>
        <v>31426.559999999998</v>
      </c>
      <c r="K1210" s="50">
        <f t="shared" si="721"/>
        <v>32180.797439999998</v>
      </c>
      <c r="L1210" s="50">
        <f t="shared" ref="L1210" si="722">K1210*1.023</f>
        <v>32920.955781119992</v>
      </c>
      <c r="M1210" s="50">
        <f t="shared" ref="M1210" si="723">L1210*1.022</f>
        <v>33645.216808304634</v>
      </c>
      <c r="N1210" s="50">
        <f t="shared" ref="N1210" si="724">M1210*1.023</f>
        <v>34419.056794895638</v>
      </c>
      <c r="O1210" s="50">
        <f t="shared" ref="O1210:P1210" si="725">N1210*1.025</f>
        <v>35279.533214768024</v>
      </c>
      <c r="P1210" s="50">
        <f t="shared" si="725"/>
        <v>36161.521545137221</v>
      </c>
      <c r="Q1210" s="50">
        <f t="shared" ref="Q1210:R1210" si="726">P1210*1.024</f>
        <v>37029.398062220513</v>
      </c>
      <c r="R1210" s="50">
        <f t="shared" si="726"/>
        <v>37918.103615713808</v>
      </c>
    </row>
    <row r="1211" spans="1:18" s="43" customFormat="1" x14ac:dyDescent="0.25">
      <c r="A1211" s="52" t="s">
        <v>779</v>
      </c>
      <c r="B1211" s="53"/>
      <c r="C1211" s="50">
        <v>0</v>
      </c>
      <c r="D1211" s="50">
        <v>0</v>
      </c>
      <c r="E1211" s="50">
        <f>D1211*1.025</f>
        <v>0</v>
      </c>
      <c r="F1211" s="50">
        <v>30000</v>
      </c>
      <c r="G1211" s="50">
        <v>0</v>
      </c>
      <c r="H1211" s="50">
        <v>0</v>
      </c>
      <c r="I1211" s="50">
        <v>0</v>
      </c>
      <c r="J1211" s="50">
        <v>0</v>
      </c>
      <c r="K1211" s="50">
        <v>0</v>
      </c>
      <c r="L1211" s="50">
        <v>0</v>
      </c>
      <c r="M1211" s="50">
        <v>0</v>
      </c>
      <c r="N1211" s="50">
        <v>0</v>
      </c>
      <c r="O1211" s="50">
        <v>0</v>
      </c>
      <c r="P1211" s="50">
        <v>0</v>
      </c>
      <c r="Q1211" s="50">
        <f t="shared" ref="Q1211:R1211" si="727">P1211*1.025</f>
        <v>0</v>
      </c>
      <c r="R1211" s="50">
        <f t="shared" si="727"/>
        <v>0</v>
      </c>
    </row>
    <row r="1212" spans="1:18" s="43" customFormat="1" x14ac:dyDescent="0.25">
      <c r="A1212" s="52" t="s">
        <v>780</v>
      </c>
      <c r="B1212" s="53"/>
      <c r="C1212" s="50"/>
      <c r="D1212" s="50"/>
      <c r="E1212" s="50"/>
      <c r="F1212" s="50">
        <v>26633</v>
      </c>
      <c r="G1212" s="50"/>
      <c r="H1212" s="50"/>
      <c r="I1212" s="50"/>
      <c r="J1212" s="50"/>
      <c r="K1212" s="50"/>
      <c r="L1212" s="50"/>
      <c r="M1212" s="50"/>
      <c r="N1212" s="50"/>
      <c r="O1212" s="50"/>
      <c r="P1212" s="50"/>
      <c r="Q1212" s="50"/>
      <c r="R1212" s="50"/>
    </row>
    <row r="1213" spans="1:18" s="43" customFormat="1" x14ac:dyDescent="0.25">
      <c r="A1213" s="43" t="s">
        <v>751</v>
      </c>
      <c r="B1213" s="53"/>
      <c r="C1213" s="54">
        <v>7944</v>
      </c>
      <c r="D1213" s="50"/>
      <c r="E1213" s="50"/>
      <c r="F1213" s="50"/>
      <c r="G1213" s="50"/>
      <c r="H1213" s="50"/>
      <c r="I1213" s="50"/>
      <c r="J1213" s="50"/>
      <c r="K1213" s="50"/>
      <c r="L1213" s="50"/>
      <c r="M1213" s="50"/>
      <c r="N1213" s="50"/>
      <c r="O1213" s="50"/>
      <c r="P1213" s="50"/>
      <c r="Q1213" s="50"/>
      <c r="R1213" s="50"/>
    </row>
    <row r="1214" spans="1:18" s="43" customFormat="1" x14ac:dyDescent="0.25">
      <c r="A1214" s="52" t="s">
        <v>752</v>
      </c>
      <c r="B1214" s="53"/>
      <c r="C1214" s="54">
        <f>3.43+95</f>
        <v>98.43</v>
      </c>
      <c r="D1214" s="50">
        <v>20477</v>
      </c>
      <c r="E1214" s="50">
        <v>343</v>
      </c>
      <c r="F1214" s="50">
        <v>3407</v>
      </c>
      <c r="G1214" s="50"/>
      <c r="H1214" s="50"/>
      <c r="I1214" s="50"/>
      <c r="J1214" s="50"/>
      <c r="K1214" s="50"/>
      <c r="L1214" s="50"/>
      <c r="M1214" s="50"/>
      <c r="N1214" s="50"/>
      <c r="O1214" s="50"/>
      <c r="P1214" s="50"/>
      <c r="Q1214" s="50"/>
      <c r="R1214" s="50"/>
    </row>
    <row r="1215" spans="1:18" s="43" customFormat="1" x14ac:dyDescent="0.25">
      <c r="A1215" s="43" t="s">
        <v>781</v>
      </c>
      <c r="B1215" s="53"/>
      <c r="C1215" s="54">
        <v>6494</v>
      </c>
      <c r="D1215" s="43">
        <v>7389</v>
      </c>
      <c r="E1215" s="43">
        <v>10579</v>
      </c>
      <c r="F1215" s="43">
        <v>9026</v>
      </c>
      <c r="G1215" s="43">
        <v>0</v>
      </c>
      <c r="H1215" s="43">
        <v>0</v>
      </c>
      <c r="I1215" s="54">
        <f t="shared" ref="I1215" si="728">H1215*1.023</f>
        <v>0</v>
      </c>
      <c r="J1215" s="54">
        <f t="shared" ref="J1215:K1215" si="729">I1215*1.024</f>
        <v>0</v>
      </c>
      <c r="K1215" s="54">
        <f t="shared" si="729"/>
        <v>0</v>
      </c>
      <c r="L1215" s="54">
        <f t="shared" ref="L1215" si="730">K1215*1.023</f>
        <v>0</v>
      </c>
      <c r="M1215" s="54">
        <f t="shared" ref="M1215" si="731">L1215*1.022</f>
        <v>0</v>
      </c>
      <c r="N1215" s="54">
        <f t="shared" ref="N1215" si="732">M1215*1.023</f>
        <v>0</v>
      </c>
      <c r="O1215" s="54">
        <f t="shared" ref="O1215:P1215" si="733">N1215*1.025</f>
        <v>0</v>
      </c>
      <c r="P1215" s="54">
        <f t="shared" si="733"/>
        <v>0</v>
      </c>
      <c r="Q1215" s="54">
        <f t="shared" ref="Q1215:R1215" si="734">P1215*1.024</f>
        <v>0</v>
      </c>
      <c r="R1215" s="54">
        <f t="shared" si="734"/>
        <v>0</v>
      </c>
    </row>
    <row r="1216" spans="1:18" s="43" customFormat="1" x14ac:dyDescent="0.25">
      <c r="A1216" s="43" t="s">
        <v>782</v>
      </c>
      <c r="B1216" s="53"/>
      <c r="C1216" s="54">
        <v>1080</v>
      </c>
      <c r="D1216" s="54">
        <v>0</v>
      </c>
      <c r="E1216" s="54">
        <v>0</v>
      </c>
      <c r="F1216" s="50">
        <v>195</v>
      </c>
      <c r="G1216" s="50">
        <v>0</v>
      </c>
      <c r="H1216" s="50">
        <v>5000</v>
      </c>
      <c r="I1216" s="54">
        <v>5119</v>
      </c>
      <c r="J1216" s="54">
        <v>5252.1059999999998</v>
      </c>
      <c r="K1216" s="54">
        <v>5392.922693999999</v>
      </c>
      <c r="L1216" s="54">
        <v>5538.7083454619988</v>
      </c>
      <c r="M1216" s="54">
        <v>5683.0260567356627</v>
      </c>
      <c r="N1216" s="54">
        <v>5829.9651866719187</v>
      </c>
      <c r="O1216" s="54">
        <v>5992.4307328889936</v>
      </c>
      <c r="P1216" s="54">
        <v>6164.4217979139275</v>
      </c>
      <c r="Q1216" s="54">
        <v>6337.8506174978647</v>
      </c>
      <c r="R1216" s="54">
        <v>6516.3081404305713</v>
      </c>
    </row>
    <row r="1217" spans="1:18" s="43" customFormat="1" x14ac:dyDescent="0.25">
      <c r="A1217" s="43" t="s">
        <v>783</v>
      </c>
      <c r="B1217" s="53"/>
      <c r="C1217" s="52">
        <v>0</v>
      </c>
      <c r="D1217" s="54">
        <v>0</v>
      </c>
      <c r="E1217" s="54">
        <v>0</v>
      </c>
      <c r="F1217" s="50">
        <v>0</v>
      </c>
      <c r="G1217" s="50">
        <v>0</v>
      </c>
      <c r="H1217" s="50">
        <v>0</v>
      </c>
      <c r="I1217" s="54">
        <f t="shared" ref="I1217" si="735">H1217*1.023</f>
        <v>0</v>
      </c>
      <c r="J1217" s="54">
        <f t="shared" ref="J1217:K1217" si="736">I1217*1.024</f>
        <v>0</v>
      </c>
      <c r="K1217" s="54">
        <f t="shared" si="736"/>
        <v>0</v>
      </c>
      <c r="L1217" s="54">
        <f t="shared" ref="L1217" si="737">K1217*1.023</f>
        <v>0</v>
      </c>
      <c r="M1217" s="54">
        <f t="shared" ref="M1217" si="738">L1217*1.022</f>
        <v>0</v>
      </c>
      <c r="N1217" s="54">
        <f t="shared" ref="N1217" si="739">M1217*1.023</f>
        <v>0</v>
      </c>
      <c r="O1217" s="54">
        <f t="shared" ref="O1217:P1217" si="740">N1217*1.025</f>
        <v>0</v>
      </c>
      <c r="P1217" s="54">
        <f t="shared" si="740"/>
        <v>0</v>
      </c>
      <c r="Q1217" s="54">
        <f t="shared" ref="Q1217:R1217" si="741">P1217*1.024</f>
        <v>0</v>
      </c>
      <c r="R1217" s="54">
        <f t="shared" si="741"/>
        <v>0</v>
      </c>
    </row>
    <row r="1218" spans="1:18" s="43" customFormat="1" x14ac:dyDescent="0.25">
      <c r="A1218" s="59" t="s">
        <v>784</v>
      </c>
      <c r="B1218" s="53"/>
      <c r="C1218" s="50"/>
      <c r="D1218" s="50"/>
      <c r="E1218" s="50">
        <v>8395</v>
      </c>
      <c r="F1218" s="50">
        <v>8395</v>
      </c>
      <c r="G1218" s="50">
        <v>8395</v>
      </c>
      <c r="H1218" s="58">
        <v>8395</v>
      </c>
      <c r="I1218" s="58">
        <v>8395</v>
      </c>
      <c r="J1218" s="58">
        <v>8395</v>
      </c>
      <c r="K1218" s="58">
        <v>8395</v>
      </c>
      <c r="L1218" s="58">
        <v>8395</v>
      </c>
      <c r="M1218" s="58">
        <v>8395</v>
      </c>
      <c r="N1218" s="58">
        <v>8395</v>
      </c>
      <c r="O1218" s="58">
        <v>8395</v>
      </c>
      <c r="P1218" s="58">
        <v>8395</v>
      </c>
      <c r="Q1218" s="58">
        <v>8395</v>
      </c>
      <c r="R1218" s="58">
        <v>8395</v>
      </c>
    </row>
    <row r="1219" spans="1:18" s="43" customFormat="1" x14ac:dyDescent="0.25">
      <c r="A1219" s="52" t="s">
        <v>785</v>
      </c>
      <c r="B1219" s="53"/>
      <c r="C1219" s="50"/>
      <c r="D1219" s="50"/>
      <c r="E1219" s="50"/>
      <c r="F1219" s="50">
        <v>4970</v>
      </c>
      <c r="G1219" s="50">
        <v>9497</v>
      </c>
      <c r="H1219" s="58">
        <v>4970</v>
      </c>
      <c r="I1219" s="58">
        <v>4970</v>
      </c>
      <c r="J1219" s="58">
        <v>4970</v>
      </c>
      <c r="K1219" s="58">
        <v>4970</v>
      </c>
      <c r="L1219" s="58">
        <v>4970</v>
      </c>
      <c r="M1219" s="58">
        <v>4970</v>
      </c>
      <c r="N1219" s="58">
        <v>4970</v>
      </c>
      <c r="O1219" s="58">
        <v>4970</v>
      </c>
      <c r="P1219" s="58">
        <v>4970</v>
      </c>
      <c r="Q1219" s="58">
        <v>4970</v>
      </c>
      <c r="R1219" s="58">
        <v>4970</v>
      </c>
    </row>
    <row r="1220" spans="1:18" x14ac:dyDescent="0.25">
      <c r="C1220" s="51"/>
      <c r="D1220" s="51"/>
      <c r="E1220" s="51"/>
      <c r="F1220" s="51"/>
      <c r="G1220" s="51"/>
      <c r="H1220" s="51"/>
      <c r="I1220" s="51"/>
      <c r="J1220" s="51"/>
      <c r="K1220" s="51"/>
      <c r="L1220" s="51"/>
      <c r="M1220" s="51"/>
      <c r="N1220" s="51"/>
      <c r="O1220" s="51"/>
      <c r="P1220" s="51"/>
      <c r="Q1220" s="51"/>
      <c r="R1220" s="51"/>
    </row>
    <row r="1221" spans="1:18" x14ac:dyDescent="0.25">
      <c r="A1221" s="41" t="s">
        <v>230</v>
      </c>
      <c r="B1221" s="44"/>
      <c r="C1221" s="51">
        <f t="shared" ref="C1221:Q1221" si="742">SUM(C1181:C1220)</f>
        <v>2285668.4300000002</v>
      </c>
      <c r="D1221" s="51">
        <f t="shared" si="742"/>
        <v>2469926</v>
      </c>
      <c r="E1221" s="51">
        <f t="shared" si="742"/>
        <v>2580160</v>
      </c>
      <c r="F1221" s="51">
        <f t="shared" si="742"/>
        <v>2491413</v>
      </c>
      <c r="G1221" s="51">
        <f>SUM(G1181:G1220)</f>
        <v>2625015</v>
      </c>
      <c r="H1221" s="51">
        <f t="shared" si="742"/>
        <v>2909175</v>
      </c>
      <c r="I1221" s="51">
        <f t="shared" si="742"/>
        <v>2978738.1</v>
      </c>
      <c r="J1221" s="51">
        <f t="shared" si="742"/>
        <v>3049503.4394000005</v>
      </c>
      <c r="K1221" s="51">
        <f t="shared" si="742"/>
        <v>3062666.1815205999</v>
      </c>
      <c r="L1221" s="51">
        <f t="shared" si="742"/>
        <v>3135146.4801553236</v>
      </c>
      <c r="M1221" s="51">
        <f t="shared" si="742"/>
        <v>3207914.6798266633</v>
      </c>
      <c r="N1221" s="51">
        <f t="shared" si="742"/>
        <v>3283045.8355974383</v>
      </c>
      <c r="O1221" s="51">
        <f t="shared" si="742"/>
        <v>3366486.2705161795</v>
      </c>
      <c r="P1221" s="51">
        <f t="shared" si="742"/>
        <v>3452616.4750647335</v>
      </c>
      <c r="Q1221" s="51">
        <f t="shared" si="742"/>
        <v>3536971.548422243</v>
      </c>
      <c r="R1221" s="51">
        <f t="shared" ref="R1221" si="743">SUM(R1181:R1220)</f>
        <v>3624327.5220308383</v>
      </c>
    </row>
    <row r="1222" spans="1:18" x14ac:dyDescent="0.25">
      <c r="A1222" s="41"/>
      <c r="B1222" s="44"/>
      <c r="C1222" s="51"/>
      <c r="D1222" s="51"/>
      <c r="E1222" s="51"/>
      <c r="F1222" s="51"/>
      <c r="G1222" s="51"/>
      <c r="H1222" s="51"/>
      <c r="I1222" s="51"/>
      <c r="J1222" s="51"/>
      <c r="K1222" s="51"/>
      <c r="L1222" s="51"/>
      <c r="M1222" s="51"/>
      <c r="N1222" s="51"/>
      <c r="O1222" s="51"/>
      <c r="P1222" s="51"/>
      <c r="Q1222" s="51"/>
      <c r="R1222" s="51"/>
    </row>
    <row r="1223" spans="1:18" x14ac:dyDescent="0.25">
      <c r="A1223" s="41" t="s">
        <v>171</v>
      </c>
      <c r="B1223" s="44"/>
      <c r="C1223" s="51"/>
      <c r="D1223" s="51"/>
      <c r="E1223" s="51"/>
      <c r="F1223" s="51"/>
      <c r="G1223" s="51"/>
      <c r="H1223" s="51"/>
      <c r="I1223" s="51"/>
      <c r="J1223" s="51"/>
      <c r="K1223" s="51"/>
      <c r="L1223" s="51"/>
      <c r="M1223" s="51"/>
      <c r="N1223" s="51"/>
      <c r="O1223" s="51"/>
      <c r="P1223" s="51"/>
      <c r="Q1223" s="51"/>
      <c r="R1223" s="51"/>
    </row>
    <row r="1224" spans="1:18" x14ac:dyDescent="0.25">
      <c r="A1224" s="41"/>
      <c r="B1224" s="44"/>
      <c r="C1224" s="51"/>
      <c r="D1224" s="51"/>
      <c r="E1224" s="51"/>
      <c r="F1224" s="51"/>
      <c r="G1224" s="51"/>
      <c r="H1224" s="51"/>
      <c r="I1224" s="51"/>
      <c r="J1224" s="51"/>
      <c r="K1224" s="51"/>
      <c r="L1224" s="51"/>
      <c r="M1224" s="51"/>
      <c r="N1224" s="51"/>
      <c r="O1224" s="51"/>
      <c r="P1224" s="51"/>
      <c r="Q1224" s="51"/>
      <c r="R1224" s="51"/>
    </row>
    <row r="1225" spans="1:18" x14ac:dyDescent="0.25">
      <c r="A1225" s="52" t="s">
        <v>786</v>
      </c>
      <c r="B1225" s="44"/>
      <c r="C1225" s="51"/>
      <c r="D1225" s="51"/>
      <c r="E1225" s="51"/>
      <c r="F1225" s="51"/>
      <c r="G1225" s="51"/>
      <c r="H1225" s="51"/>
      <c r="I1225" s="51"/>
      <c r="J1225" s="51"/>
      <c r="K1225" s="51"/>
      <c r="L1225" s="51"/>
      <c r="M1225" s="51"/>
      <c r="N1225" s="51"/>
      <c r="O1225" s="51"/>
      <c r="P1225" s="51"/>
      <c r="Q1225" s="51"/>
      <c r="R1225" s="51"/>
    </row>
    <row r="1226" spans="1:18" x14ac:dyDescent="0.25">
      <c r="A1226" s="52" t="s">
        <v>787</v>
      </c>
      <c r="B1226" s="44"/>
      <c r="C1226" s="51"/>
      <c r="D1226" s="67">
        <v>50361</v>
      </c>
      <c r="E1226" s="51"/>
      <c r="F1226" s="51"/>
      <c r="G1226" s="51"/>
      <c r="H1226" s="51"/>
      <c r="I1226" s="51"/>
      <c r="J1226" s="51"/>
      <c r="K1226" s="51"/>
      <c r="L1226" s="51"/>
      <c r="M1226" s="51"/>
      <c r="N1226" s="51"/>
      <c r="O1226" s="51"/>
      <c r="P1226" s="51"/>
      <c r="Q1226" s="51"/>
      <c r="R1226" s="51"/>
    </row>
    <row r="1227" spans="1:18" x14ac:dyDescent="0.25">
      <c r="A1227" s="52" t="s">
        <v>788</v>
      </c>
      <c r="B1227" s="44"/>
      <c r="C1227" s="51"/>
      <c r="D1227" s="67"/>
      <c r="E1227" s="51"/>
      <c r="F1227" s="43">
        <v>56970</v>
      </c>
      <c r="G1227" s="51"/>
      <c r="H1227" s="51"/>
      <c r="I1227" s="51"/>
      <c r="J1227" s="51"/>
      <c r="K1227" s="51"/>
      <c r="L1227" s="51"/>
      <c r="M1227" s="51"/>
      <c r="N1227" s="51"/>
      <c r="O1227" s="51"/>
      <c r="P1227" s="51"/>
      <c r="Q1227" s="51"/>
      <c r="R1227" s="51"/>
    </row>
    <row r="1228" spans="1:18" x14ac:dyDescent="0.25">
      <c r="B1228" s="44"/>
      <c r="C1228" s="51"/>
      <c r="D1228" s="51"/>
      <c r="E1228" s="51"/>
      <c r="F1228" s="51"/>
      <c r="G1228" s="51"/>
      <c r="H1228" s="51"/>
      <c r="I1228" s="51"/>
      <c r="J1228" s="51"/>
      <c r="K1228" s="51"/>
      <c r="L1228" s="51"/>
      <c r="M1228" s="51"/>
      <c r="N1228" s="51"/>
      <c r="O1228" s="51"/>
      <c r="P1228" s="51"/>
      <c r="Q1228" s="51"/>
      <c r="R1228" s="51"/>
    </row>
    <row r="1229" spans="1:18" x14ac:dyDescent="0.25">
      <c r="A1229" s="41" t="s">
        <v>230</v>
      </c>
      <c r="C1229" s="51">
        <f t="shared" ref="C1229" si="744">SUM(C1225:C1228)</f>
        <v>0</v>
      </c>
      <c r="D1229" s="51">
        <f>SUM(D1225:D1228)</f>
        <v>50361</v>
      </c>
      <c r="E1229" s="51">
        <f t="shared" ref="E1229" si="745">SUM(E1225:E1228)</f>
        <v>0</v>
      </c>
      <c r="F1229" s="51">
        <f>SUM(F1227:F1228)</f>
        <v>56970</v>
      </c>
      <c r="G1229" s="51">
        <v>0</v>
      </c>
      <c r="H1229" s="51">
        <v>0</v>
      </c>
      <c r="I1229" s="51">
        <v>0</v>
      </c>
      <c r="J1229" s="51">
        <v>0</v>
      </c>
      <c r="K1229" s="51">
        <v>0</v>
      </c>
      <c r="L1229" s="51">
        <v>0</v>
      </c>
      <c r="M1229" s="51">
        <v>0</v>
      </c>
      <c r="N1229" s="51">
        <v>0</v>
      </c>
      <c r="O1229" s="51">
        <v>0</v>
      </c>
      <c r="P1229" s="51">
        <v>0</v>
      </c>
      <c r="Q1229" s="51">
        <f t="shared" ref="Q1229:R1229" si="746">SUM(Q1225:Q1228)</f>
        <v>0</v>
      </c>
      <c r="R1229" s="51">
        <f t="shared" si="746"/>
        <v>0</v>
      </c>
    </row>
    <row r="1230" spans="1:18" x14ac:dyDescent="0.25">
      <c r="A1230" s="41"/>
      <c r="C1230" s="50"/>
      <c r="D1230" s="50"/>
      <c r="E1230" s="50"/>
      <c r="F1230" s="50"/>
      <c r="G1230" s="50"/>
      <c r="H1230" s="50"/>
      <c r="I1230" s="50"/>
      <c r="J1230" s="50"/>
      <c r="K1230" s="50"/>
      <c r="L1230" s="50"/>
      <c r="M1230" s="50"/>
      <c r="N1230" s="50"/>
      <c r="O1230" s="50"/>
      <c r="P1230" s="50"/>
      <c r="Q1230" s="50"/>
      <c r="R1230" s="50"/>
    </row>
    <row r="1231" spans="1:18" x14ac:dyDescent="0.25">
      <c r="A1231" s="41" t="s">
        <v>789</v>
      </c>
      <c r="B1231" s="44"/>
      <c r="C1231" s="51">
        <f>C1221-C1177</f>
        <v>-81821.569999999832</v>
      </c>
      <c r="D1231" s="51">
        <f>D1221-D1177+D1229</f>
        <v>3099</v>
      </c>
      <c r="E1231" s="51">
        <f t="shared" ref="E1231:R1231" si="747">E1221-E1177</f>
        <v>-62602</v>
      </c>
      <c r="F1231" s="51">
        <f>F1221-F1177+F1229</f>
        <v>-161179</v>
      </c>
      <c r="G1231" s="51">
        <f t="shared" ref="G1231" si="748">G1221-G1177</f>
        <v>-170971</v>
      </c>
      <c r="H1231" s="51">
        <f t="shared" si="747"/>
        <v>-65925</v>
      </c>
      <c r="I1231" s="51">
        <f t="shared" si="747"/>
        <v>-63413.799999999348</v>
      </c>
      <c r="J1231" s="51">
        <f t="shared" si="747"/>
        <v>-64224.906200000085</v>
      </c>
      <c r="K1231" s="51">
        <f t="shared" si="747"/>
        <v>-64556.444373800419</v>
      </c>
      <c r="L1231" s="51">
        <f t="shared" si="747"/>
        <v>-64002.266134647187</v>
      </c>
      <c r="M1231" s="51">
        <f t="shared" si="747"/>
        <v>-61615.338881686796</v>
      </c>
      <c r="N1231" s="51">
        <f t="shared" si="747"/>
        <v>-61683.373541203793</v>
      </c>
      <c r="O1231" s="51">
        <f t="shared" si="747"/>
        <v>-61861.168850928079</v>
      </c>
      <c r="P1231" s="51">
        <f t="shared" si="747"/>
        <v>-61439.650286551565</v>
      </c>
      <c r="Q1231" s="51">
        <f t="shared" si="747"/>
        <v>-61421.92393747298</v>
      </c>
      <c r="R1231" s="51">
        <f t="shared" si="747"/>
        <v>-60427.393665510695</v>
      </c>
    </row>
    <row r="1232" spans="1:18" x14ac:dyDescent="0.25">
      <c r="C1232" s="50"/>
      <c r="D1232" s="50"/>
      <c r="E1232" s="50"/>
      <c r="F1232" s="50"/>
      <c r="G1232" s="50"/>
      <c r="H1232" s="50"/>
      <c r="I1232" s="50"/>
      <c r="J1232" s="50"/>
      <c r="K1232" s="50"/>
      <c r="L1232" s="50"/>
      <c r="M1232" s="50"/>
      <c r="N1232" s="50"/>
      <c r="O1232" s="50"/>
      <c r="P1232" s="50"/>
      <c r="Q1232" s="50"/>
      <c r="R1232" s="50"/>
    </row>
    <row r="1233" spans="1:18" x14ac:dyDescent="0.25">
      <c r="A1233" s="41" t="s">
        <v>790</v>
      </c>
      <c r="B1233" s="44"/>
      <c r="C1233" s="50"/>
      <c r="D1233" s="50"/>
      <c r="E1233" s="50"/>
      <c r="F1233" s="50"/>
      <c r="G1233" s="50"/>
      <c r="H1233" s="50"/>
      <c r="I1233" s="50"/>
      <c r="J1233" s="50"/>
      <c r="K1233" s="50"/>
      <c r="L1233" s="50"/>
      <c r="M1233" s="50"/>
      <c r="N1233" s="50"/>
      <c r="O1233" s="50"/>
      <c r="P1233" s="50"/>
      <c r="Q1233" s="50"/>
      <c r="R1233" s="50"/>
    </row>
    <row r="1234" spans="1:18" x14ac:dyDescent="0.25">
      <c r="A1234" s="41"/>
      <c r="B1234" s="44"/>
      <c r="C1234" s="50"/>
      <c r="D1234" s="50"/>
      <c r="E1234" s="50"/>
      <c r="F1234" s="50"/>
      <c r="G1234" s="50"/>
      <c r="H1234" s="50"/>
      <c r="I1234" s="50"/>
      <c r="J1234" s="50"/>
      <c r="K1234" s="50"/>
      <c r="L1234" s="50"/>
      <c r="M1234" s="50"/>
      <c r="N1234" s="50"/>
      <c r="O1234" s="50"/>
      <c r="P1234" s="50"/>
      <c r="Q1234" s="50"/>
      <c r="R1234" s="50"/>
    </row>
    <row r="1235" spans="1:18" x14ac:dyDescent="0.25">
      <c r="A1235" s="41" t="s">
        <v>202</v>
      </c>
      <c r="B1235" s="44"/>
      <c r="C1235" s="50"/>
      <c r="D1235" s="50"/>
      <c r="E1235" s="50"/>
      <c r="F1235" s="50"/>
      <c r="G1235" s="50"/>
      <c r="H1235" s="50"/>
      <c r="I1235" s="50"/>
      <c r="J1235" s="50"/>
      <c r="K1235" s="50"/>
      <c r="L1235" s="50"/>
      <c r="M1235" s="50"/>
      <c r="N1235" s="50"/>
      <c r="O1235" s="50"/>
      <c r="P1235" s="50"/>
      <c r="Q1235" s="50"/>
      <c r="R1235" s="50"/>
    </row>
    <row r="1236" spans="1:18" x14ac:dyDescent="0.25">
      <c r="C1236" s="50"/>
      <c r="D1236" s="50"/>
      <c r="E1236" s="50"/>
      <c r="F1236" s="50"/>
      <c r="G1236" s="50"/>
      <c r="H1236" s="50"/>
      <c r="I1236" s="50"/>
      <c r="J1236" s="50"/>
      <c r="K1236" s="50"/>
      <c r="L1236" s="50"/>
      <c r="M1236" s="50"/>
      <c r="N1236" s="50"/>
      <c r="O1236" s="50"/>
      <c r="P1236" s="50"/>
      <c r="Q1236" s="50"/>
      <c r="R1236" s="50"/>
    </row>
    <row r="1237" spans="1:18" x14ac:dyDescent="0.25">
      <c r="A1237" s="52" t="s">
        <v>791</v>
      </c>
      <c r="B1237" s="53"/>
      <c r="C1237" s="50"/>
      <c r="D1237" s="50"/>
      <c r="E1237" s="50"/>
      <c r="F1237" s="50"/>
      <c r="G1237" s="50"/>
      <c r="H1237" s="50"/>
      <c r="I1237" s="50"/>
      <c r="J1237" s="50"/>
      <c r="K1237" s="50"/>
      <c r="L1237" s="50"/>
      <c r="M1237" s="50"/>
      <c r="N1237" s="50"/>
      <c r="O1237" s="50"/>
      <c r="P1237" s="50"/>
      <c r="Q1237" s="50"/>
      <c r="R1237" s="50"/>
    </row>
    <row r="1238" spans="1:18" x14ac:dyDescent="0.25">
      <c r="A1238" s="52" t="s">
        <v>792</v>
      </c>
      <c r="B1238" s="53"/>
      <c r="C1238" s="54"/>
      <c r="D1238" s="54"/>
      <c r="E1238" s="54"/>
      <c r="F1238" s="54"/>
      <c r="G1238" s="54"/>
      <c r="H1238" s="54"/>
      <c r="I1238" s="54"/>
      <c r="J1238" s="54"/>
      <c r="K1238" s="54"/>
      <c r="L1238" s="54"/>
      <c r="M1238" s="54"/>
      <c r="N1238" s="54"/>
      <c r="O1238" s="54"/>
      <c r="P1238" s="54"/>
      <c r="Q1238" s="54"/>
      <c r="R1238" s="54"/>
    </row>
    <row r="1239" spans="1:18" x14ac:dyDescent="0.25">
      <c r="A1239" s="52" t="s">
        <v>793</v>
      </c>
      <c r="B1239" s="53"/>
      <c r="C1239" s="52"/>
      <c r="D1239" s="54"/>
      <c r="E1239" s="54"/>
      <c r="F1239" s="54"/>
      <c r="G1239" s="54"/>
      <c r="H1239" s="54"/>
      <c r="I1239" s="54"/>
      <c r="J1239" s="54"/>
      <c r="K1239" s="54"/>
      <c r="L1239" s="54"/>
      <c r="M1239" s="54"/>
      <c r="N1239" s="54"/>
      <c r="O1239" s="54"/>
      <c r="P1239" s="54"/>
      <c r="Q1239" s="54"/>
      <c r="R1239" s="54"/>
    </row>
    <row r="1240" spans="1:18" x14ac:dyDescent="0.25">
      <c r="A1240" s="52" t="s">
        <v>794</v>
      </c>
      <c r="B1240" s="53"/>
      <c r="C1240" s="52">
        <v>5000</v>
      </c>
      <c r="D1240" s="50"/>
      <c r="E1240" s="50"/>
      <c r="F1240" s="50"/>
      <c r="G1240" s="50"/>
      <c r="H1240" s="50"/>
      <c r="I1240" s="54"/>
      <c r="J1240" s="54"/>
      <c r="K1240" s="54"/>
      <c r="L1240" s="54"/>
      <c r="M1240" s="54"/>
      <c r="N1240" s="54"/>
      <c r="O1240" s="54"/>
      <c r="P1240" s="54"/>
      <c r="Q1240" s="54"/>
      <c r="R1240" s="54"/>
    </row>
    <row r="1241" spans="1:18" x14ac:dyDescent="0.25">
      <c r="A1241" s="52" t="s">
        <v>795</v>
      </c>
      <c r="B1241" s="53"/>
      <c r="C1241" s="52"/>
      <c r="D1241" s="50">
        <v>5000</v>
      </c>
      <c r="E1241" s="50"/>
      <c r="F1241" s="50"/>
      <c r="G1241" s="50"/>
      <c r="H1241" s="50"/>
      <c r="I1241" s="54"/>
      <c r="J1241" s="54"/>
      <c r="K1241" s="54"/>
      <c r="L1241" s="54"/>
      <c r="M1241" s="54"/>
      <c r="N1241" s="54"/>
      <c r="O1241" s="54"/>
      <c r="P1241" s="54"/>
      <c r="Q1241" s="54"/>
      <c r="R1241" s="54"/>
    </row>
    <row r="1242" spans="1:18" x14ac:dyDescent="0.25">
      <c r="A1242" s="52" t="s">
        <v>796</v>
      </c>
      <c r="B1242" s="53"/>
      <c r="C1242" s="52">
        <v>0</v>
      </c>
      <c r="D1242" s="50"/>
      <c r="E1242" s="50"/>
      <c r="F1242" s="50"/>
      <c r="G1242" s="50"/>
      <c r="H1242" s="50"/>
      <c r="I1242" s="54"/>
      <c r="J1242" s="54"/>
      <c r="K1242" s="54"/>
      <c r="L1242" s="54"/>
      <c r="M1242" s="54"/>
      <c r="N1242" s="54"/>
      <c r="O1242" s="54"/>
      <c r="P1242" s="54"/>
      <c r="Q1242" s="54"/>
      <c r="R1242" s="54"/>
    </row>
    <row r="1243" spans="1:18" x14ac:dyDescent="0.25">
      <c r="A1243" s="52" t="s">
        <v>797</v>
      </c>
      <c r="B1243" s="53"/>
      <c r="C1243" s="50"/>
      <c r="D1243" s="50"/>
      <c r="E1243" s="50"/>
      <c r="F1243" s="50"/>
      <c r="G1243" s="50"/>
      <c r="H1243" s="50"/>
      <c r="I1243" s="50"/>
      <c r="J1243" s="50"/>
      <c r="K1243" s="50"/>
      <c r="L1243" s="50"/>
      <c r="M1243" s="50"/>
      <c r="N1243" s="50"/>
      <c r="O1243" s="50"/>
      <c r="P1243" s="50"/>
      <c r="Q1243" s="50"/>
      <c r="R1243" s="50"/>
    </row>
    <row r="1244" spans="1:18" x14ac:dyDescent="0.25">
      <c r="A1244" s="52" t="s">
        <v>798</v>
      </c>
      <c r="B1244" s="53"/>
      <c r="C1244" s="54"/>
      <c r="D1244" s="50"/>
      <c r="E1244" s="50"/>
      <c r="F1244" s="50"/>
      <c r="G1244" s="50"/>
      <c r="H1244" s="50"/>
      <c r="I1244" s="54"/>
      <c r="J1244" s="54"/>
      <c r="K1244" s="54"/>
      <c r="L1244" s="54"/>
      <c r="M1244" s="54"/>
      <c r="N1244" s="54"/>
      <c r="O1244" s="54"/>
      <c r="P1244" s="54"/>
      <c r="Q1244" s="54"/>
      <c r="R1244" s="54"/>
    </row>
    <row r="1245" spans="1:18" x14ac:dyDescent="0.25">
      <c r="A1245" s="181" t="s">
        <v>799</v>
      </c>
      <c r="B1245" s="53"/>
      <c r="C1245" s="54">
        <v>18182</v>
      </c>
      <c r="D1245" s="50"/>
      <c r="E1245" s="50"/>
      <c r="F1245" s="50"/>
      <c r="G1245" s="50"/>
      <c r="H1245" s="50"/>
      <c r="I1245" s="54"/>
      <c r="J1245" s="54"/>
      <c r="K1245" s="54"/>
      <c r="L1245" s="54"/>
      <c r="M1245" s="54"/>
      <c r="N1245" s="54"/>
      <c r="O1245" s="54"/>
      <c r="P1245" s="54"/>
      <c r="Q1245" s="54"/>
      <c r="R1245" s="54"/>
    </row>
    <row r="1246" spans="1:18" x14ac:dyDescent="0.25">
      <c r="A1246" s="181" t="s">
        <v>800</v>
      </c>
      <c r="B1246" s="53"/>
      <c r="C1246" s="54">
        <v>23563</v>
      </c>
      <c r="D1246" s="50">
        <v>37563</v>
      </c>
      <c r="E1246">
        <v>38762</v>
      </c>
      <c r="F1246" s="50"/>
      <c r="G1246" s="50"/>
      <c r="H1246" s="50"/>
      <c r="I1246" s="54"/>
      <c r="J1246" s="54"/>
      <c r="K1246" s="54"/>
      <c r="L1246" s="54"/>
      <c r="M1246" s="54"/>
      <c r="N1246" s="54"/>
      <c r="O1246" s="54"/>
      <c r="P1246" s="54"/>
      <c r="Q1246" s="54"/>
      <c r="R1246" s="54"/>
    </row>
    <row r="1247" spans="1:18" x14ac:dyDescent="0.25">
      <c r="A1247" s="181" t="s">
        <v>801</v>
      </c>
      <c r="B1247" s="53"/>
      <c r="C1247" s="54">
        <v>3000</v>
      </c>
      <c r="D1247" s="50"/>
      <c r="E1247" s="50"/>
      <c r="F1247" s="50"/>
      <c r="G1247" s="50"/>
      <c r="H1247" s="50"/>
      <c r="I1247" s="54"/>
      <c r="J1247" s="54"/>
      <c r="K1247" s="54"/>
      <c r="L1247" s="54"/>
      <c r="M1247" s="54"/>
      <c r="N1247" s="54"/>
      <c r="O1247" s="54"/>
      <c r="P1247" s="54"/>
      <c r="Q1247" s="54"/>
      <c r="R1247" s="54"/>
    </row>
    <row r="1248" spans="1:18" x14ac:dyDescent="0.25">
      <c r="A1248" s="181" t="s">
        <v>802</v>
      </c>
      <c r="B1248" s="53"/>
      <c r="C1248" s="54">
        <v>6423</v>
      </c>
      <c r="D1248" s="50">
        <v>49577</v>
      </c>
      <c r="E1248" s="50"/>
      <c r="F1248" s="50"/>
      <c r="G1248" s="50"/>
      <c r="H1248" s="50"/>
      <c r="I1248" s="54"/>
      <c r="J1248" s="54"/>
      <c r="K1248" s="54"/>
      <c r="L1248" s="54"/>
      <c r="M1248" s="54"/>
      <c r="N1248" s="54"/>
      <c r="O1248" s="54"/>
      <c r="P1248" s="54"/>
      <c r="Q1248" s="54"/>
      <c r="R1248" s="54"/>
    </row>
    <row r="1249" spans="1:18" x14ac:dyDescent="0.25">
      <c r="A1249" s="52" t="s">
        <v>803</v>
      </c>
      <c r="B1249" s="53"/>
      <c r="C1249" s="50">
        <v>48000</v>
      </c>
      <c r="D1249" s="50"/>
      <c r="E1249" s="50"/>
      <c r="F1249" s="50"/>
      <c r="G1249" s="50"/>
      <c r="H1249" s="50"/>
      <c r="I1249" s="54"/>
      <c r="J1249" s="54"/>
      <c r="K1249" s="54"/>
      <c r="L1249" s="54"/>
      <c r="M1249" s="54"/>
      <c r="N1249" s="54"/>
      <c r="O1249" s="54"/>
      <c r="P1249" s="54"/>
      <c r="Q1249" s="54"/>
      <c r="R1249" s="54"/>
    </row>
    <row r="1250" spans="1:18" x14ac:dyDescent="0.25">
      <c r="A1250" s="52" t="s">
        <v>804</v>
      </c>
      <c r="B1250" s="53"/>
      <c r="C1250" s="50">
        <v>10000</v>
      </c>
      <c r="D1250" s="50">
        <v>10000</v>
      </c>
      <c r="E1250" s="50">
        <v>10000</v>
      </c>
      <c r="F1250" s="50"/>
      <c r="G1250" s="50"/>
      <c r="H1250" s="50"/>
      <c r="I1250" s="54"/>
      <c r="J1250" s="54"/>
      <c r="K1250" s="54"/>
      <c r="L1250" s="54"/>
      <c r="M1250" s="54"/>
      <c r="N1250" s="54"/>
      <c r="O1250" s="54"/>
      <c r="P1250" s="54"/>
      <c r="Q1250" s="54"/>
      <c r="R1250" s="54"/>
    </row>
    <row r="1251" spans="1:18" x14ac:dyDescent="0.25">
      <c r="A1251" s="52" t="s">
        <v>805</v>
      </c>
      <c r="B1251" s="53"/>
      <c r="C1251" s="50"/>
      <c r="D1251" s="50">
        <v>10000</v>
      </c>
      <c r="E1251" s="50"/>
      <c r="F1251" s="50"/>
      <c r="G1251" s="50"/>
      <c r="H1251" s="50"/>
      <c r="I1251" s="54"/>
      <c r="J1251" s="54"/>
      <c r="K1251" s="54"/>
      <c r="L1251" s="54"/>
      <c r="M1251" s="54"/>
      <c r="N1251" s="54"/>
      <c r="O1251" s="54"/>
      <c r="P1251" s="54"/>
      <c r="Q1251" s="54"/>
      <c r="R1251" s="54"/>
    </row>
    <row r="1252" spans="1:18" x14ac:dyDescent="0.25">
      <c r="A1252" s="181" t="s">
        <v>806</v>
      </c>
      <c r="B1252" s="53"/>
      <c r="C1252" s="50"/>
      <c r="D1252" s="50">
        <v>20000</v>
      </c>
      <c r="E1252" s="50"/>
      <c r="F1252" s="50"/>
      <c r="G1252" s="50"/>
      <c r="H1252" s="50"/>
      <c r="I1252" s="54"/>
      <c r="J1252" s="54"/>
      <c r="K1252" s="54"/>
      <c r="L1252" s="54"/>
      <c r="M1252" s="54"/>
      <c r="N1252" s="54"/>
      <c r="O1252" s="54"/>
      <c r="P1252" s="54"/>
      <c r="Q1252" s="54"/>
      <c r="R1252" s="54"/>
    </row>
    <row r="1253" spans="1:18" x14ac:dyDescent="0.25">
      <c r="A1253" s="181" t="s">
        <v>807</v>
      </c>
      <c r="B1253" s="53"/>
      <c r="C1253" s="50"/>
      <c r="D1253" s="50">
        <v>7438</v>
      </c>
      <c r="E1253" s="50"/>
      <c r="F1253" s="50"/>
      <c r="G1253" s="50"/>
      <c r="H1253" s="50"/>
      <c r="I1253" s="54"/>
      <c r="J1253" s="54"/>
      <c r="K1253" s="54"/>
      <c r="L1253" s="54"/>
      <c r="M1253" s="54"/>
      <c r="N1253" s="54"/>
      <c r="O1253" s="54"/>
      <c r="P1253" s="54"/>
      <c r="Q1253" s="54"/>
      <c r="R1253" s="54"/>
    </row>
    <row r="1254" spans="1:18" x14ac:dyDescent="0.25">
      <c r="A1254" s="59" t="s">
        <v>808</v>
      </c>
      <c r="B1254" s="53"/>
      <c r="C1254" s="50"/>
      <c r="D1254" s="50">
        <v>32500</v>
      </c>
      <c r="E1254">
        <v>15000</v>
      </c>
      <c r="F1254" s="50"/>
      <c r="G1254" s="50"/>
      <c r="H1254" s="50"/>
      <c r="I1254" s="54"/>
      <c r="J1254" s="54"/>
      <c r="K1254" s="54"/>
      <c r="L1254" s="54"/>
      <c r="M1254" s="54"/>
      <c r="N1254" s="54"/>
      <c r="O1254" s="54"/>
      <c r="P1254" s="54"/>
      <c r="Q1254" s="54"/>
      <c r="R1254" s="54"/>
    </row>
    <row r="1255" spans="1:18" x14ac:dyDescent="0.25">
      <c r="A1255" s="59" t="s">
        <v>809</v>
      </c>
      <c r="B1255" s="53"/>
      <c r="C1255" s="50"/>
      <c r="D1255" s="50"/>
      <c r="E1255" s="50">
        <v>25000</v>
      </c>
      <c r="F1255" s="50"/>
      <c r="G1255" s="50"/>
      <c r="H1255" s="50"/>
      <c r="I1255" s="54"/>
      <c r="J1255" s="54"/>
      <c r="K1255" s="54"/>
      <c r="L1255" s="54"/>
      <c r="M1255" s="54"/>
      <c r="N1255" s="54"/>
      <c r="O1255" s="54"/>
      <c r="P1255" s="54"/>
      <c r="Q1255" s="54"/>
      <c r="R1255" s="54"/>
    </row>
    <row r="1256" spans="1:18" x14ac:dyDescent="0.25">
      <c r="A1256" s="59" t="s">
        <v>810</v>
      </c>
      <c r="B1256" s="53"/>
      <c r="C1256" s="50"/>
      <c r="D1256" s="50"/>
      <c r="E1256" s="50"/>
      <c r="F1256">
        <v>32588</v>
      </c>
      <c r="G1256" s="50">
        <v>32588</v>
      </c>
      <c r="H1256" s="50"/>
      <c r="I1256" s="54"/>
      <c r="J1256" s="54"/>
      <c r="K1256" s="54"/>
      <c r="L1256" s="54"/>
      <c r="M1256" s="54"/>
      <c r="N1256" s="54"/>
      <c r="O1256" s="54"/>
      <c r="P1256" s="54"/>
      <c r="Q1256" s="54"/>
      <c r="R1256" s="54"/>
    </row>
    <row r="1257" spans="1:18" x14ac:dyDescent="0.25">
      <c r="A1257" s="59" t="s">
        <v>811</v>
      </c>
      <c r="B1257" s="53"/>
      <c r="C1257" s="50"/>
      <c r="D1257" s="50"/>
      <c r="E1257" s="50"/>
      <c r="F1257" s="50">
        <v>0</v>
      </c>
      <c r="G1257" s="50"/>
      <c r="H1257" s="50"/>
      <c r="I1257" s="54"/>
      <c r="J1257" s="54"/>
      <c r="K1257" s="54"/>
      <c r="L1257" s="54"/>
      <c r="M1257" s="54"/>
      <c r="N1257" s="54"/>
      <c r="O1257" s="54"/>
      <c r="P1257" s="54"/>
      <c r="Q1257" s="54"/>
      <c r="R1257" s="54"/>
    </row>
    <row r="1258" spans="1:18" x14ac:dyDescent="0.25">
      <c r="A1258" s="59" t="s">
        <v>812</v>
      </c>
      <c r="B1258" s="53"/>
      <c r="C1258" s="50"/>
      <c r="D1258" s="50"/>
      <c r="E1258" s="50"/>
      <c r="F1258" s="50"/>
      <c r="G1258" s="50">
        <v>10000</v>
      </c>
      <c r="H1258" s="50"/>
      <c r="I1258" s="54"/>
      <c r="J1258" s="54"/>
      <c r="K1258" s="54"/>
      <c r="L1258" s="54"/>
      <c r="M1258" s="54"/>
      <c r="N1258" s="54"/>
      <c r="O1258" s="54"/>
      <c r="P1258" s="54"/>
      <c r="Q1258" s="54"/>
      <c r="R1258" s="54"/>
    </row>
    <row r="1259" spans="1:18" x14ac:dyDescent="0.25">
      <c r="A1259" s="59" t="s">
        <v>813</v>
      </c>
      <c r="B1259" s="53"/>
      <c r="C1259" s="50"/>
      <c r="D1259" s="50"/>
      <c r="E1259" s="50"/>
      <c r="F1259" s="50"/>
      <c r="G1259" s="50">
        <v>10000</v>
      </c>
      <c r="H1259" s="50"/>
      <c r="I1259" s="54"/>
      <c r="J1259" s="54"/>
      <c r="K1259" s="54"/>
      <c r="L1259" s="54"/>
      <c r="M1259" s="54"/>
      <c r="N1259" s="54"/>
      <c r="O1259" s="54"/>
      <c r="P1259" s="54"/>
      <c r="Q1259" s="54"/>
      <c r="R1259" s="54"/>
    </row>
    <row r="1260" spans="1:18" x14ac:dyDescent="0.25">
      <c r="A1260" s="59" t="s">
        <v>814</v>
      </c>
      <c r="B1260" s="53"/>
      <c r="C1260" s="50"/>
      <c r="D1260" s="50"/>
      <c r="E1260" s="50"/>
      <c r="F1260" s="50"/>
      <c r="G1260" s="50">
        <v>20000</v>
      </c>
      <c r="H1260" s="50"/>
      <c r="I1260" s="54"/>
      <c r="J1260" s="54"/>
      <c r="K1260" s="54"/>
      <c r="L1260" s="54"/>
      <c r="M1260" s="54"/>
      <c r="N1260" s="54"/>
      <c r="O1260" s="54"/>
      <c r="P1260" s="54"/>
      <c r="Q1260" s="54"/>
      <c r="R1260" s="54"/>
    </row>
    <row r="1261" spans="1:18" x14ac:dyDescent="0.25">
      <c r="A1261" s="59" t="s">
        <v>815</v>
      </c>
      <c r="B1261" s="53"/>
      <c r="C1261" s="50"/>
      <c r="D1261" s="50"/>
      <c r="E1261" s="50"/>
      <c r="F1261" s="50"/>
      <c r="G1261" s="50">
        <v>10080</v>
      </c>
      <c r="H1261" s="50"/>
      <c r="I1261" s="54"/>
      <c r="J1261" s="54"/>
      <c r="K1261" s="54"/>
      <c r="L1261" s="54"/>
      <c r="M1261" s="54"/>
      <c r="N1261" s="54"/>
      <c r="O1261" s="54"/>
      <c r="P1261" s="54"/>
      <c r="Q1261" s="54"/>
      <c r="R1261" s="54"/>
    </row>
    <row r="1262" spans="1:18" x14ac:dyDescent="0.25">
      <c r="A1262" s="59" t="s">
        <v>816</v>
      </c>
      <c r="B1262" s="53"/>
      <c r="C1262" s="50"/>
      <c r="D1262" s="50"/>
      <c r="E1262" s="50"/>
      <c r="F1262" s="50"/>
      <c r="G1262" s="50">
        <v>13440</v>
      </c>
      <c r="H1262" s="50"/>
      <c r="I1262" s="54"/>
      <c r="J1262" s="54"/>
      <c r="K1262" s="54"/>
      <c r="L1262" s="54"/>
      <c r="M1262" s="54"/>
      <c r="N1262" s="54"/>
      <c r="O1262" s="54"/>
      <c r="P1262" s="54"/>
      <c r="Q1262" s="54"/>
      <c r="R1262" s="54"/>
    </row>
    <row r="1263" spans="1:18" x14ac:dyDescent="0.25">
      <c r="A1263" s="59" t="s">
        <v>817</v>
      </c>
      <c r="B1263" s="53"/>
      <c r="C1263" s="50"/>
      <c r="D1263" s="50"/>
      <c r="E1263" s="50"/>
      <c r="F1263" s="50"/>
      <c r="G1263" s="50"/>
      <c r="H1263" s="50"/>
      <c r="I1263" s="54"/>
      <c r="J1263" s="54"/>
      <c r="K1263" s="54"/>
      <c r="L1263" s="54"/>
      <c r="M1263" s="54"/>
      <c r="N1263" s="54"/>
      <c r="O1263" s="54"/>
      <c r="P1263" s="54"/>
      <c r="Q1263" s="54"/>
      <c r="R1263" s="54"/>
    </row>
    <row r="1264" spans="1:18" x14ac:dyDescent="0.25">
      <c r="A1264" s="59" t="s">
        <v>818</v>
      </c>
      <c r="B1264" s="53"/>
      <c r="C1264" s="50"/>
      <c r="D1264" s="50"/>
      <c r="E1264" s="50"/>
      <c r="F1264" s="50"/>
      <c r="G1264" s="50"/>
      <c r="H1264" s="50"/>
      <c r="I1264" s="54"/>
      <c r="J1264" s="54"/>
      <c r="K1264" s="54"/>
      <c r="L1264" s="54"/>
      <c r="M1264" s="54"/>
      <c r="N1264" s="54"/>
      <c r="O1264" s="54"/>
      <c r="P1264" s="54"/>
      <c r="Q1264" s="54"/>
      <c r="R1264" s="54"/>
    </row>
    <row r="1265" spans="1:18" x14ac:dyDescent="0.25">
      <c r="A1265" s="59"/>
      <c r="B1265" s="53"/>
      <c r="C1265" s="50"/>
      <c r="D1265" s="50"/>
      <c r="E1265" s="50"/>
      <c r="F1265" s="50"/>
      <c r="G1265" s="50"/>
      <c r="H1265" s="50"/>
      <c r="I1265" s="54"/>
      <c r="J1265" s="54"/>
      <c r="K1265" s="54"/>
      <c r="L1265" s="54"/>
      <c r="M1265" s="54"/>
      <c r="N1265" s="54"/>
      <c r="O1265" s="54"/>
      <c r="P1265" s="54"/>
      <c r="Q1265" s="54"/>
      <c r="R1265" s="54"/>
    </row>
    <row r="1266" spans="1:18" x14ac:dyDescent="0.25">
      <c r="C1266" s="50"/>
      <c r="D1266" s="50"/>
      <c r="E1266" s="50"/>
      <c r="F1266" s="50"/>
      <c r="G1266" s="50"/>
      <c r="H1266" s="50"/>
      <c r="I1266" s="50"/>
      <c r="J1266" s="50"/>
      <c r="K1266" s="50"/>
      <c r="L1266" s="50"/>
      <c r="M1266" s="50"/>
      <c r="N1266" s="50"/>
      <c r="O1266" s="50"/>
      <c r="P1266" s="50"/>
      <c r="Q1266" s="50"/>
      <c r="R1266" s="50"/>
    </row>
    <row r="1267" spans="1:18" x14ac:dyDescent="0.25">
      <c r="A1267" s="41" t="s">
        <v>216</v>
      </c>
      <c r="B1267" s="44"/>
      <c r="C1267" s="51">
        <f t="shared" ref="C1267:Q1267" si="749">SUM(C1237:C1266)</f>
        <v>114168</v>
      </c>
      <c r="D1267" s="51">
        <f t="shared" si="749"/>
        <v>172078</v>
      </c>
      <c r="E1267" s="51">
        <f t="shared" si="749"/>
        <v>88762</v>
      </c>
      <c r="F1267" s="51">
        <f t="shared" si="749"/>
        <v>32588</v>
      </c>
      <c r="G1267" s="51">
        <f t="shared" ref="G1267" si="750">SUM(G1237:G1266)</f>
        <v>96108</v>
      </c>
      <c r="H1267" s="51">
        <f t="shared" si="749"/>
        <v>0</v>
      </c>
      <c r="I1267" s="51">
        <f t="shared" si="749"/>
        <v>0</v>
      </c>
      <c r="J1267" s="51">
        <f t="shared" si="749"/>
        <v>0</v>
      </c>
      <c r="K1267" s="51">
        <f t="shared" si="749"/>
        <v>0</v>
      </c>
      <c r="L1267" s="51">
        <f t="shared" si="749"/>
        <v>0</v>
      </c>
      <c r="M1267" s="51">
        <f t="shared" si="749"/>
        <v>0</v>
      </c>
      <c r="N1267" s="51">
        <f t="shared" si="749"/>
        <v>0</v>
      </c>
      <c r="O1267" s="51">
        <f t="shared" si="749"/>
        <v>0</v>
      </c>
      <c r="P1267" s="51">
        <f t="shared" si="749"/>
        <v>0</v>
      </c>
      <c r="Q1267" s="51">
        <f t="shared" si="749"/>
        <v>0</v>
      </c>
      <c r="R1267" s="51">
        <f t="shared" ref="R1267" si="751">SUM(R1237:R1266)</f>
        <v>0</v>
      </c>
    </row>
    <row r="1268" spans="1:18" x14ac:dyDescent="0.25">
      <c r="C1268" s="50"/>
      <c r="D1268" s="50"/>
      <c r="E1268" s="50"/>
      <c r="F1268" s="50"/>
      <c r="G1268" s="50"/>
      <c r="H1268" s="50"/>
      <c r="I1268" s="50"/>
      <c r="J1268" s="50"/>
      <c r="K1268" s="50"/>
      <c r="L1268" s="50"/>
      <c r="M1268" s="50"/>
      <c r="N1268" s="50"/>
      <c r="O1268" s="50"/>
      <c r="P1268" s="50"/>
      <c r="Q1268" s="50"/>
      <c r="R1268" s="50"/>
    </row>
    <row r="1269" spans="1:18" x14ac:dyDescent="0.25">
      <c r="A1269" s="41" t="s">
        <v>165</v>
      </c>
      <c r="B1269" s="44"/>
      <c r="C1269" s="50"/>
      <c r="D1269" s="50"/>
      <c r="E1269" s="50"/>
      <c r="F1269" s="50"/>
      <c r="G1269" s="50"/>
      <c r="H1269" s="50"/>
      <c r="I1269" s="50"/>
      <c r="J1269" s="50"/>
      <c r="K1269" s="50"/>
      <c r="L1269" s="50"/>
      <c r="M1269" s="50"/>
      <c r="N1269" s="50"/>
      <c r="O1269" s="50"/>
      <c r="P1269" s="50"/>
      <c r="Q1269" s="50"/>
      <c r="R1269" s="50"/>
    </row>
    <row r="1270" spans="1:18" x14ac:dyDescent="0.25">
      <c r="C1270" s="50"/>
      <c r="D1270" s="50"/>
      <c r="E1270" s="50"/>
      <c r="F1270" s="50"/>
      <c r="G1270" s="50"/>
      <c r="H1270" s="50"/>
      <c r="I1270" s="50"/>
      <c r="J1270" s="50"/>
      <c r="K1270" s="50"/>
      <c r="L1270" s="50"/>
      <c r="M1270" s="50"/>
      <c r="N1270" s="50"/>
      <c r="O1270" s="50"/>
      <c r="P1270" s="50"/>
      <c r="Q1270" s="50"/>
      <c r="R1270" s="50"/>
    </row>
    <row r="1271" spans="1:18" x14ac:dyDescent="0.25">
      <c r="A1271" s="52" t="s">
        <v>819</v>
      </c>
      <c r="B1271" s="53"/>
      <c r="C1271" s="50"/>
      <c r="D1271" s="50"/>
      <c r="E1271" s="50"/>
      <c r="F1271" s="50"/>
      <c r="G1271" s="50"/>
      <c r="H1271" s="50"/>
      <c r="I1271" s="54"/>
      <c r="J1271" s="54"/>
      <c r="K1271" s="54"/>
      <c r="L1271" s="54"/>
      <c r="M1271" s="54"/>
      <c r="N1271" s="54"/>
      <c r="O1271" s="54"/>
      <c r="P1271" s="54"/>
      <c r="Q1271" s="54"/>
      <c r="R1271" s="54"/>
    </row>
    <row r="1272" spans="1:18" x14ac:dyDescent="0.25">
      <c r="A1272" s="52" t="s">
        <v>820</v>
      </c>
      <c r="B1272" s="53"/>
      <c r="C1272" s="54">
        <v>73281</v>
      </c>
      <c r="D1272" s="50">
        <v>87913</v>
      </c>
      <c r="E1272" s="50">
        <v>92294</v>
      </c>
      <c r="F1272" s="50">
        <v>106637</v>
      </c>
      <c r="G1272" s="50">
        <v>55424</v>
      </c>
      <c r="H1272" s="50">
        <v>92500</v>
      </c>
      <c r="I1272" s="50">
        <v>94733.5</v>
      </c>
      <c r="J1272" s="50">
        <v>97278.728999999992</v>
      </c>
      <c r="K1272" s="50">
        <v>100004.72147099997</v>
      </c>
      <c r="L1272" s="50">
        <v>102881.16344658297</v>
      </c>
      <c r="M1272" s="50">
        <v>105739.90142575555</v>
      </c>
      <c r="N1272" s="50">
        <v>108602.00172027835</v>
      </c>
      <c r="O1272" s="50">
        <v>111760.03680186759</v>
      </c>
      <c r="P1272" s="50">
        <v>115141.81558453612</v>
      </c>
      <c r="Q1272" s="50">
        <v>118580.51061406604</v>
      </c>
      <c r="R1272" s="50">
        <v>122124.69423379173</v>
      </c>
    </row>
    <row r="1273" spans="1:18" x14ac:dyDescent="0.25">
      <c r="A1273" s="43" t="s">
        <v>821</v>
      </c>
      <c r="C1273" s="182">
        <v>77312</v>
      </c>
      <c r="D1273" s="183">
        <v>78879</v>
      </c>
      <c r="E1273" s="182">
        <v>111853</v>
      </c>
      <c r="F1273" s="183">
        <v>112181</v>
      </c>
      <c r="G1273" s="182">
        <v>112661</v>
      </c>
      <c r="H1273" s="182">
        <v>114900</v>
      </c>
      <c r="I1273" s="182">
        <v>117600</v>
      </c>
      <c r="J1273" s="183">
        <v>120400</v>
      </c>
      <c r="K1273" s="183">
        <v>123300</v>
      </c>
      <c r="L1273" s="183">
        <v>126100</v>
      </c>
      <c r="M1273" s="183">
        <v>128900</v>
      </c>
      <c r="N1273" s="183">
        <v>131900</v>
      </c>
      <c r="O1273" s="183">
        <v>135200</v>
      </c>
      <c r="P1273" s="183">
        <v>138500</v>
      </c>
      <c r="Q1273" s="183">
        <v>141900</v>
      </c>
      <c r="R1273" s="183">
        <v>141900</v>
      </c>
    </row>
    <row r="1274" spans="1:18" x14ac:dyDescent="0.25">
      <c r="A1274" s="52" t="s">
        <v>822</v>
      </c>
      <c r="B1274" s="53"/>
      <c r="C1274" s="50">
        <v>0</v>
      </c>
      <c r="D1274" s="54">
        <f>C1274*1.025</f>
        <v>0</v>
      </c>
      <c r="E1274" s="54">
        <f>D1274*1.025</f>
        <v>0</v>
      </c>
      <c r="F1274" s="54">
        <v>0</v>
      </c>
      <c r="G1274" s="54">
        <v>0</v>
      </c>
      <c r="H1274" s="54">
        <v>0</v>
      </c>
      <c r="I1274" s="54">
        <v>0</v>
      </c>
      <c r="J1274" s="54">
        <v>0</v>
      </c>
      <c r="K1274" s="54">
        <v>0</v>
      </c>
      <c r="L1274" s="54">
        <v>0</v>
      </c>
      <c r="M1274" s="54">
        <v>0</v>
      </c>
      <c r="N1274" s="54">
        <v>0</v>
      </c>
      <c r="O1274" s="54">
        <v>0</v>
      </c>
      <c r="P1274" s="54">
        <v>0</v>
      </c>
      <c r="Q1274" s="54">
        <f t="shared" ref="Q1274:R1275" si="752">P1274*1.025</f>
        <v>0</v>
      </c>
      <c r="R1274" s="54">
        <f t="shared" si="752"/>
        <v>0</v>
      </c>
    </row>
    <row r="1275" spans="1:18" x14ac:dyDescent="0.25">
      <c r="A1275" s="52" t="s">
        <v>823</v>
      </c>
      <c r="B1275" s="53"/>
      <c r="C1275" s="50">
        <v>0</v>
      </c>
      <c r="D1275" s="54">
        <f>C1275*1.025</f>
        <v>0</v>
      </c>
      <c r="E1275" s="54">
        <f>D1275*1.025</f>
        <v>0</v>
      </c>
      <c r="F1275" s="54">
        <v>0</v>
      </c>
      <c r="G1275" s="54">
        <v>0</v>
      </c>
      <c r="H1275" s="54">
        <v>0</v>
      </c>
      <c r="I1275" s="54">
        <v>0</v>
      </c>
      <c r="J1275" s="54">
        <v>0</v>
      </c>
      <c r="K1275" s="54">
        <v>0</v>
      </c>
      <c r="L1275" s="54">
        <v>0</v>
      </c>
      <c r="M1275" s="54">
        <v>0</v>
      </c>
      <c r="N1275" s="54">
        <v>0</v>
      </c>
      <c r="O1275" s="54">
        <v>0</v>
      </c>
      <c r="P1275" s="54">
        <v>0</v>
      </c>
      <c r="Q1275" s="54">
        <f t="shared" si="752"/>
        <v>0</v>
      </c>
      <c r="R1275" s="54">
        <f t="shared" si="752"/>
        <v>0</v>
      </c>
    </row>
    <row r="1276" spans="1:18" x14ac:dyDescent="0.25">
      <c r="A1276" s="52" t="s">
        <v>824</v>
      </c>
      <c r="B1276" s="53"/>
      <c r="C1276" s="50"/>
      <c r="D1276" s="54"/>
      <c r="E1276" s="54"/>
      <c r="F1276" s="54"/>
      <c r="G1276" s="54"/>
      <c r="H1276" s="54"/>
      <c r="I1276" s="54"/>
      <c r="J1276" s="54"/>
      <c r="K1276" s="54"/>
      <c r="L1276" s="54"/>
      <c r="M1276" s="54"/>
      <c r="N1276" s="54"/>
      <c r="O1276" s="54"/>
      <c r="P1276" s="54"/>
      <c r="Q1276" s="54"/>
      <c r="R1276" s="54"/>
    </row>
    <row r="1277" spans="1:18" x14ac:dyDescent="0.25">
      <c r="A1277" s="52" t="s">
        <v>792</v>
      </c>
      <c r="B1277" s="53"/>
      <c r="C1277" s="59">
        <v>0</v>
      </c>
      <c r="D1277" s="54"/>
      <c r="E1277" s="54"/>
      <c r="F1277" s="54"/>
      <c r="G1277" s="54"/>
      <c r="H1277" s="54"/>
      <c r="I1277" s="54"/>
      <c r="J1277" s="54"/>
      <c r="K1277" s="54"/>
      <c r="L1277" s="54"/>
      <c r="M1277" s="54"/>
      <c r="N1277" s="54"/>
      <c r="O1277" s="54"/>
      <c r="P1277" s="54"/>
      <c r="Q1277" s="54"/>
      <c r="R1277" s="54"/>
    </row>
    <row r="1278" spans="1:18" x14ac:dyDescent="0.25">
      <c r="A1278" s="52" t="s">
        <v>793</v>
      </c>
      <c r="B1278" s="53"/>
      <c r="C1278" s="68">
        <v>0</v>
      </c>
      <c r="D1278" s="54"/>
      <c r="E1278" s="54"/>
      <c r="F1278" s="54"/>
      <c r="G1278" s="54"/>
      <c r="H1278" s="54"/>
      <c r="I1278" s="54"/>
      <c r="J1278" s="54"/>
      <c r="K1278" s="54"/>
      <c r="L1278" s="54"/>
      <c r="M1278" s="54"/>
      <c r="N1278" s="54"/>
      <c r="O1278" s="54"/>
      <c r="P1278" s="54"/>
      <c r="Q1278" s="54"/>
      <c r="R1278" s="54"/>
    </row>
    <row r="1279" spans="1:18" x14ac:dyDescent="0.25">
      <c r="A1279" s="52" t="s">
        <v>794</v>
      </c>
      <c r="B1279" s="53"/>
      <c r="C1279" s="50">
        <v>4991</v>
      </c>
      <c r="D1279" s="50">
        <v>5000</v>
      </c>
      <c r="E1279" s="54"/>
      <c r="F1279" s="54"/>
      <c r="G1279" s="54"/>
      <c r="H1279" s="54"/>
      <c r="I1279" s="54"/>
      <c r="J1279" s="54"/>
      <c r="K1279" s="54"/>
      <c r="L1279" s="54"/>
      <c r="M1279" s="54"/>
      <c r="N1279" s="54"/>
      <c r="O1279" s="54"/>
      <c r="P1279" s="54"/>
      <c r="Q1279" s="54"/>
      <c r="R1279" s="54"/>
    </row>
    <row r="1280" spans="1:18" x14ac:dyDescent="0.25">
      <c r="A1280" s="52" t="s">
        <v>795</v>
      </c>
      <c r="B1280" s="53"/>
      <c r="C1280" s="50"/>
      <c r="D1280" s="50"/>
      <c r="E1280" s="54"/>
      <c r="F1280" s="54"/>
      <c r="G1280" s="54"/>
      <c r="H1280" s="54"/>
      <c r="I1280" s="54"/>
      <c r="J1280" s="54"/>
      <c r="K1280" s="54"/>
      <c r="L1280" s="54"/>
      <c r="M1280" s="54"/>
      <c r="N1280" s="54"/>
      <c r="O1280" s="54"/>
      <c r="P1280" s="54"/>
      <c r="Q1280" s="54"/>
      <c r="R1280" s="54"/>
    </row>
    <row r="1281" spans="1:18" x14ac:dyDescent="0.25">
      <c r="A1281" s="52" t="s">
        <v>796</v>
      </c>
      <c r="B1281" s="53"/>
      <c r="C1281" s="59">
        <v>0</v>
      </c>
      <c r="D1281" s="54"/>
      <c r="E1281" s="54"/>
      <c r="F1281" s="54"/>
      <c r="G1281" s="54"/>
      <c r="H1281" s="54"/>
      <c r="I1281" s="54"/>
      <c r="J1281" s="54"/>
      <c r="K1281" s="54"/>
      <c r="L1281" s="54"/>
      <c r="M1281" s="54"/>
      <c r="N1281" s="54"/>
      <c r="O1281" s="54"/>
      <c r="P1281" s="54"/>
      <c r="Q1281" s="54"/>
      <c r="R1281" s="54"/>
    </row>
    <row r="1282" spans="1:18" x14ac:dyDescent="0.25">
      <c r="A1282" s="52" t="s">
        <v>825</v>
      </c>
      <c r="B1282" s="53"/>
      <c r="C1282" s="50"/>
      <c r="D1282" s="54"/>
      <c r="E1282" s="54"/>
      <c r="F1282" s="54"/>
      <c r="G1282" s="54"/>
      <c r="H1282" s="54"/>
      <c r="I1282" s="54"/>
      <c r="J1282" s="54"/>
      <c r="K1282" s="54"/>
      <c r="L1282" s="54"/>
      <c r="M1282" s="54"/>
      <c r="N1282" s="54"/>
      <c r="O1282" s="54"/>
      <c r="P1282" s="54"/>
      <c r="Q1282" s="54"/>
      <c r="R1282" s="54"/>
    </row>
    <row r="1283" spans="1:18" x14ac:dyDescent="0.25">
      <c r="A1283" s="52" t="s">
        <v>826</v>
      </c>
      <c r="B1283" s="53"/>
      <c r="C1283" s="59">
        <v>0</v>
      </c>
      <c r="D1283" s="54"/>
      <c r="E1283" s="54"/>
      <c r="F1283" s="54"/>
      <c r="G1283" s="54"/>
      <c r="H1283" s="54"/>
      <c r="I1283" s="54"/>
      <c r="J1283" s="54"/>
      <c r="K1283" s="54"/>
      <c r="L1283" s="54"/>
      <c r="M1283" s="54"/>
      <c r="N1283" s="54"/>
      <c r="O1283" s="54"/>
      <c r="P1283" s="54"/>
      <c r="Q1283" s="54"/>
      <c r="R1283" s="54"/>
    </row>
    <row r="1284" spans="1:18" x14ac:dyDescent="0.25">
      <c r="A1284" s="52" t="s">
        <v>822</v>
      </c>
      <c r="B1284" s="53"/>
      <c r="C1284" s="59">
        <v>0</v>
      </c>
      <c r="D1284" s="54"/>
      <c r="E1284" s="54"/>
      <c r="F1284" s="54"/>
      <c r="G1284" s="54"/>
      <c r="H1284" s="54"/>
      <c r="I1284" s="54"/>
      <c r="J1284" s="54"/>
      <c r="K1284" s="54"/>
      <c r="L1284" s="54"/>
      <c r="M1284" s="54"/>
      <c r="N1284" s="54"/>
      <c r="O1284" s="54"/>
      <c r="P1284" s="54"/>
      <c r="Q1284" s="54"/>
      <c r="R1284" s="54"/>
    </row>
    <row r="1285" spans="1:18" x14ac:dyDescent="0.25">
      <c r="A1285" s="52" t="s">
        <v>797</v>
      </c>
      <c r="B1285" s="53"/>
      <c r="C1285" s="184"/>
      <c r="D1285" s="67"/>
      <c r="E1285" s="67"/>
      <c r="F1285" s="67"/>
      <c r="G1285" s="67"/>
      <c r="H1285" s="67"/>
      <c r="I1285" s="67"/>
      <c r="J1285" s="67"/>
      <c r="K1285" s="67"/>
      <c r="L1285" s="67"/>
      <c r="M1285" s="67"/>
      <c r="N1285" s="67"/>
      <c r="O1285" s="67"/>
      <c r="P1285" s="67"/>
      <c r="Q1285" s="67"/>
      <c r="R1285" s="67"/>
    </row>
    <row r="1286" spans="1:18" x14ac:dyDescent="0.25">
      <c r="A1286" s="43" t="s">
        <v>827</v>
      </c>
      <c r="C1286" s="59">
        <v>5500</v>
      </c>
      <c r="D1286" s="54">
        <v>5660</v>
      </c>
      <c r="E1286" s="54">
        <v>5824</v>
      </c>
      <c r="F1286" s="54">
        <v>11647</v>
      </c>
      <c r="G1286" s="50">
        <v>11961</v>
      </c>
      <c r="H1286" s="50">
        <v>12700</v>
      </c>
      <c r="I1286" s="54">
        <f>H1286*1.023</f>
        <v>12992.099999999999</v>
      </c>
      <c r="J1286" s="54">
        <f>I1286*1.024</f>
        <v>13303.910399999999</v>
      </c>
      <c r="K1286" s="54">
        <f>J1286*1.024</f>
        <v>13623.204249599999</v>
      </c>
      <c r="L1286" s="54">
        <f>K1286*1.023</f>
        <v>13936.537947340797</v>
      </c>
      <c r="M1286" s="54">
        <f>L1286*1.022</f>
        <v>14243.141782182296</v>
      </c>
      <c r="N1286" s="54">
        <f>M1286*1.023</f>
        <v>14570.734043172488</v>
      </c>
      <c r="O1286" s="54">
        <f>N1286*1.025</f>
        <v>14935.002394251798</v>
      </c>
      <c r="P1286" s="54">
        <f>O1286*1.025</f>
        <v>15308.377454108091</v>
      </c>
      <c r="Q1286" s="54">
        <f>P1286*1.024</f>
        <v>15675.778513006686</v>
      </c>
      <c r="R1286" s="54">
        <f>Q1286*1.024</f>
        <v>16051.997197318846</v>
      </c>
    </row>
    <row r="1287" spans="1:18" x14ac:dyDescent="0.25">
      <c r="A1287" s="43" t="s">
        <v>828</v>
      </c>
      <c r="C1287" s="59">
        <v>0</v>
      </c>
      <c r="D1287" s="50">
        <v>0</v>
      </c>
      <c r="E1287" s="50">
        <v>0</v>
      </c>
      <c r="F1287" s="50">
        <v>0</v>
      </c>
      <c r="G1287" s="50">
        <v>0</v>
      </c>
      <c r="H1287" s="50">
        <v>0</v>
      </c>
      <c r="I1287" s="54">
        <v>0</v>
      </c>
      <c r="J1287" s="54">
        <v>0</v>
      </c>
      <c r="K1287" s="54">
        <v>0</v>
      </c>
      <c r="L1287" s="54">
        <v>0</v>
      </c>
      <c r="M1287" s="54">
        <v>0</v>
      </c>
      <c r="N1287" s="54">
        <v>0</v>
      </c>
      <c r="O1287" s="54">
        <v>0</v>
      </c>
      <c r="P1287" s="54">
        <v>0</v>
      </c>
      <c r="Q1287" s="54">
        <f>P1287*1.024</f>
        <v>0</v>
      </c>
      <c r="R1287" s="54">
        <f>Q1287*1.024</f>
        <v>0</v>
      </c>
    </row>
    <row r="1288" spans="1:18" x14ac:dyDescent="0.25">
      <c r="A1288" s="181" t="s">
        <v>799</v>
      </c>
      <c r="C1288" s="50">
        <v>18159</v>
      </c>
      <c r="D1288" s="50"/>
      <c r="E1288" s="50"/>
      <c r="F1288" s="50"/>
      <c r="G1288" s="50"/>
      <c r="H1288" s="50"/>
      <c r="I1288" s="54"/>
      <c r="J1288" s="54"/>
      <c r="K1288" s="54"/>
      <c r="L1288" s="54"/>
      <c r="M1288" s="54"/>
      <c r="N1288" s="54"/>
      <c r="O1288" s="54"/>
      <c r="P1288" s="54"/>
      <c r="Q1288" s="54"/>
      <c r="R1288" s="54"/>
    </row>
    <row r="1289" spans="1:18" x14ac:dyDescent="0.25">
      <c r="A1289" s="181" t="s">
        <v>800</v>
      </c>
      <c r="C1289" s="50">
        <v>14649</v>
      </c>
      <c r="D1289" s="50">
        <v>27700</v>
      </c>
      <c r="E1289" s="50">
        <v>33065</v>
      </c>
      <c r="F1289" s="50">
        <v>18518</v>
      </c>
      <c r="G1289" s="50"/>
      <c r="H1289" s="50"/>
      <c r="I1289" s="54"/>
      <c r="J1289" s="54"/>
      <c r="K1289" s="54"/>
      <c r="L1289" s="54"/>
      <c r="M1289" s="54"/>
      <c r="N1289" s="54"/>
      <c r="O1289" s="54"/>
      <c r="P1289" s="54"/>
      <c r="Q1289" s="54"/>
      <c r="R1289" s="54"/>
    </row>
    <row r="1290" spans="1:18" x14ac:dyDescent="0.25">
      <c r="A1290" s="181" t="s">
        <v>801</v>
      </c>
      <c r="B1290" s="52"/>
      <c r="C1290" s="50">
        <v>3000</v>
      </c>
      <c r="D1290" s="50"/>
      <c r="E1290" s="50"/>
      <c r="F1290" s="50"/>
      <c r="G1290" s="50"/>
      <c r="H1290" s="50"/>
      <c r="I1290" s="54"/>
      <c r="J1290" s="54"/>
      <c r="K1290" s="54"/>
      <c r="L1290" s="54"/>
      <c r="M1290" s="54"/>
      <c r="N1290" s="54"/>
      <c r="O1290" s="54"/>
      <c r="P1290" s="54"/>
      <c r="Q1290" s="54"/>
      <c r="R1290" s="54"/>
    </row>
    <row r="1291" spans="1:18" x14ac:dyDescent="0.25">
      <c r="A1291" s="181" t="s">
        <v>802</v>
      </c>
      <c r="B1291" s="52"/>
      <c r="C1291" s="50">
        <v>6423</v>
      </c>
      <c r="D1291" s="50">
        <v>33429</v>
      </c>
      <c r="E1291" s="50"/>
      <c r="F1291" s="50"/>
      <c r="G1291" s="50"/>
      <c r="H1291" s="50"/>
      <c r="I1291" s="54"/>
      <c r="J1291" s="54"/>
      <c r="K1291" s="54"/>
      <c r="L1291" s="54"/>
      <c r="M1291" s="54"/>
      <c r="N1291" s="54"/>
      <c r="O1291" s="54"/>
      <c r="P1291" s="54"/>
      <c r="Q1291" s="54"/>
      <c r="R1291" s="54"/>
    </row>
    <row r="1292" spans="1:18" x14ac:dyDescent="0.25">
      <c r="A1292" s="52" t="s">
        <v>803</v>
      </c>
      <c r="B1292" s="52"/>
      <c r="C1292" s="50">
        <v>48000</v>
      </c>
      <c r="D1292" s="50"/>
      <c r="E1292" s="50"/>
      <c r="F1292" s="50"/>
      <c r="G1292" s="50"/>
      <c r="H1292" s="50"/>
      <c r="I1292" s="54"/>
      <c r="J1292" s="54"/>
      <c r="K1292" s="54"/>
      <c r="L1292" s="54"/>
      <c r="M1292" s="54"/>
      <c r="N1292" s="54"/>
      <c r="O1292" s="54"/>
      <c r="P1292" s="54"/>
      <c r="Q1292" s="54"/>
      <c r="R1292" s="54"/>
    </row>
    <row r="1293" spans="1:18" x14ac:dyDescent="0.25">
      <c r="A1293" s="52" t="s">
        <v>829</v>
      </c>
      <c r="B1293" s="52"/>
      <c r="C1293" s="50"/>
      <c r="D1293" s="50"/>
      <c r="E1293" s="50">
        <v>6664</v>
      </c>
      <c r="F1293" s="50">
        <v>3332</v>
      </c>
      <c r="G1293" s="50"/>
      <c r="H1293" s="50"/>
      <c r="I1293" s="54"/>
      <c r="J1293" s="54"/>
      <c r="K1293" s="54"/>
      <c r="L1293" s="54"/>
      <c r="M1293" s="54"/>
      <c r="N1293" s="54"/>
      <c r="O1293" s="54"/>
      <c r="P1293" s="54"/>
      <c r="Q1293" s="54"/>
      <c r="R1293" s="54"/>
    </row>
    <row r="1294" spans="1:18" x14ac:dyDescent="0.25">
      <c r="A1294" s="52" t="s">
        <v>804</v>
      </c>
      <c r="B1294" s="52"/>
      <c r="C1294" s="50">
        <v>0</v>
      </c>
      <c r="D1294" s="50">
        <v>9996</v>
      </c>
      <c r="E1294" s="50"/>
      <c r="F1294" s="50"/>
      <c r="G1294" s="50"/>
      <c r="H1294" s="50"/>
      <c r="I1294" s="54"/>
      <c r="J1294" s="54"/>
      <c r="K1294" s="54"/>
      <c r="L1294" s="54"/>
      <c r="M1294" s="54"/>
      <c r="N1294" s="54"/>
      <c r="O1294" s="54"/>
      <c r="P1294" s="54"/>
      <c r="Q1294" s="54"/>
      <c r="R1294" s="54"/>
    </row>
    <row r="1295" spans="1:18" x14ac:dyDescent="0.25">
      <c r="A1295" s="52" t="s">
        <v>805</v>
      </c>
      <c r="B1295" s="52"/>
      <c r="C1295" s="50"/>
      <c r="D1295" s="50">
        <v>9996</v>
      </c>
      <c r="E1295" s="50"/>
      <c r="F1295" s="50"/>
      <c r="G1295" s="50"/>
      <c r="H1295" s="50"/>
      <c r="I1295" s="54"/>
      <c r="J1295" s="54"/>
      <c r="K1295" s="54"/>
      <c r="L1295" s="54"/>
      <c r="M1295" s="54"/>
      <c r="N1295" s="54"/>
      <c r="O1295" s="54"/>
      <c r="P1295" s="54"/>
      <c r="Q1295" s="54"/>
      <c r="R1295" s="54"/>
    </row>
    <row r="1296" spans="1:18" x14ac:dyDescent="0.25">
      <c r="A1296" s="52" t="s">
        <v>830</v>
      </c>
      <c r="B1296" s="52"/>
      <c r="C1296" s="50"/>
      <c r="D1296" s="50"/>
      <c r="E1296" s="50">
        <v>9996</v>
      </c>
      <c r="F1296" s="50"/>
      <c r="G1296" s="50"/>
      <c r="H1296" s="50"/>
      <c r="I1296" s="54"/>
      <c r="J1296" s="54"/>
      <c r="K1296" s="54"/>
      <c r="L1296" s="54"/>
      <c r="M1296" s="54"/>
      <c r="N1296" s="54"/>
      <c r="O1296" s="54"/>
      <c r="P1296" s="54"/>
      <c r="Q1296" s="54"/>
      <c r="R1296" s="54"/>
    </row>
    <row r="1297" spans="1:18" x14ac:dyDescent="0.25">
      <c r="A1297" s="181" t="s">
        <v>806</v>
      </c>
      <c r="B1297" s="52"/>
      <c r="C1297" s="50"/>
      <c r="D1297" s="50">
        <v>19520</v>
      </c>
      <c r="E1297" s="50">
        <v>468</v>
      </c>
      <c r="F1297" s="50"/>
      <c r="G1297" s="50"/>
      <c r="H1297" s="50"/>
      <c r="I1297" s="54"/>
      <c r="J1297" s="54"/>
      <c r="K1297" s="54"/>
      <c r="L1297" s="54"/>
      <c r="M1297" s="54"/>
      <c r="N1297" s="54"/>
      <c r="O1297" s="54"/>
      <c r="P1297" s="54"/>
      <c r="Q1297" s="54"/>
      <c r="R1297" s="54"/>
    </row>
    <row r="1298" spans="1:18" x14ac:dyDescent="0.25">
      <c r="A1298" s="181" t="s">
        <v>807</v>
      </c>
      <c r="B1298" s="52"/>
      <c r="C1298" s="50"/>
      <c r="D1298" s="50">
        <v>7436</v>
      </c>
      <c r="E1298" s="50">
        <v>0</v>
      </c>
      <c r="F1298" s="50"/>
      <c r="G1298" s="50"/>
      <c r="H1298" s="50"/>
      <c r="I1298" s="54"/>
      <c r="J1298" s="54"/>
      <c r="K1298" s="54"/>
      <c r="L1298" s="54"/>
      <c r="M1298" s="54"/>
      <c r="N1298" s="54"/>
      <c r="O1298" s="54"/>
      <c r="P1298" s="54"/>
      <c r="Q1298" s="54"/>
      <c r="R1298" s="54"/>
    </row>
    <row r="1299" spans="1:18" x14ac:dyDescent="0.25">
      <c r="A1299" s="59" t="s">
        <v>808</v>
      </c>
      <c r="B1299" s="52"/>
      <c r="C1299" s="50"/>
      <c r="D1299" s="50">
        <v>22500</v>
      </c>
      <c r="E1299" s="50">
        <v>13947</v>
      </c>
      <c r="F1299" s="50">
        <v>11028</v>
      </c>
      <c r="G1299" s="50"/>
      <c r="H1299" s="50"/>
      <c r="I1299" s="54"/>
      <c r="J1299" s="54"/>
      <c r="K1299" s="54"/>
      <c r="L1299" s="54"/>
      <c r="M1299" s="54"/>
      <c r="N1299" s="54"/>
      <c r="O1299" s="54"/>
      <c r="P1299" s="54"/>
      <c r="Q1299" s="54"/>
      <c r="R1299" s="54"/>
    </row>
    <row r="1300" spans="1:18" x14ac:dyDescent="0.25">
      <c r="A1300" s="59" t="s">
        <v>809</v>
      </c>
      <c r="B1300" s="52"/>
      <c r="C1300" s="50"/>
      <c r="D1300" s="50"/>
      <c r="E1300" s="50">
        <v>9912</v>
      </c>
      <c r="F1300" s="50">
        <v>14988</v>
      </c>
      <c r="G1300" s="50"/>
      <c r="H1300" s="50"/>
      <c r="I1300" s="54"/>
      <c r="J1300" s="54"/>
      <c r="K1300" s="54"/>
      <c r="L1300" s="54"/>
      <c r="M1300" s="54"/>
      <c r="N1300" s="54"/>
      <c r="O1300" s="54"/>
      <c r="P1300" s="54"/>
      <c r="Q1300" s="54"/>
      <c r="R1300" s="54"/>
    </row>
    <row r="1301" spans="1:18" x14ac:dyDescent="0.25">
      <c r="A1301" s="59" t="s">
        <v>810</v>
      </c>
      <c r="B1301" s="52"/>
      <c r="C1301" s="50"/>
      <c r="D1301" s="50"/>
      <c r="E1301" s="50"/>
      <c r="F1301" s="50">
        <v>26311</v>
      </c>
      <c r="G1301" s="50">
        <v>27746</v>
      </c>
      <c r="H1301" s="50"/>
      <c r="I1301" s="54"/>
      <c r="J1301" s="54"/>
      <c r="K1301" s="54"/>
      <c r="L1301" s="54"/>
      <c r="M1301" s="54"/>
      <c r="N1301" s="54"/>
      <c r="O1301" s="54"/>
      <c r="P1301" s="54"/>
      <c r="Q1301" s="54"/>
      <c r="R1301" s="54"/>
    </row>
    <row r="1302" spans="1:18" x14ac:dyDescent="0.25">
      <c r="A1302" s="59" t="s">
        <v>812</v>
      </c>
      <c r="B1302" s="52"/>
      <c r="C1302" s="50"/>
      <c r="D1302" s="50"/>
      <c r="E1302" s="50"/>
      <c r="F1302" s="50"/>
      <c r="G1302" s="50">
        <v>6627</v>
      </c>
      <c r="H1302" s="50"/>
      <c r="I1302" s="54"/>
      <c r="J1302" s="54"/>
      <c r="K1302" s="54"/>
      <c r="L1302" s="54"/>
      <c r="M1302" s="54"/>
      <c r="N1302" s="54"/>
      <c r="O1302" s="54"/>
      <c r="P1302" s="54"/>
      <c r="Q1302" s="54"/>
      <c r="R1302" s="54"/>
    </row>
    <row r="1303" spans="1:18" x14ac:dyDescent="0.25">
      <c r="A1303" s="59" t="s">
        <v>813</v>
      </c>
      <c r="B1303" s="52"/>
      <c r="C1303" s="50"/>
      <c r="D1303" s="50"/>
      <c r="E1303" s="50"/>
      <c r="F1303" s="50"/>
      <c r="G1303" s="50">
        <v>4982</v>
      </c>
      <c r="H1303" s="50"/>
      <c r="I1303" s="54"/>
      <c r="J1303" s="54"/>
      <c r="K1303" s="54"/>
      <c r="L1303" s="54"/>
      <c r="M1303" s="54"/>
      <c r="N1303" s="54"/>
      <c r="O1303" s="54"/>
      <c r="P1303" s="54"/>
      <c r="Q1303" s="54"/>
      <c r="R1303" s="54"/>
    </row>
    <row r="1304" spans="1:18" x14ac:dyDescent="0.25">
      <c r="A1304" s="59" t="s">
        <v>814</v>
      </c>
      <c r="B1304" s="52"/>
      <c r="C1304" s="50"/>
      <c r="D1304" s="50"/>
      <c r="E1304" s="50"/>
      <c r="F1304" s="50"/>
      <c r="G1304" s="50">
        <v>5526</v>
      </c>
      <c r="H1304" s="50"/>
      <c r="I1304" s="54"/>
      <c r="J1304" s="54"/>
      <c r="K1304" s="54"/>
      <c r="L1304" s="54"/>
      <c r="M1304" s="54"/>
      <c r="N1304" s="54"/>
      <c r="O1304" s="54"/>
      <c r="P1304" s="54"/>
      <c r="Q1304" s="54"/>
      <c r="R1304" s="54"/>
    </row>
    <row r="1305" spans="1:18" x14ac:dyDescent="0.25">
      <c r="A1305" s="59" t="s">
        <v>815</v>
      </c>
      <c r="B1305" s="52"/>
      <c r="C1305" s="50"/>
      <c r="D1305" s="50"/>
      <c r="E1305" s="50"/>
      <c r="F1305" s="50"/>
      <c r="G1305" s="50">
        <v>5040</v>
      </c>
      <c r="H1305" s="50"/>
      <c r="I1305" s="54"/>
      <c r="J1305" s="54"/>
      <c r="K1305" s="54"/>
      <c r="L1305" s="54"/>
      <c r="M1305" s="54"/>
      <c r="N1305" s="54"/>
      <c r="O1305" s="54"/>
      <c r="P1305" s="54"/>
      <c r="Q1305" s="54"/>
      <c r="R1305" s="54"/>
    </row>
    <row r="1306" spans="1:18" x14ac:dyDescent="0.25">
      <c r="A1306" s="59" t="s">
        <v>816</v>
      </c>
      <c r="C1306" s="50"/>
      <c r="D1306" s="50"/>
      <c r="E1306" s="50"/>
      <c r="F1306" s="50"/>
      <c r="G1306" s="50">
        <v>6472</v>
      </c>
      <c r="H1306" s="50"/>
      <c r="I1306" s="50"/>
      <c r="J1306" s="50"/>
      <c r="K1306" s="50"/>
      <c r="L1306" s="50"/>
      <c r="M1306" s="50"/>
      <c r="N1306" s="50"/>
      <c r="O1306" s="50"/>
      <c r="P1306" s="50"/>
      <c r="Q1306" s="50"/>
      <c r="R1306" s="50"/>
    </row>
    <row r="1307" spans="1:18" x14ac:dyDescent="0.25">
      <c r="A1307" s="59" t="s">
        <v>817</v>
      </c>
      <c r="C1307" s="50"/>
      <c r="D1307" s="50"/>
      <c r="E1307" s="50"/>
      <c r="F1307" s="50"/>
      <c r="G1307" s="50"/>
      <c r="H1307" s="50"/>
      <c r="I1307" s="50"/>
      <c r="J1307" s="50"/>
      <c r="K1307" s="50"/>
      <c r="L1307" s="50"/>
      <c r="M1307" s="50"/>
      <c r="N1307" s="50"/>
      <c r="O1307" s="50"/>
      <c r="P1307" s="50"/>
      <c r="Q1307" s="50"/>
      <c r="R1307" s="50"/>
    </row>
    <row r="1308" spans="1:18" x14ac:dyDescent="0.25">
      <c r="A1308" s="59" t="s">
        <v>818</v>
      </c>
      <c r="C1308" s="50"/>
      <c r="D1308" s="50"/>
      <c r="E1308" s="50"/>
      <c r="F1308" s="50"/>
      <c r="G1308" s="50"/>
      <c r="H1308" s="50"/>
      <c r="I1308" s="50"/>
      <c r="J1308" s="50"/>
      <c r="K1308" s="50"/>
      <c r="L1308" s="50"/>
      <c r="M1308" s="50"/>
      <c r="N1308" s="50"/>
      <c r="O1308" s="50"/>
      <c r="P1308" s="50"/>
      <c r="Q1308" s="50"/>
      <c r="R1308" s="50"/>
    </row>
    <row r="1309" spans="1:18" x14ac:dyDescent="0.25">
      <c r="A1309" s="59"/>
      <c r="C1309" s="50"/>
      <c r="D1309" s="50"/>
      <c r="E1309" s="50"/>
      <c r="F1309" s="50"/>
      <c r="G1309" s="50"/>
      <c r="H1309" s="50"/>
      <c r="I1309" s="50"/>
      <c r="J1309" s="50"/>
      <c r="K1309" s="50"/>
      <c r="L1309" s="50"/>
      <c r="M1309" s="50"/>
      <c r="N1309" s="50"/>
      <c r="O1309" s="50"/>
      <c r="P1309" s="50"/>
      <c r="Q1309" s="50"/>
      <c r="R1309" s="50"/>
    </row>
    <row r="1310" spans="1:18" x14ac:dyDescent="0.25">
      <c r="A1310" s="59"/>
      <c r="C1310" s="50"/>
      <c r="D1310" s="50"/>
      <c r="E1310" s="50"/>
      <c r="F1310" s="50"/>
      <c r="G1310" s="50"/>
      <c r="H1310" s="50"/>
      <c r="I1310" s="50"/>
      <c r="J1310" s="50"/>
      <c r="K1310" s="50"/>
      <c r="L1310" s="50"/>
      <c r="M1310" s="50"/>
      <c r="N1310" s="50"/>
      <c r="O1310" s="50"/>
      <c r="P1310" s="50"/>
      <c r="Q1310" s="50"/>
      <c r="R1310" s="50"/>
    </row>
    <row r="1311" spans="1:18" x14ac:dyDescent="0.25">
      <c r="A1311" s="59"/>
      <c r="C1311" s="50"/>
      <c r="D1311" s="50"/>
      <c r="E1311" s="50"/>
      <c r="F1311" s="50"/>
      <c r="G1311" s="50"/>
      <c r="H1311" s="50"/>
      <c r="I1311" s="50"/>
      <c r="J1311" s="50"/>
      <c r="K1311" s="50"/>
      <c r="L1311" s="50"/>
      <c r="M1311" s="50"/>
      <c r="N1311" s="50"/>
      <c r="O1311" s="50"/>
      <c r="P1311" s="50"/>
      <c r="Q1311" s="50"/>
      <c r="R1311" s="50"/>
    </row>
    <row r="1312" spans="1:18" x14ac:dyDescent="0.25">
      <c r="A1312" s="41" t="s">
        <v>230</v>
      </c>
      <c r="B1312" s="44"/>
      <c r="C1312" s="51">
        <f t="shared" ref="C1312" si="753">SUM(C1271:C1306)</f>
        <v>251315</v>
      </c>
      <c r="D1312" s="51">
        <f t="shared" ref="D1312:F1312" si="754">SUM(D1271:D1306)</f>
        <v>308029</v>
      </c>
      <c r="E1312" s="51">
        <f t="shared" si="754"/>
        <v>284023</v>
      </c>
      <c r="F1312" s="51">
        <f t="shared" si="754"/>
        <v>304642</v>
      </c>
      <c r="G1312" s="51">
        <f t="shared" ref="G1312" si="755">SUM(G1271:G1308)</f>
        <v>236439</v>
      </c>
      <c r="H1312" s="51">
        <f t="shared" ref="H1312:R1312" si="756">SUM(H1271:H1306)</f>
        <v>220100</v>
      </c>
      <c r="I1312" s="51">
        <f t="shared" si="756"/>
        <v>225325.6</v>
      </c>
      <c r="J1312" s="51">
        <f t="shared" si="756"/>
        <v>230982.63939999999</v>
      </c>
      <c r="K1312" s="51">
        <f t="shared" si="756"/>
        <v>236927.92572059997</v>
      </c>
      <c r="L1312" s="51">
        <f t="shared" si="756"/>
        <v>242917.70139392378</v>
      </c>
      <c r="M1312" s="51">
        <f t="shared" si="756"/>
        <v>248883.04320793785</v>
      </c>
      <c r="N1312" s="51">
        <f t="shared" si="756"/>
        <v>255072.73576345085</v>
      </c>
      <c r="O1312" s="51">
        <f t="shared" si="756"/>
        <v>261895.03919611938</v>
      </c>
      <c r="P1312" s="51">
        <f t="shared" si="756"/>
        <v>268950.19303864421</v>
      </c>
      <c r="Q1312" s="51">
        <f t="shared" si="756"/>
        <v>276156.28912707273</v>
      </c>
      <c r="R1312" s="51">
        <f t="shared" si="756"/>
        <v>280076.69143111055</v>
      </c>
    </row>
    <row r="1313" spans="1:18" x14ac:dyDescent="0.25">
      <c r="C1313" s="50"/>
      <c r="D1313" s="50"/>
      <c r="E1313" s="50"/>
      <c r="F1313" s="50"/>
      <c r="G1313" s="50"/>
      <c r="H1313" s="50"/>
      <c r="I1313" s="50"/>
      <c r="J1313" s="50"/>
      <c r="K1313" s="50"/>
      <c r="L1313" s="50"/>
      <c r="M1313" s="50"/>
      <c r="N1313" s="50"/>
      <c r="O1313" s="50"/>
      <c r="P1313" s="50"/>
      <c r="Q1313" s="50"/>
      <c r="R1313" s="50"/>
    </row>
    <row r="1314" spans="1:18" x14ac:dyDescent="0.25">
      <c r="A1314" s="41" t="s">
        <v>251</v>
      </c>
      <c r="B1314" s="44"/>
      <c r="C1314" s="50"/>
      <c r="D1314" s="50"/>
      <c r="E1314" s="50"/>
      <c r="F1314" s="50"/>
      <c r="G1314" s="50"/>
      <c r="H1314" s="50"/>
      <c r="I1314" s="50"/>
      <c r="J1314" s="50"/>
      <c r="K1314" s="50"/>
      <c r="L1314" s="50"/>
      <c r="M1314" s="50"/>
      <c r="N1314" s="50"/>
      <c r="O1314" s="50"/>
      <c r="P1314" s="50"/>
      <c r="Q1314" s="50"/>
      <c r="R1314" s="50"/>
    </row>
    <row r="1315" spans="1:18" x14ac:dyDescent="0.25">
      <c r="C1315" s="50"/>
      <c r="D1315" s="50"/>
      <c r="E1315" s="50"/>
      <c r="F1315" s="50"/>
      <c r="G1315" s="50"/>
      <c r="H1315" s="50"/>
      <c r="I1315" s="50"/>
      <c r="J1315" s="50"/>
      <c r="K1315" s="50"/>
      <c r="L1315" s="50"/>
      <c r="M1315" s="50"/>
      <c r="N1315" s="50"/>
      <c r="O1315" s="50"/>
      <c r="P1315" s="50"/>
      <c r="Q1315" s="50"/>
      <c r="R1315" s="50"/>
    </row>
    <row r="1316" spans="1:18" x14ac:dyDescent="0.25">
      <c r="A1316" s="185" t="s">
        <v>831</v>
      </c>
      <c r="B1316" s="186" t="s">
        <v>832</v>
      </c>
      <c r="C1316" s="50">
        <v>0</v>
      </c>
      <c r="D1316" s="50">
        <v>0</v>
      </c>
      <c r="E1316" s="50">
        <v>0</v>
      </c>
      <c r="F1316" s="50">
        <v>0</v>
      </c>
      <c r="G1316" s="50">
        <v>0</v>
      </c>
      <c r="H1316" s="50">
        <v>0</v>
      </c>
      <c r="I1316" s="50">
        <v>0</v>
      </c>
      <c r="J1316" s="50">
        <v>0</v>
      </c>
      <c r="K1316" s="50">
        <v>0</v>
      </c>
      <c r="L1316" s="50">
        <v>0</v>
      </c>
      <c r="M1316" s="50">
        <v>0</v>
      </c>
      <c r="N1316" s="50">
        <v>0</v>
      </c>
      <c r="O1316" s="50">
        <v>0</v>
      </c>
      <c r="P1316" s="50">
        <v>0</v>
      </c>
      <c r="Q1316" s="50">
        <v>0</v>
      </c>
      <c r="R1316" s="50">
        <v>0</v>
      </c>
    </row>
    <row r="1317" spans="1:18" x14ac:dyDescent="0.25">
      <c r="C1317" s="50"/>
      <c r="D1317" s="50"/>
      <c r="E1317" s="50"/>
      <c r="F1317" s="50"/>
      <c r="G1317" s="50"/>
      <c r="H1317" s="50"/>
      <c r="I1317" s="50"/>
      <c r="J1317" s="50"/>
      <c r="K1317" s="50"/>
      <c r="L1317" s="50"/>
      <c r="M1317" s="50"/>
      <c r="N1317" s="50"/>
      <c r="O1317" s="50"/>
      <c r="P1317" s="50"/>
      <c r="Q1317" s="50"/>
      <c r="R1317" s="50"/>
    </row>
    <row r="1318" spans="1:18" x14ac:dyDescent="0.25">
      <c r="A1318" s="41" t="s">
        <v>254</v>
      </c>
      <c r="B1318" s="44"/>
      <c r="C1318" s="51">
        <f t="shared" ref="C1318:E1318" si="757">SUM(C1316:C1317)</f>
        <v>0</v>
      </c>
      <c r="D1318" s="51">
        <f t="shared" si="757"/>
        <v>0</v>
      </c>
      <c r="E1318" s="51">
        <f t="shared" si="757"/>
        <v>0</v>
      </c>
      <c r="F1318" s="51">
        <v>0</v>
      </c>
      <c r="G1318" s="51">
        <v>0</v>
      </c>
      <c r="H1318" s="51">
        <v>0</v>
      </c>
      <c r="I1318" s="51">
        <v>0</v>
      </c>
      <c r="J1318" s="51">
        <v>0</v>
      </c>
      <c r="K1318" s="51">
        <v>0</v>
      </c>
      <c r="L1318" s="51">
        <v>0</v>
      </c>
      <c r="M1318" s="51">
        <v>0</v>
      </c>
      <c r="N1318" s="51">
        <v>0</v>
      </c>
      <c r="O1318" s="51">
        <v>0</v>
      </c>
      <c r="P1318" s="51">
        <v>0</v>
      </c>
      <c r="Q1318" s="51">
        <f>SUM(Q1316:Q1317)</f>
        <v>0</v>
      </c>
      <c r="R1318" s="51">
        <f>SUM(R1316:R1317)</f>
        <v>0</v>
      </c>
    </row>
    <row r="1319" spans="1:18" x14ac:dyDescent="0.25">
      <c r="C1319" s="50"/>
      <c r="D1319" s="50"/>
      <c r="E1319" s="50"/>
      <c r="F1319" s="50"/>
      <c r="G1319" s="50"/>
      <c r="H1319" s="50"/>
      <c r="I1319" s="50"/>
      <c r="J1319" s="50"/>
      <c r="K1319" s="50"/>
      <c r="L1319" s="50"/>
      <c r="M1319" s="50"/>
      <c r="N1319" s="50"/>
      <c r="O1319" s="50"/>
      <c r="P1319" s="50"/>
      <c r="Q1319" s="50"/>
      <c r="R1319" s="50"/>
    </row>
    <row r="1320" spans="1:18" x14ac:dyDescent="0.25">
      <c r="A1320" s="41" t="s">
        <v>171</v>
      </c>
      <c r="B1320" s="44"/>
      <c r="C1320" s="50"/>
      <c r="D1320" s="50"/>
      <c r="E1320" s="50"/>
      <c r="F1320" s="50"/>
      <c r="G1320" s="50"/>
      <c r="H1320" s="50"/>
      <c r="I1320" s="50"/>
      <c r="J1320" s="50"/>
      <c r="K1320" s="50"/>
      <c r="L1320" s="50"/>
      <c r="M1320" s="50"/>
      <c r="N1320" s="50"/>
      <c r="O1320" s="50"/>
      <c r="P1320" s="50"/>
      <c r="Q1320" s="50"/>
      <c r="R1320" s="50"/>
    </row>
    <row r="1321" spans="1:18" x14ac:dyDescent="0.25">
      <c r="C1321" s="50"/>
      <c r="D1321" s="50"/>
      <c r="E1321" s="50"/>
      <c r="F1321" s="50"/>
      <c r="G1321" s="50"/>
      <c r="H1321" s="50"/>
      <c r="I1321" s="50"/>
      <c r="J1321" s="50"/>
      <c r="K1321" s="50"/>
      <c r="L1321" s="50"/>
      <c r="M1321" s="50"/>
      <c r="N1321" s="50"/>
      <c r="O1321" s="50"/>
      <c r="P1321" s="50"/>
      <c r="Q1321" s="50"/>
      <c r="R1321" s="50"/>
    </row>
    <row r="1322" spans="1:18" x14ac:dyDescent="0.25">
      <c r="A1322" s="41" t="s">
        <v>833</v>
      </c>
      <c r="B1322" s="44"/>
      <c r="C1322" s="50"/>
      <c r="D1322" s="50"/>
      <c r="E1322" s="50"/>
      <c r="F1322" s="50"/>
      <c r="G1322" s="50"/>
      <c r="H1322" s="50"/>
      <c r="I1322" s="50"/>
      <c r="J1322" s="50"/>
      <c r="K1322" s="50"/>
      <c r="L1322" s="50"/>
      <c r="M1322" s="50"/>
      <c r="N1322" s="50"/>
      <c r="O1322" s="50"/>
      <c r="P1322" s="50"/>
      <c r="Q1322" s="50"/>
      <c r="R1322" s="50"/>
    </row>
    <row r="1323" spans="1:18" x14ac:dyDescent="0.25">
      <c r="A1323" s="43" t="s">
        <v>834</v>
      </c>
      <c r="C1323" s="50"/>
      <c r="D1323" s="50"/>
      <c r="E1323" s="50"/>
      <c r="F1323" s="50"/>
      <c r="G1323" s="50"/>
      <c r="H1323" s="50"/>
      <c r="I1323" s="50"/>
      <c r="J1323" s="50"/>
      <c r="K1323" s="50"/>
      <c r="L1323" s="50"/>
      <c r="M1323" s="50"/>
      <c r="N1323" s="50"/>
      <c r="O1323" s="50"/>
      <c r="P1323" s="50"/>
      <c r="Q1323" s="50"/>
      <c r="R1323" s="50"/>
    </row>
    <row r="1324" spans="1:18" x14ac:dyDescent="0.25">
      <c r="A1324" s="185" t="s">
        <v>835</v>
      </c>
      <c r="B1324" s="186" t="s">
        <v>832</v>
      </c>
      <c r="C1324" s="50">
        <v>0</v>
      </c>
      <c r="D1324" s="50">
        <v>0</v>
      </c>
      <c r="E1324" s="50">
        <v>0</v>
      </c>
      <c r="F1324" s="50">
        <v>0</v>
      </c>
      <c r="G1324" s="50">
        <v>0</v>
      </c>
      <c r="H1324" s="50">
        <v>0</v>
      </c>
      <c r="I1324" s="50">
        <v>0</v>
      </c>
      <c r="J1324" s="50">
        <v>0</v>
      </c>
      <c r="K1324" s="50">
        <v>0</v>
      </c>
      <c r="L1324" s="50">
        <v>0</v>
      </c>
      <c r="M1324" s="50">
        <v>0</v>
      </c>
      <c r="N1324" s="50">
        <v>0</v>
      </c>
      <c r="O1324" s="50">
        <v>0</v>
      </c>
      <c r="P1324" s="50">
        <v>0</v>
      </c>
      <c r="Q1324" s="50">
        <v>0</v>
      </c>
      <c r="R1324" s="50">
        <v>0</v>
      </c>
    </row>
    <row r="1325" spans="1:18" x14ac:dyDescent="0.25">
      <c r="A1325" s="185" t="s">
        <v>836</v>
      </c>
      <c r="B1325" s="186" t="s">
        <v>832</v>
      </c>
      <c r="C1325" s="50"/>
      <c r="D1325" s="50">
        <v>0</v>
      </c>
      <c r="E1325" s="50">
        <v>0</v>
      </c>
      <c r="F1325" s="50">
        <v>0</v>
      </c>
      <c r="G1325" s="50">
        <v>0</v>
      </c>
      <c r="H1325" s="50">
        <v>0</v>
      </c>
      <c r="I1325" s="50">
        <v>0</v>
      </c>
      <c r="J1325" s="50">
        <v>0</v>
      </c>
      <c r="K1325" s="50">
        <v>0</v>
      </c>
      <c r="L1325" s="50">
        <v>0</v>
      </c>
      <c r="M1325" s="50">
        <v>0</v>
      </c>
      <c r="N1325" s="50">
        <v>0</v>
      </c>
      <c r="O1325" s="50">
        <v>0</v>
      </c>
      <c r="P1325" s="50">
        <v>0</v>
      </c>
      <c r="Q1325" s="50">
        <v>0</v>
      </c>
      <c r="R1325" s="50">
        <v>0</v>
      </c>
    </row>
    <row r="1326" spans="1:18" x14ac:dyDescent="0.25">
      <c r="A1326" s="185" t="s">
        <v>837</v>
      </c>
      <c r="B1326" s="186" t="s">
        <v>832</v>
      </c>
      <c r="C1326" s="43">
        <v>0</v>
      </c>
      <c r="D1326" s="43">
        <v>0</v>
      </c>
      <c r="E1326" s="43">
        <v>0</v>
      </c>
      <c r="F1326" s="43">
        <v>0</v>
      </c>
      <c r="G1326" s="43">
        <v>0</v>
      </c>
      <c r="H1326" s="43">
        <v>0</v>
      </c>
      <c r="I1326" s="43">
        <v>0</v>
      </c>
      <c r="J1326" s="43">
        <v>0</v>
      </c>
      <c r="K1326" s="43">
        <v>0</v>
      </c>
      <c r="L1326" s="43">
        <v>0</v>
      </c>
      <c r="M1326" s="43">
        <v>0</v>
      </c>
      <c r="N1326" s="43">
        <v>0</v>
      </c>
      <c r="O1326" s="43">
        <v>0</v>
      </c>
      <c r="P1326" s="43">
        <v>0</v>
      </c>
      <c r="Q1326" s="43">
        <v>0</v>
      </c>
      <c r="R1326" s="43">
        <v>0</v>
      </c>
    </row>
    <row r="1327" spans="1:18" x14ac:dyDescent="0.25">
      <c r="A1327" s="187" t="s">
        <v>838</v>
      </c>
      <c r="B1327" s="188" t="s">
        <v>839</v>
      </c>
      <c r="D1327" s="50"/>
      <c r="E1327" s="189">
        <v>0</v>
      </c>
      <c r="F1327" s="50"/>
      <c r="G1327" s="189">
        <v>0</v>
      </c>
      <c r="H1327" s="50"/>
      <c r="I1327" s="189">
        <v>11563</v>
      </c>
      <c r="J1327" s="50"/>
      <c r="K1327" s="189">
        <v>12160</v>
      </c>
      <c r="L1327" s="50"/>
      <c r="M1327" s="190">
        <v>12763</v>
      </c>
    </row>
    <row r="1328" spans="1:18" x14ac:dyDescent="0.25">
      <c r="A1328" s="187" t="s">
        <v>840</v>
      </c>
      <c r="B1328" s="188" t="s">
        <v>839</v>
      </c>
      <c r="D1328" s="187">
        <v>0</v>
      </c>
      <c r="E1328" s="50"/>
      <c r="F1328" s="50"/>
      <c r="G1328" s="50"/>
      <c r="H1328" s="189">
        <v>11314</v>
      </c>
      <c r="I1328" s="50"/>
      <c r="J1328" s="50"/>
      <c r="K1328" s="50"/>
      <c r="L1328" s="189">
        <v>12537</v>
      </c>
      <c r="M1328" s="50"/>
    </row>
    <row r="1329" spans="1:18" x14ac:dyDescent="0.25">
      <c r="A1329" s="187" t="s">
        <v>841</v>
      </c>
      <c r="B1329" s="188" t="s">
        <v>839</v>
      </c>
      <c r="D1329" s="50">
        <v>0</v>
      </c>
      <c r="E1329" s="50"/>
      <c r="F1329" s="50"/>
      <c r="G1329" s="50"/>
      <c r="H1329" s="50"/>
      <c r="I1329" s="50"/>
      <c r="J1329" s="189">
        <v>35730</v>
      </c>
      <c r="K1329" s="50"/>
      <c r="L1329" s="50"/>
      <c r="M1329" s="50"/>
    </row>
    <row r="1330" spans="1:18" x14ac:dyDescent="0.25">
      <c r="A1330" s="187" t="s">
        <v>842</v>
      </c>
      <c r="B1330" s="188" t="s">
        <v>839</v>
      </c>
      <c r="D1330" s="187">
        <v>2823</v>
      </c>
      <c r="E1330" s="50"/>
      <c r="F1330" s="50"/>
      <c r="G1330" s="189">
        <v>0</v>
      </c>
      <c r="H1330" s="50"/>
      <c r="I1330" s="50"/>
      <c r="J1330" s="189">
        <v>11190</v>
      </c>
      <c r="K1330" s="50"/>
      <c r="L1330" s="50"/>
      <c r="M1330" s="190">
        <v>12813</v>
      </c>
    </row>
    <row r="1331" spans="1:18" x14ac:dyDescent="0.25">
      <c r="A1331" s="187" t="s">
        <v>843</v>
      </c>
      <c r="B1331" s="188" t="s">
        <v>839</v>
      </c>
      <c r="D1331" s="50"/>
      <c r="E1331" s="189">
        <v>10800</v>
      </c>
      <c r="F1331" s="50"/>
      <c r="G1331" s="50"/>
      <c r="H1331" s="189">
        <v>11314</v>
      </c>
      <c r="I1331" s="50"/>
      <c r="J1331" s="50"/>
      <c r="K1331" s="189">
        <v>12220</v>
      </c>
      <c r="L1331" s="50"/>
      <c r="M1331" s="50"/>
      <c r="N1331" s="191">
        <v>13134</v>
      </c>
      <c r="O1331" s="191">
        <v>13134</v>
      </c>
      <c r="P1331" s="191">
        <v>13134</v>
      </c>
      <c r="Q1331" s="191">
        <v>13134</v>
      </c>
      <c r="R1331" s="191">
        <v>13134</v>
      </c>
    </row>
    <row r="1332" spans="1:18" x14ac:dyDescent="0.25">
      <c r="A1332" s="187" t="s">
        <v>844</v>
      </c>
      <c r="B1332" s="188" t="s">
        <v>839</v>
      </c>
      <c r="D1332" s="50"/>
      <c r="E1332" s="50"/>
      <c r="F1332" s="192">
        <v>0</v>
      </c>
      <c r="G1332" s="50"/>
      <c r="H1332" s="50"/>
      <c r="I1332" s="189">
        <v>11586</v>
      </c>
      <c r="J1332" s="50"/>
      <c r="K1332" s="50"/>
      <c r="L1332" s="189">
        <v>12537</v>
      </c>
      <c r="M1332" s="50"/>
    </row>
    <row r="1333" spans="1:18" x14ac:dyDescent="0.25">
      <c r="A1333" s="187" t="s">
        <v>845</v>
      </c>
      <c r="B1333" s="188" t="s">
        <v>839</v>
      </c>
      <c r="D1333" s="50">
        <v>30000</v>
      </c>
      <c r="E1333" s="189">
        <v>0</v>
      </c>
      <c r="F1333" s="50">
        <v>11704</v>
      </c>
      <c r="G1333" s="189">
        <v>1582</v>
      </c>
      <c r="H1333" s="50"/>
      <c r="I1333" s="189">
        <v>34757</v>
      </c>
      <c r="J1333" s="50"/>
      <c r="K1333" s="189">
        <v>36659</v>
      </c>
      <c r="L1333" s="50"/>
      <c r="M1333" s="191">
        <v>38477</v>
      </c>
    </row>
    <row r="1334" spans="1:18" x14ac:dyDescent="0.25">
      <c r="A1334" s="187" t="s">
        <v>846</v>
      </c>
      <c r="B1334" s="188" t="s">
        <v>839</v>
      </c>
      <c r="C1334" s="43">
        <v>48770</v>
      </c>
      <c r="D1334" s="189">
        <v>30400</v>
      </c>
      <c r="E1334" s="189">
        <v>6841</v>
      </c>
      <c r="F1334" s="192">
        <v>17851</v>
      </c>
      <c r="G1334" s="189">
        <v>18987</v>
      </c>
      <c r="H1334" s="189">
        <v>23759</v>
      </c>
      <c r="I1334" s="189">
        <v>24330</v>
      </c>
      <c r="J1334" s="189">
        <v>28584</v>
      </c>
      <c r="K1334" s="189">
        <v>29327</v>
      </c>
      <c r="L1334" s="189">
        <v>33851</v>
      </c>
      <c r="M1334" s="191">
        <v>34662</v>
      </c>
      <c r="N1334" s="191">
        <v>35494</v>
      </c>
      <c r="O1334" s="191">
        <v>35494</v>
      </c>
      <c r="P1334" s="191">
        <v>35494</v>
      </c>
      <c r="Q1334" s="191">
        <v>35494</v>
      </c>
      <c r="R1334" s="191">
        <v>35494</v>
      </c>
    </row>
    <row r="1335" spans="1:18" x14ac:dyDescent="0.25">
      <c r="A1335" s="187" t="s">
        <v>846</v>
      </c>
      <c r="B1335" s="188"/>
      <c r="D1335" s="189">
        <v>12622</v>
      </c>
      <c r="E1335" s="189"/>
      <c r="F1335" s="192"/>
      <c r="G1335" s="189"/>
      <c r="H1335" s="189"/>
      <c r="I1335" s="189"/>
      <c r="J1335" s="189"/>
      <c r="K1335" s="189"/>
      <c r="L1335" s="189"/>
      <c r="M1335" s="191"/>
      <c r="N1335" s="191"/>
      <c r="O1335" s="191"/>
      <c r="P1335" s="191"/>
      <c r="Q1335" s="191"/>
      <c r="R1335" s="191"/>
    </row>
    <row r="1336" spans="1:18" x14ac:dyDescent="0.25">
      <c r="A1336" s="187" t="s">
        <v>847</v>
      </c>
      <c r="B1336" s="188" t="s">
        <v>839</v>
      </c>
      <c r="D1336" s="50">
        <v>31989</v>
      </c>
      <c r="E1336" s="189">
        <v>15899</v>
      </c>
      <c r="F1336" s="50"/>
      <c r="G1336" s="189">
        <v>21047</v>
      </c>
      <c r="H1336" s="50"/>
      <c r="I1336" s="189">
        <v>20854</v>
      </c>
      <c r="J1336" s="50"/>
      <c r="K1336" s="189">
        <v>21995</v>
      </c>
      <c r="L1336" s="50"/>
      <c r="M1336" s="191">
        <v>23085</v>
      </c>
    </row>
    <row r="1337" spans="1:18" x14ac:dyDescent="0.25">
      <c r="A1337" s="187" t="s">
        <v>848</v>
      </c>
      <c r="B1337" s="188" t="s">
        <v>839</v>
      </c>
      <c r="D1337" s="189"/>
      <c r="E1337" s="192">
        <v>79243</v>
      </c>
      <c r="F1337" s="192">
        <v>0</v>
      </c>
      <c r="G1337" s="50"/>
      <c r="H1337" s="50"/>
      <c r="I1337" s="50"/>
      <c r="J1337" s="50"/>
      <c r="K1337" s="50"/>
      <c r="L1337" s="50"/>
      <c r="M1337" s="50"/>
      <c r="N1337" s="50"/>
      <c r="O1337" s="50"/>
    </row>
    <row r="1338" spans="1:18" s="43" customFormat="1" x14ac:dyDescent="0.25">
      <c r="A1338" s="193" t="s">
        <v>849</v>
      </c>
      <c r="B1338" s="53"/>
      <c r="D1338" s="50"/>
      <c r="E1338" s="50"/>
      <c r="F1338" s="50"/>
      <c r="G1338" s="50"/>
      <c r="H1338" s="50"/>
      <c r="I1338" s="50"/>
      <c r="J1338" s="50"/>
      <c r="K1338" s="50"/>
      <c r="L1338" s="50"/>
      <c r="M1338" s="50"/>
      <c r="N1338" s="50"/>
      <c r="O1338" s="50"/>
      <c r="P1338" s="50"/>
      <c r="Q1338" s="50"/>
      <c r="R1338" s="50"/>
    </row>
    <row r="1339" spans="1:18" s="43" customFormat="1" x14ac:dyDescent="0.25">
      <c r="A1339" s="43" t="s">
        <v>850</v>
      </c>
      <c r="B1339" s="53"/>
      <c r="D1339" s="50">
        <v>2088</v>
      </c>
      <c r="E1339" s="50"/>
      <c r="F1339" s="50"/>
      <c r="G1339" s="50"/>
      <c r="H1339" s="50"/>
      <c r="I1339" s="50"/>
      <c r="J1339" s="50"/>
      <c r="K1339" s="50"/>
      <c r="L1339" s="50"/>
      <c r="M1339" s="50"/>
      <c r="N1339" s="50"/>
      <c r="O1339" s="50"/>
      <c r="P1339" s="50"/>
      <c r="Q1339" s="50"/>
      <c r="R1339" s="50"/>
    </row>
    <row r="1340" spans="1:18" s="43" customFormat="1" x14ac:dyDescent="0.25">
      <c r="B1340" s="53"/>
      <c r="D1340" s="50"/>
      <c r="E1340" s="50"/>
      <c r="F1340" s="50"/>
      <c r="G1340" s="50"/>
      <c r="H1340" s="50"/>
      <c r="I1340" s="50"/>
      <c r="J1340" s="50"/>
      <c r="K1340" s="50"/>
      <c r="L1340" s="50"/>
      <c r="M1340" s="50"/>
      <c r="N1340" s="50"/>
      <c r="O1340" s="50"/>
      <c r="P1340" s="50"/>
      <c r="Q1340" s="50"/>
      <c r="R1340" s="50"/>
    </row>
    <row r="1341" spans="1:18" x14ac:dyDescent="0.25">
      <c r="C1341" s="50"/>
      <c r="D1341" s="50"/>
      <c r="E1341" s="50"/>
      <c r="F1341" s="50"/>
      <c r="G1341" s="50"/>
      <c r="H1341" s="50"/>
      <c r="I1341" s="50"/>
      <c r="J1341" s="50"/>
      <c r="K1341" s="50"/>
      <c r="L1341" s="50"/>
      <c r="M1341" s="50"/>
      <c r="N1341" s="50"/>
      <c r="O1341" s="50"/>
      <c r="P1341" s="50"/>
      <c r="Q1341" s="50"/>
      <c r="R1341" s="50"/>
    </row>
    <row r="1342" spans="1:18" x14ac:dyDescent="0.25">
      <c r="A1342" s="41" t="s">
        <v>107</v>
      </c>
      <c r="B1342" s="44"/>
      <c r="C1342" s="51">
        <f t="shared" ref="C1342" si="758">SUM(C1322:C1341)</f>
        <v>48770</v>
      </c>
      <c r="D1342" s="51">
        <f>SUM(D1322:D1341)</f>
        <v>109922</v>
      </c>
      <c r="E1342" s="51">
        <f>SUM(E1322:E1341)</f>
        <v>112783</v>
      </c>
      <c r="F1342" s="51">
        <f t="shared" ref="F1342:R1342" si="759">SUM(F1322:F1341)</f>
        <v>29555</v>
      </c>
      <c r="G1342" s="51">
        <f t="shared" si="759"/>
        <v>41616</v>
      </c>
      <c r="H1342" s="51">
        <f t="shared" si="759"/>
        <v>46387</v>
      </c>
      <c r="I1342" s="51">
        <f t="shared" si="759"/>
        <v>103090</v>
      </c>
      <c r="J1342" s="51">
        <f t="shared" si="759"/>
        <v>75504</v>
      </c>
      <c r="K1342" s="51">
        <f t="shared" si="759"/>
        <v>112361</v>
      </c>
      <c r="L1342" s="51">
        <f t="shared" si="759"/>
        <v>58925</v>
      </c>
      <c r="M1342" s="51">
        <f t="shared" si="759"/>
        <v>121800</v>
      </c>
      <c r="N1342" s="51">
        <f t="shared" si="759"/>
        <v>48628</v>
      </c>
      <c r="O1342" s="51">
        <f t="shared" si="759"/>
        <v>48628</v>
      </c>
      <c r="P1342" s="51">
        <f t="shared" si="759"/>
        <v>48628</v>
      </c>
      <c r="Q1342" s="51">
        <f t="shared" si="759"/>
        <v>48628</v>
      </c>
      <c r="R1342" s="51">
        <f t="shared" si="759"/>
        <v>48628</v>
      </c>
    </row>
    <row r="1343" spans="1:18" x14ac:dyDescent="0.25">
      <c r="C1343" s="50"/>
      <c r="D1343" s="50"/>
      <c r="E1343" s="50"/>
      <c r="F1343" s="50"/>
      <c r="G1343" s="50"/>
      <c r="H1343" s="50"/>
      <c r="I1343" s="50"/>
      <c r="J1343" s="50"/>
      <c r="K1343" s="50"/>
      <c r="L1343" s="50"/>
      <c r="M1343" s="50"/>
      <c r="N1343" s="50"/>
      <c r="O1343" s="50"/>
      <c r="P1343" s="50"/>
      <c r="Q1343" s="50"/>
      <c r="R1343" s="50"/>
    </row>
    <row r="1344" spans="1:18" x14ac:dyDescent="0.25">
      <c r="A1344" s="41" t="s">
        <v>851</v>
      </c>
      <c r="B1344" s="44"/>
      <c r="C1344" s="51">
        <f t="shared" ref="C1344:R1344" si="760">C1342+C1312-C1267-C1318</f>
        <v>185917</v>
      </c>
      <c r="D1344" s="51">
        <f t="shared" si="760"/>
        <v>245873</v>
      </c>
      <c r="E1344" s="51">
        <f t="shared" si="760"/>
        <v>308044</v>
      </c>
      <c r="F1344" s="51">
        <f t="shared" si="760"/>
        <v>301609</v>
      </c>
      <c r="G1344" s="51">
        <f t="shared" si="760"/>
        <v>181947</v>
      </c>
      <c r="H1344" s="51">
        <f t="shared" si="760"/>
        <v>266487</v>
      </c>
      <c r="I1344" s="51">
        <f t="shared" si="760"/>
        <v>328415.59999999998</v>
      </c>
      <c r="J1344" s="51">
        <f t="shared" si="760"/>
        <v>306486.63939999999</v>
      </c>
      <c r="K1344" s="51">
        <f t="shared" si="760"/>
        <v>349288.92572059995</v>
      </c>
      <c r="L1344" s="51">
        <f t="shared" si="760"/>
        <v>301842.70139392378</v>
      </c>
      <c r="M1344" s="51">
        <f t="shared" si="760"/>
        <v>370683.04320793785</v>
      </c>
      <c r="N1344" s="51">
        <f t="shared" si="760"/>
        <v>303700.73576345085</v>
      </c>
      <c r="O1344" s="51">
        <f t="shared" si="760"/>
        <v>310523.03919611941</v>
      </c>
      <c r="P1344" s="51">
        <f t="shared" si="760"/>
        <v>317578.19303864421</v>
      </c>
      <c r="Q1344" s="51">
        <f t="shared" si="760"/>
        <v>324784.28912707273</v>
      </c>
      <c r="R1344" s="51">
        <f t="shared" si="760"/>
        <v>328704.69143111055</v>
      </c>
    </row>
    <row r="1345" spans="1:18" x14ac:dyDescent="0.25">
      <c r="C1345" s="50"/>
      <c r="D1345" s="50"/>
      <c r="E1345" s="50"/>
      <c r="F1345" s="50"/>
      <c r="G1345" s="50"/>
      <c r="H1345" s="50"/>
      <c r="I1345" s="50"/>
      <c r="J1345" s="50"/>
      <c r="K1345" s="50"/>
      <c r="L1345" s="50"/>
      <c r="M1345" s="50"/>
      <c r="N1345" s="50"/>
      <c r="O1345" s="50"/>
      <c r="P1345" s="50"/>
      <c r="Q1345" s="50"/>
      <c r="R1345" s="50"/>
    </row>
    <row r="1346" spans="1:18" x14ac:dyDescent="0.25">
      <c r="A1346" s="41" t="s">
        <v>416</v>
      </c>
      <c r="B1346" s="44"/>
      <c r="C1346" s="50"/>
      <c r="D1346" s="50"/>
      <c r="E1346" s="50"/>
      <c r="F1346" s="50"/>
      <c r="G1346" s="50"/>
      <c r="H1346" s="50"/>
      <c r="I1346" s="50"/>
      <c r="J1346" s="50"/>
      <c r="K1346" s="50"/>
      <c r="L1346" s="50"/>
      <c r="M1346" s="50"/>
      <c r="N1346" s="50"/>
      <c r="O1346" s="50"/>
      <c r="P1346" s="50"/>
      <c r="Q1346" s="50"/>
      <c r="R1346" s="50"/>
    </row>
    <row r="1347" spans="1:18" x14ac:dyDescent="0.25">
      <c r="A1347" s="41"/>
      <c r="B1347" s="44"/>
      <c r="C1347" s="50"/>
      <c r="D1347" s="50"/>
      <c r="E1347" s="50"/>
      <c r="F1347" s="50"/>
      <c r="G1347" s="50"/>
      <c r="H1347" s="50"/>
      <c r="I1347" s="50"/>
      <c r="J1347" s="50"/>
      <c r="K1347" s="50"/>
      <c r="L1347" s="50"/>
      <c r="M1347" s="50"/>
      <c r="N1347" s="50"/>
      <c r="O1347" s="50"/>
      <c r="P1347" s="50"/>
      <c r="Q1347" s="50"/>
      <c r="R1347" s="50"/>
    </row>
    <row r="1348" spans="1:18" x14ac:dyDescent="0.25">
      <c r="A1348" s="41" t="s">
        <v>202</v>
      </c>
      <c r="B1348" s="44"/>
      <c r="C1348" s="50"/>
      <c r="D1348" s="50"/>
      <c r="E1348" s="50"/>
      <c r="F1348" s="50"/>
      <c r="G1348" s="50"/>
      <c r="H1348" s="50"/>
      <c r="I1348" s="50"/>
      <c r="J1348" s="50"/>
      <c r="K1348" s="50"/>
      <c r="L1348" s="50"/>
      <c r="M1348" s="50"/>
      <c r="N1348" s="50"/>
      <c r="O1348" s="50"/>
      <c r="P1348" s="50"/>
      <c r="Q1348" s="50"/>
      <c r="R1348" s="50"/>
    </row>
    <row r="1349" spans="1:18" x14ac:dyDescent="0.25">
      <c r="C1349" s="50"/>
      <c r="D1349" s="50"/>
      <c r="E1349" s="50"/>
      <c r="F1349" s="50"/>
      <c r="G1349" s="50"/>
      <c r="H1349" s="50"/>
      <c r="I1349" s="50"/>
      <c r="J1349" s="50"/>
      <c r="K1349" s="50"/>
      <c r="L1349" s="50"/>
      <c r="M1349" s="50"/>
      <c r="N1349" s="50"/>
      <c r="O1349" s="50"/>
      <c r="P1349" s="50"/>
      <c r="Q1349" s="50"/>
      <c r="R1349" s="50"/>
    </row>
    <row r="1350" spans="1:18" x14ac:dyDescent="0.25">
      <c r="A1350" s="52" t="s">
        <v>422</v>
      </c>
      <c r="B1350" s="53"/>
      <c r="C1350" s="50"/>
      <c r="D1350" s="50"/>
      <c r="E1350" s="50"/>
      <c r="F1350" s="50"/>
      <c r="G1350" s="50"/>
      <c r="H1350" s="50"/>
      <c r="I1350" s="50"/>
      <c r="J1350" s="50"/>
      <c r="K1350" s="50"/>
      <c r="L1350" s="50"/>
      <c r="M1350" s="50"/>
      <c r="N1350" s="50"/>
      <c r="O1350" s="50"/>
      <c r="P1350" s="50"/>
      <c r="Q1350" s="50"/>
      <c r="R1350" s="50"/>
    </row>
    <row r="1351" spans="1:18" s="43" customFormat="1" x14ac:dyDescent="0.25">
      <c r="A1351" s="43" t="s">
        <v>852</v>
      </c>
      <c r="B1351" s="42"/>
      <c r="C1351" s="50">
        <v>0</v>
      </c>
      <c r="D1351" s="54"/>
      <c r="E1351" s="54"/>
      <c r="F1351" s="54"/>
      <c r="G1351" s="54"/>
      <c r="H1351" s="54">
        <v>22500</v>
      </c>
      <c r="I1351" s="54">
        <f>H1351*1.023</f>
        <v>23017.499999999996</v>
      </c>
      <c r="J1351" s="54">
        <f>I1351*1.024</f>
        <v>23569.919999999998</v>
      </c>
      <c r="K1351" s="54">
        <f>J1351*1.024</f>
        <v>24135.59808</v>
      </c>
      <c r="L1351" s="54">
        <f>K1351*1.023</f>
        <v>24690.716835839998</v>
      </c>
      <c r="M1351" s="54">
        <f>L1351*1.022</f>
        <v>25233.912606228478</v>
      </c>
      <c r="N1351" s="54">
        <f>M1351*1.023</f>
        <v>25814.29259617173</v>
      </c>
      <c r="O1351" s="54">
        <f>N1351*1.025</f>
        <v>26459.64991107602</v>
      </c>
      <c r="P1351" s="54">
        <f>O1351*1.025</f>
        <v>27121.141158852919</v>
      </c>
      <c r="Q1351" s="54">
        <f>P1351*1.024</f>
        <v>27772.048546665388</v>
      </c>
      <c r="R1351" s="54">
        <f>Q1351*1.024</f>
        <v>28438.577711785358</v>
      </c>
    </row>
    <row r="1352" spans="1:18" x14ac:dyDescent="0.25">
      <c r="A1352" s="41"/>
      <c r="B1352" s="44"/>
      <c r="C1352" s="50"/>
      <c r="D1352" s="50"/>
      <c r="E1352" s="50"/>
      <c r="F1352" s="50"/>
      <c r="G1352" s="50"/>
      <c r="H1352" s="50"/>
      <c r="I1352" s="50"/>
      <c r="J1352" s="50"/>
      <c r="K1352" s="50"/>
      <c r="L1352" s="50"/>
      <c r="M1352" s="50"/>
      <c r="N1352" s="50"/>
      <c r="O1352" s="50"/>
      <c r="P1352" s="50"/>
      <c r="Q1352" s="50"/>
      <c r="R1352" s="50"/>
    </row>
    <row r="1353" spans="1:18" x14ac:dyDescent="0.25">
      <c r="A1353" s="41" t="s">
        <v>216</v>
      </c>
      <c r="B1353" s="44"/>
      <c r="C1353" s="51">
        <f t="shared" ref="C1353" si="761">SUM(C1350:C1352)</f>
        <v>0</v>
      </c>
      <c r="D1353" s="51">
        <f t="shared" ref="D1353:E1353" si="762">SUM(D1350:D1352)</f>
        <v>0</v>
      </c>
      <c r="E1353" s="51">
        <f t="shared" si="762"/>
        <v>0</v>
      </c>
      <c r="F1353" s="51">
        <v>0</v>
      </c>
      <c r="G1353" s="51">
        <v>0</v>
      </c>
      <c r="H1353" s="51">
        <f t="shared" ref="H1353:P1353" si="763">SUM(H1350:H1352)</f>
        <v>22500</v>
      </c>
      <c r="I1353" s="51">
        <f t="shared" si="763"/>
        <v>23017.499999999996</v>
      </c>
      <c r="J1353" s="51">
        <f t="shared" si="763"/>
        <v>23569.919999999998</v>
      </c>
      <c r="K1353" s="51">
        <f t="shared" si="763"/>
        <v>24135.59808</v>
      </c>
      <c r="L1353" s="51">
        <f t="shared" si="763"/>
        <v>24690.716835839998</v>
      </c>
      <c r="M1353" s="51">
        <f t="shared" si="763"/>
        <v>25233.912606228478</v>
      </c>
      <c r="N1353" s="51">
        <f t="shared" si="763"/>
        <v>25814.29259617173</v>
      </c>
      <c r="O1353" s="51">
        <f t="shared" si="763"/>
        <v>26459.64991107602</v>
      </c>
      <c r="P1353" s="51">
        <f t="shared" si="763"/>
        <v>27121.141158852919</v>
      </c>
      <c r="Q1353" s="51">
        <f>SUM(Q1350:Q1352)</f>
        <v>27772.048546665388</v>
      </c>
      <c r="R1353" s="51">
        <f>SUM(R1350:R1352)</f>
        <v>28438.577711785358</v>
      </c>
    </row>
    <row r="1354" spans="1:18" x14ac:dyDescent="0.25">
      <c r="C1354" s="50"/>
      <c r="D1354" s="50"/>
      <c r="E1354" s="50"/>
      <c r="F1354" s="50"/>
      <c r="G1354" s="50"/>
      <c r="H1354" s="50"/>
      <c r="I1354" s="50"/>
      <c r="J1354" s="50"/>
      <c r="K1354" s="50"/>
      <c r="L1354" s="50"/>
      <c r="M1354" s="50"/>
      <c r="N1354" s="50"/>
      <c r="O1354" s="50"/>
      <c r="P1354" s="50"/>
      <c r="Q1354" s="50"/>
      <c r="R1354" s="50"/>
    </row>
    <row r="1355" spans="1:18" x14ac:dyDescent="0.25">
      <c r="A1355" s="41" t="s">
        <v>165</v>
      </c>
      <c r="B1355" s="44"/>
      <c r="C1355" s="50"/>
      <c r="D1355" s="50"/>
      <c r="E1355" s="50"/>
      <c r="F1355" s="50"/>
      <c r="G1355" s="50"/>
      <c r="H1355" s="50"/>
      <c r="I1355" s="50"/>
      <c r="J1355" s="50"/>
      <c r="K1355" s="50"/>
      <c r="L1355" s="50"/>
      <c r="M1355" s="50"/>
      <c r="N1355" s="50"/>
      <c r="O1355" s="50"/>
      <c r="P1355" s="50"/>
      <c r="Q1355" s="50"/>
      <c r="R1355" s="50"/>
    </row>
    <row r="1356" spans="1:18" x14ac:dyDescent="0.25">
      <c r="C1356" s="50"/>
      <c r="D1356" s="50"/>
      <c r="E1356" s="50"/>
      <c r="F1356" s="50"/>
      <c r="G1356" s="50"/>
      <c r="H1356" s="50"/>
      <c r="I1356" s="50"/>
      <c r="J1356" s="50"/>
      <c r="K1356" s="50"/>
      <c r="L1356" s="50"/>
      <c r="M1356" s="50"/>
      <c r="N1356" s="50"/>
      <c r="O1356" s="50"/>
      <c r="P1356" s="50"/>
      <c r="Q1356" s="50"/>
      <c r="R1356" s="50"/>
    </row>
    <row r="1357" spans="1:18" x14ac:dyDescent="0.25">
      <c r="A1357" s="52" t="s">
        <v>451</v>
      </c>
      <c r="B1357" s="53"/>
      <c r="C1357" s="50"/>
      <c r="D1357" s="50"/>
      <c r="E1357" s="50"/>
      <c r="F1357" s="50"/>
      <c r="G1357" s="50"/>
      <c r="H1357" s="50"/>
      <c r="I1357" s="50"/>
      <c r="J1357" s="50"/>
      <c r="K1357" s="50"/>
      <c r="L1357" s="50"/>
      <c r="M1357" s="50"/>
      <c r="N1357" s="50"/>
      <c r="O1357" s="50"/>
      <c r="P1357" s="50"/>
      <c r="Q1357" s="50"/>
      <c r="R1357" s="50"/>
    </row>
    <row r="1358" spans="1:18" x14ac:dyDescent="0.25">
      <c r="A1358" s="43" t="s">
        <v>853</v>
      </c>
      <c r="B1358" s="53"/>
      <c r="C1358" s="50"/>
      <c r="D1358" s="50"/>
      <c r="E1358" s="50"/>
      <c r="F1358" s="50"/>
      <c r="G1358" s="50"/>
      <c r="H1358" s="50"/>
      <c r="I1358" s="50"/>
      <c r="J1358" s="50"/>
      <c r="K1358" s="50"/>
      <c r="L1358" s="50"/>
      <c r="M1358" s="50"/>
      <c r="N1358" s="50"/>
      <c r="O1358" s="50"/>
      <c r="P1358" s="50"/>
      <c r="Q1358" s="50"/>
      <c r="R1358" s="50"/>
    </row>
    <row r="1359" spans="1:18" x14ac:dyDescent="0.25">
      <c r="A1359" s="52" t="s">
        <v>854</v>
      </c>
      <c r="B1359" s="53"/>
      <c r="C1359" s="54">
        <v>95093</v>
      </c>
      <c r="D1359" s="43">
        <v>92106</v>
      </c>
      <c r="E1359" s="43">
        <v>89696</v>
      </c>
      <c r="F1359" s="43">
        <v>91485</v>
      </c>
      <c r="G1359" s="43">
        <v>93961</v>
      </c>
      <c r="H1359" s="43">
        <v>96900</v>
      </c>
      <c r="I1359" s="50">
        <f>H1359*1.025</f>
        <v>99322.499999999985</v>
      </c>
      <c r="J1359" s="50">
        <f>I1359*1.029</f>
        <v>102202.85249999998</v>
      </c>
      <c r="K1359" s="54">
        <f>J1359*1.031</f>
        <v>105371.14092749998</v>
      </c>
      <c r="L1359" s="54">
        <f>K1359*1.033</f>
        <v>108848.38857810746</v>
      </c>
      <c r="M1359" s="54">
        <f>L1359*1.032</f>
        <v>112331.5370126069</v>
      </c>
      <c r="N1359" s="54">
        <f>M1359*1.03</f>
        <v>115701.48312298511</v>
      </c>
      <c r="O1359" s="54">
        <f>N1359*1.032</f>
        <v>119403.93058292064</v>
      </c>
      <c r="P1359" s="54">
        <f t="shared" ref="P1359:R1360" si="764">O1359*1.034</f>
        <v>123463.66422273994</v>
      </c>
      <c r="Q1359" s="54">
        <f t="shared" si="764"/>
        <v>127661.42880631311</v>
      </c>
      <c r="R1359" s="54">
        <f t="shared" si="764"/>
        <v>132001.91738572775</v>
      </c>
    </row>
    <row r="1360" spans="1:18" x14ac:dyDescent="0.25">
      <c r="A1360" s="43" t="s">
        <v>220</v>
      </c>
      <c r="C1360" s="50">
        <v>5723</v>
      </c>
      <c r="D1360" s="54">
        <v>12699</v>
      </c>
      <c r="E1360" s="43">
        <v>7684</v>
      </c>
      <c r="F1360" s="54">
        <v>8111</v>
      </c>
      <c r="G1360" s="54">
        <v>8983</v>
      </c>
      <c r="H1360" s="54">
        <v>9200</v>
      </c>
      <c r="I1360" s="50">
        <f>H1360*1.025</f>
        <v>9430</v>
      </c>
      <c r="J1360" s="50">
        <f>I1360*1.029</f>
        <v>9703.4699999999993</v>
      </c>
      <c r="K1360" s="54">
        <f>J1360*1.031</f>
        <v>10004.277569999998</v>
      </c>
      <c r="L1360" s="54">
        <f>K1360*1.033</f>
        <v>10334.418729809997</v>
      </c>
      <c r="M1360" s="54">
        <f>L1360*1.032</f>
        <v>10665.120129163917</v>
      </c>
      <c r="N1360" s="54">
        <f>M1360*1.03</f>
        <v>10985.073733038835</v>
      </c>
      <c r="O1360" s="54">
        <f>N1360*1.032</f>
        <v>11336.596092496078</v>
      </c>
      <c r="P1360" s="54">
        <f t="shared" si="764"/>
        <v>11722.040359640945</v>
      </c>
      <c r="Q1360" s="54">
        <f t="shared" si="764"/>
        <v>12120.589731868738</v>
      </c>
      <c r="R1360" s="54">
        <f t="shared" si="764"/>
        <v>12532.689782752275</v>
      </c>
    </row>
    <row r="1361" spans="1:18" x14ac:dyDescent="0.25">
      <c r="A1361" s="52" t="s">
        <v>855</v>
      </c>
      <c r="B1361" s="53"/>
      <c r="C1361" s="59"/>
      <c r="D1361" s="50">
        <v>34030</v>
      </c>
      <c r="E1361" s="64">
        <v>34802</v>
      </c>
      <c r="F1361" s="50"/>
      <c r="G1361" s="50"/>
      <c r="H1361" s="50"/>
      <c r="I1361" s="50"/>
      <c r="J1361" s="50"/>
      <c r="K1361" s="50"/>
      <c r="L1361" s="50"/>
      <c r="M1361" s="50"/>
      <c r="N1361" s="50"/>
      <c r="O1361" s="50"/>
      <c r="P1361" s="50"/>
      <c r="Q1361" s="50"/>
      <c r="R1361" s="50"/>
    </row>
    <row r="1362" spans="1:18" x14ac:dyDescent="0.25">
      <c r="A1362" s="150" t="s">
        <v>856</v>
      </c>
      <c r="B1362" s="127" t="s">
        <v>468</v>
      </c>
      <c r="C1362" s="194">
        <v>46045</v>
      </c>
      <c r="D1362" s="133">
        <v>46794</v>
      </c>
      <c r="E1362" s="133">
        <v>47968</v>
      </c>
      <c r="F1362" s="133">
        <v>48279</v>
      </c>
      <c r="G1362" s="133">
        <v>50641</v>
      </c>
      <c r="H1362" s="133">
        <v>52045</v>
      </c>
      <c r="I1362" s="133">
        <v>53294</v>
      </c>
      <c r="J1362" s="133">
        <v>54786</v>
      </c>
      <c r="K1362" s="133">
        <v>56210</v>
      </c>
      <c r="L1362" s="133">
        <v>57672</v>
      </c>
      <c r="M1362" s="195">
        <v>58653</v>
      </c>
      <c r="N1362" s="195">
        <v>60061</v>
      </c>
      <c r="O1362" s="195">
        <v>61562.524999999994</v>
      </c>
      <c r="P1362" s="195">
        <v>63101.588124999987</v>
      </c>
      <c r="Q1362" s="195">
        <v>63101.588124999987</v>
      </c>
      <c r="R1362" s="195">
        <v>63101.588124999987</v>
      </c>
    </row>
    <row r="1363" spans="1:18" x14ac:dyDescent="0.25">
      <c r="A1363" s="196" t="s">
        <v>857</v>
      </c>
      <c r="B1363" s="132" t="s">
        <v>487</v>
      </c>
      <c r="C1363" s="50"/>
      <c r="D1363" s="50"/>
      <c r="E1363" s="50"/>
      <c r="F1363" s="50"/>
      <c r="G1363" s="50">
        <v>0</v>
      </c>
      <c r="H1363" s="50"/>
      <c r="I1363" s="50"/>
      <c r="J1363" s="50"/>
      <c r="K1363" s="50"/>
      <c r="L1363" s="50"/>
      <c r="M1363" s="50"/>
    </row>
    <row r="1364" spans="1:18" x14ac:dyDescent="0.25">
      <c r="A1364" s="196" t="s">
        <v>858</v>
      </c>
      <c r="B1364" s="132" t="s">
        <v>487</v>
      </c>
      <c r="C1364" s="50"/>
      <c r="D1364" s="133">
        <v>4834</v>
      </c>
      <c r="E1364" s="133">
        <v>6600</v>
      </c>
      <c r="F1364" s="133">
        <v>0</v>
      </c>
      <c r="G1364" s="50">
        <v>1152</v>
      </c>
      <c r="H1364" s="50"/>
      <c r="I1364" s="134">
        <v>5793</v>
      </c>
      <c r="J1364" s="50"/>
      <c r="K1364" s="50"/>
      <c r="L1364" s="134">
        <v>6269</v>
      </c>
      <c r="M1364" s="50"/>
      <c r="O1364" s="195">
        <v>6705</v>
      </c>
    </row>
    <row r="1365" spans="1:18" x14ac:dyDescent="0.25">
      <c r="A1365" s="196" t="s">
        <v>859</v>
      </c>
      <c r="B1365" s="132" t="s">
        <v>487</v>
      </c>
      <c r="C1365" s="50"/>
      <c r="D1365" s="133">
        <v>0</v>
      </c>
      <c r="E1365" s="50"/>
      <c r="F1365" s="50"/>
      <c r="G1365" s="134">
        <v>1920</v>
      </c>
      <c r="H1365" s="50"/>
      <c r="I1365" s="50"/>
      <c r="J1365" s="134">
        <v>5995</v>
      </c>
      <c r="K1365" s="50"/>
      <c r="L1365" s="50"/>
      <c r="M1365" s="195">
        <v>6375</v>
      </c>
      <c r="P1365" s="195">
        <v>6845</v>
      </c>
      <c r="Q1365" s="195">
        <v>6845</v>
      </c>
      <c r="R1365" s="195">
        <v>6845</v>
      </c>
    </row>
    <row r="1366" spans="1:18" x14ac:dyDescent="0.25">
      <c r="A1366" s="196" t="s">
        <v>860</v>
      </c>
      <c r="B1366" s="132" t="s">
        <v>487</v>
      </c>
      <c r="C1366" s="50"/>
      <c r="D1366" s="50"/>
      <c r="E1366" s="50"/>
      <c r="F1366" s="133">
        <v>0</v>
      </c>
      <c r="G1366" s="50">
        <v>1920</v>
      </c>
      <c r="H1366" s="50"/>
      <c r="I1366" s="50"/>
      <c r="J1366" s="50"/>
      <c r="K1366" s="134">
        <v>6110</v>
      </c>
      <c r="L1366" s="50"/>
      <c r="M1366" s="50"/>
      <c r="P1366" s="195">
        <v>6852</v>
      </c>
      <c r="Q1366" s="195">
        <v>6852</v>
      </c>
      <c r="R1366" s="195">
        <v>6852</v>
      </c>
    </row>
    <row r="1367" spans="1:18" x14ac:dyDescent="0.25">
      <c r="A1367" s="196" t="s">
        <v>861</v>
      </c>
      <c r="B1367" s="132" t="s">
        <v>487</v>
      </c>
      <c r="C1367" s="50"/>
      <c r="D1367" s="50"/>
      <c r="E1367" s="134">
        <v>7279</v>
      </c>
      <c r="F1367" s="50"/>
      <c r="G1367" s="50">
        <v>0</v>
      </c>
      <c r="H1367" s="134">
        <v>5657</v>
      </c>
      <c r="I1367" s="50"/>
      <c r="J1367" s="50"/>
      <c r="K1367" s="134">
        <v>6110</v>
      </c>
      <c r="L1367" s="50"/>
      <c r="M1367" s="50"/>
      <c r="N1367" s="197">
        <v>6535</v>
      </c>
    </row>
    <row r="1368" spans="1:18" x14ac:dyDescent="0.25">
      <c r="A1368" s="196" t="s">
        <v>862</v>
      </c>
      <c r="B1368" s="132" t="s">
        <v>487</v>
      </c>
      <c r="C1368" s="50"/>
      <c r="D1368" s="50"/>
      <c r="E1368" s="134">
        <v>0</v>
      </c>
      <c r="F1368" s="50"/>
      <c r="G1368" s="50">
        <v>1920</v>
      </c>
      <c r="H1368" s="134">
        <v>5657</v>
      </c>
      <c r="I1368" s="50"/>
      <c r="J1368" s="50"/>
      <c r="K1368" s="134">
        <v>6110</v>
      </c>
      <c r="L1368" s="50"/>
      <c r="M1368" s="50"/>
      <c r="N1368" s="197">
        <v>6535</v>
      </c>
    </row>
    <row r="1369" spans="1:18" x14ac:dyDescent="0.25">
      <c r="A1369" s="196" t="s">
        <v>863</v>
      </c>
      <c r="B1369" s="132" t="s">
        <v>487</v>
      </c>
      <c r="C1369" s="50"/>
      <c r="D1369" s="133">
        <v>6370</v>
      </c>
      <c r="E1369" s="50"/>
      <c r="F1369" s="50"/>
      <c r="G1369" s="134">
        <v>1920</v>
      </c>
      <c r="H1369" s="50"/>
      <c r="I1369" s="50"/>
      <c r="J1369" s="134">
        <v>5995</v>
      </c>
      <c r="K1369" s="50"/>
      <c r="L1369" s="50"/>
      <c r="M1369" s="195">
        <v>6375</v>
      </c>
      <c r="P1369" s="195">
        <v>6845</v>
      </c>
      <c r="Q1369" s="195">
        <v>6845</v>
      </c>
      <c r="R1369" s="195">
        <v>6845</v>
      </c>
    </row>
    <row r="1370" spans="1:18" x14ac:dyDescent="0.25">
      <c r="A1370" s="196" t="s">
        <v>864</v>
      </c>
      <c r="B1370" s="132" t="s">
        <v>487</v>
      </c>
      <c r="C1370" s="50"/>
      <c r="D1370" s="50"/>
      <c r="E1370" s="134">
        <v>3827</v>
      </c>
      <c r="F1370" s="50"/>
      <c r="G1370" s="50">
        <v>0</v>
      </c>
      <c r="H1370" s="134">
        <v>5657</v>
      </c>
      <c r="I1370" s="50"/>
      <c r="J1370" s="50"/>
      <c r="K1370" s="134">
        <v>6110</v>
      </c>
      <c r="L1370" s="50"/>
      <c r="M1370" s="50"/>
      <c r="N1370" s="197">
        <v>6535</v>
      </c>
    </row>
    <row r="1371" spans="1:18" x14ac:dyDescent="0.25">
      <c r="A1371" s="150" t="s">
        <v>865</v>
      </c>
      <c r="B1371" s="127" t="s">
        <v>468</v>
      </c>
      <c r="C1371" s="194">
        <v>27213</v>
      </c>
      <c r="D1371" s="133">
        <v>27372</v>
      </c>
      <c r="E1371" s="133">
        <v>28767</v>
      </c>
      <c r="F1371" s="133">
        <v>30631</v>
      </c>
      <c r="G1371" s="133">
        <v>29661</v>
      </c>
      <c r="H1371" s="133">
        <v>31114</v>
      </c>
      <c r="I1371" s="133">
        <v>31860</v>
      </c>
      <c r="J1371" s="133">
        <v>32752</v>
      </c>
      <c r="K1371" s="133">
        <v>33604</v>
      </c>
      <c r="L1371" s="133">
        <v>34478</v>
      </c>
      <c r="M1371" s="195">
        <v>35065</v>
      </c>
      <c r="N1371" s="195">
        <v>35907</v>
      </c>
      <c r="O1371" s="195">
        <v>36805</v>
      </c>
      <c r="P1371" s="195">
        <v>37725</v>
      </c>
      <c r="Q1371" s="195">
        <v>37725</v>
      </c>
      <c r="R1371" s="195">
        <v>37725</v>
      </c>
    </row>
    <row r="1372" spans="1:18" x14ac:dyDescent="0.25">
      <c r="A1372" s="43" t="s">
        <v>866</v>
      </c>
      <c r="B1372" s="42" t="s">
        <v>867</v>
      </c>
      <c r="C1372" s="59"/>
      <c r="D1372" s="50">
        <v>3090</v>
      </c>
      <c r="E1372" s="50">
        <v>3165</v>
      </c>
      <c r="F1372" s="43">
        <v>3165</v>
      </c>
      <c r="G1372" s="43">
        <v>3730</v>
      </c>
      <c r="H1372" s="43">
        <v>5000</v>
      </c>
      <c r="I1372" s="54">
        <f>H1372*1.023</f>
        <v>5115</v>
      </c>
      <c r="J1372" s="54">
        <f>I1372*1.024</f>
        <v>5237.76</v>
      </c>
      <c r="K1372" s="54">
        <f>J1372*1.024</f>
        <v>5363.4662400000007</v>
      </c>
      <c r="L1372" s="54">
        <f>K1372*1.023</f>
        <v>5486.8259635200002</v>
      </c>
      <c r="M1372" s="54">
        <f>L1372*1.022</f>
        <v>5607.5361347174403</v>
      </c>
      <c r="N1372" s="54">
        <f>M1372*1.023</f>
        <v>5736.5094658159405</v>
      </c>
      <c r="O1372" s="54">
        <f>N1372*1.025</f>
        <v>5879.9222024613382</v>
      </c>
      <c r="P1372" s="54">
        <f>O1372*1.025</f>
        <v>6026.920257522871</v>
      </c>
      <c r="Q1372" s="54">
        <f>P1372*1.024</f>
        <v>6171.56634370342</v>
      </c>
      <c r="R1372" s="54">
        <f>Q1372*1.024</f>
        <v>6319.6839359523019</v>
      </c>
    </row>
    <row r="1373" spans="1:18" x14ac:dyDescent="0.25">
      <c r="A1373" s="43" t="s">
        <v>868</v>
      </c>
      <c r="B1373" s="42" t="s">
        <v>867</v>
      </c>
    </row>
    <row r="1374" spans="1:18" x14ac:dyDescent="0.25">
      <c r="A1374" s="43" t="s">
        <v>869</v>
      </c>
      <c r="B1374" s="42" t="s">
        <v>867</v>
      </c>
    </row>
    <row r="1375" spans="1:18" x14ac:dyDescent="0.25">
      <c r="A1375" s="43" t="s">
        <v>870</v>
      </c>
      <c r="B1375" s="198"/>
      <c r="D1375" s="43">
        <v>52828</v>
      </c>
      <c r="E1375" s="43">
        <v>19029</v>
      </c>
      <c r="F1375" s="43">
        <v>0</v>
      </c>
      <c r="G1375" s="43">
        <v>0</v>
      </c>
      <c r="H1375" s="54">
        <v>45000</v>
      </c>
      <c r="I1375" s="54">
        <f>H1375*1.023</f>
        <v>46034.999999999993</v>
      </c>
      <c r="J1375" s="54">
        <f>I1375*1.024</f>
        <v>47139.839999999997</v>
      </c>
      <c r="K1375" s="54">
        <f>J1375*1.024</f>
        <v>48271.19616</v>
      </c>
      <c r="L1375" s="54">
        <f>K1375*1.023</f>
        <v>49381.433671679995</v>
      </c>
      <c r="M1375" s="54">
        <f>L1375*1.022</f>
        <v>50467.825212456955</v>
      </c>
      <c r="N1375" s="54">
        <f>M1375*1.023</f>
        <v>51628.58519234346</v>
      </c>
      <c r="O1375" s="54">
        <f>N1375*1.025</f>
        <v>52919.299822152039</v>
      </c>
      <c r="P1375" s="54">
        <f>O1375*1.025</f>
        <v>54242.282317705838</v>
      </c>
      <c r="Q1375" s="54">
        <f>P1375*1.024</f>
        <v>55544.097093330776</v>
      </c>
      <c r="R1375" s="54">
        <f>Q1375*1.024</f>
        <v>56877.155423570715</v>
      </c>
    </row>
    <row r="1376" spans="1:18" x14ac:dyDescent="0.25">
      <c r="A1376" s="59" t="s">
        <v>871</v>
      </c>
      <c r="B1376" s="198"/>
      <c r="I1376" s="54"/>
      <c r="J1376" s="54"/>
      <c r="K1376" s="54"/>
      <c r="L1376" s="54"/>
      <c r="M1376" s="54"/>
      <c r="N1376" s="54"/>
      <c r="O1376" s="54"/>
      <c r="P1376" s="54"/>
      <c r="Q1376" s="54"/>
      <c r="R1376" s="54"/>
    </row>
    <row r="1377" spans="1:18" x14ac:dyDescent="0.25">
      <c r="A1377" s="59" t="s">
        <v>872</v>
      </c>
      <c r="B1377" s="198"/>
      <c r="E1377" s="68"/>
      <c r="I1377" s="54"/>
      <c r="J1377" s="54"/>
      <c r="K1377" s="54"/>
      <c r="L1377" s="54"/>
      <c r="M1377" s="54"/>
      <c r="N1377" s="54"/>
      <c r="O1377" s="54"/>
      <c r="P1377" s="54"/>
      <c r="Q1377" s="54"/>
      <c r="R1377" s="54"/>
    </row>
    <row r="1378" spans="1:18" x14ac:dyDescent="0.25">
      <c r="A1378" s="181" t="s">
        <v>806</v>
      </c>
      <c r="B1378" s="198"/>
      <c r="E1378" s="68"/>
      <c r="I1378" s="54"/>
      <c r="J1378" s="54"/>
      <c r="K1378" s="54"/>
      <c r="L1378" s="54"/>
      <c r="M1378" s="54"/>
      <c r="N1378" s="54"/>
      <c r="O1378" s="54"/>
      <c r="P1378" s="54"/>
      <c r="Q1378" s="54"/>
      <c r="R1378" s="54"/>
    </row>
    <row r="1379" spans="1:18" x14ac:dyDescent="0.25">
      <c r="A1379" s="59" t="s">
        <v>808</v>
      </c>
      <c r="B1379" s="198"/>
      <c r="E1379" s="68"/>
      <c r="I1379" s="54"/>
      <c r="J1379" s="54"/>
      <c r="K1379" s="54"/>
      <c r="L1379" s="54"/>
      <c r="M1379" s="54"/>
      <c r="N1379" s="54"/>
      <c r="O1379" s="54"/>
      <c r="P1379" s="54"/>
      <c r="Q1379" s="54"/>
      <c r="R1379" s="54"/>
    </row>
    <row r="1380" spans="1:18" x14ac:dyDescent="0.25">
      <c r="C1380" s="50"/>
      <c r="D1380" s="50"/>
      <c r="E1380" s="50"/>
      <c r="F1380" s="50"/>
      <c r="G1380" s="50"/>
      <c r="H1380" s="50"/>
      <c r="I1380" s="50"/>
      <c r="J1380" s="50"/>
      <c r="K1380" s="50"/>
      <c r="L1380" s="50"/>
      <c r="M1380" s="50"/>
      <c r="N1380" s="50"/>
      <c r="O1380" s="50"/>
      <c r="P1380" s="50"/>
      <c r="Q1380" s="50"/>
      <c r="R1380" s="50"/>
    </row>
    <row r="1381" spans="1:18" x14ac:dyDescent="0.25">
      <c r="A1381" s="41" t="s">
        <v>230</v>
      </c>
      <c r="B1381" s="44"/>
      <c r="C1381" s="51">
        <f t="shared" ref="C1381:Q1381" si="765">SUM(C1357:C1380)</f>
        <v>174074</v>
      </c>
      <c r="D1381" s="51">
        <f t="shared" si="765"/>
        <v>280123</v>
      </c>
      <c r="E1381" s="51">
        <f t="shared" si="765"/>
        <v>248817</v>
      </c>
      <c r="F1381" s="51">
        <f t="shared" ref="F1381:G1381" si="766">SUM(F1357:F1380)</f>
        <v>181671</v>
      </c>
      <c r="G1381" s="51">
        <f t="shared" si="766"/>
        <v>195808</v>
      </c>
      <c r="H1381" s="51">
        <f t="shared" si="765"/>
        <v>256230</v>
      </c>
      <c r="I1381" s="51">
        <f t="shared" si="765"/>
        <v>250849.5</v>
      </c>
      <c r="J1381" s="51">
        <f t="shared" si="765"/>
        <v>263811.92249999999</v>
      </c>
      <c r="K1381" s="51">
        <f t="shared" si="765"/>
        <v>283264.08089749998</v>
      </c>
      <c r="L1381" s="51">
        <f t="shared" si="765"/>
        <v>272470.06694311748</v>
      </c>
      <c r="M1381" s="51">
        <f t="shared" si="765"/>
        <v>285540.01848894521</v>
      </c>
      <c r="N1381" s="51">
        <f t="shared" si="765"/>
        <v>299624.65151418338</v>
      </c>
      <c r="O1381" s="51">
        <f t="shared" si="765"/>
        <v>294612.27370003005</v>
      </c>
      <c r="P1381" s="51">
        <f t="shared" si="765"/>
        <v>316823.4952826096</v>
      </c>
      <c r="Q1381" s="51">
        <f t="shared" si="765"/>
        <v>322866.27010021597</v>
      </c>
      <c r="R1381" s="51">
        <f t="shared" ref="R1381" si="767">SUM(R1357:R1380)</f>
        <v>329100.03465300304</v>
      </c>
    </row>
    <row r="1382" spans="1:18" x14ac:dyDescent="0.25">
      <c r="A1382" s="41"/>
      <c r="B1382" s="44"/>
      <c r="C1382" s="51"/>
      <c r="D1382" s="51"/>
      <c r="E1382" s="51"/>
      <c r="F1382" s="51"/>
      <c r="G1382" s="51"/>
      <c r="H1382" s="51"/>
      <c r="I1382" s="51"/>
      <c r="J1382" s="51"/>
      <c r="K1382" s="51"/>
      <c r="L1382" s="51"/>
      <c r="M1382" s="51"/>
      <c r="N1382" s="51"/>
      <c r="O1382" s="51"/>
      <c r="P1382" s="51"/>
      <c r="Q1382" s="51"/>
      <c r="R1382" s="51"/>
    </row>
    <row r="1383" spans="1:18" x14ac:dyDescent="0.25">
      <c r="A1383" s="41" t="s">
        <v>251</v>
      </c>
      <c r="B1383" s="44"/>
      <c r="C1383" s="51"/>
      <c r="D1383" s="51"/>
      <c r="E1383" s="51"/>
      <c r="F1383" s="51"/>
      <c r="G1383" s="51"/>
      <c r="H1383" s="51"/>
      <c r="I1383" s="51"/>
      <c r="J1383" s="51"/>
      <c r="K1383" s="51"/>
      <c r="L1383" s="51"/>
      <c r="M1383" s="51"/>
      <c r="N1383" s="51"/>
      <c r="O1383" s="51"/>
      <c r="P1383" s="51"/>
      <c r="Q1383" s="51"/>
      <c r="R1383" s="51"/>
    </row>
    <row r="1384" spans="1:18" x14ac:dyDescent="0.25">
      <c r="B1384" s="44"/>
      <c r="C1384" s="51"/>
      <c r="D1384" s="51"/>
      <c r="E1384" s="51"/>
      <c r="F1384" s="51"/>
      <c r="G1384" s="51"/>
      <c r="H1384" s="51"/>
      <c r="I1384" s="51"/>
      <c r="J1384" s="51"/>
      <c r="K1384" s="51"/>
      <c r="L1384" s="51"/>
      <c r="M1384" s="51"/>
      <c r="N1384" s="51"/>
      <c r="O1384" s="51"/>
      <c r="P1384" s="51"/>
      <c r="Q1384" s="51"/>
      <c r="R1384" s="51"/>
    </row>
    <row r="1385" spans="1:18" x14ac:dyDescent="0.25">
      <c r="A1385" s="61" t="s">
        <v>873</v>
      </c>
      <c r="B1385" s="129" t="s">
        <v>245</v>
      </c>
      <c r="C1385" s="51"/>
      <c r="D1385" s="61">
        <v>34030</v>
      </c>
      <c r="E1385" s="61">
        <v>34802</v>
      </c>
      <c r="F1385" s="52"/>
      <c r="G1385" s="52"/>
      <c r="H1385" s="52"/>
      <c r="I1385" s="51"/>
      <c r="J1385" s="51"/>
      <c r="K1385" s="51"/>
      <c r="L1385" s="51"/>
      <c r="M1385" s="51"/>
      <c r="N1385" s="51"/>
      <c r="O1385" s="51"/>
      <c r="P1385" s="51"/>
      <c r="Q1385" s="51"/>
      <c r="R1385" s="51"/>
    </row>
    <row r="1386" spans="1:18" x14ac:dyDescent="0.25">
      <c r="B1386" s="44"/>
      <c r="C1386" s="51"/>
      <c r="D1386" s="51"/>
      <c r="E1386" s="51"/>
      <c r="F1386" s="51"/>
      <c r="G1386" s="51"/>
      <c r="H1386" s="51"/>
      <c r="I1386" s="51"/>
      <c r="J1386" s="51"/>
      <c r="K1386" s="51"/>
      <c r="L1386" s="51"/>
      <c r="M1386" s="51"/>
      <c r="N1386" s="51"/>
      <c r="O1386" s="51"/>
      <c r="P1386" s="51"/>
      <c r="Q1386" s="51"/>
      <c r="R1386" s="51"/>
    </row>
    <row r="1387" spans="1:18" x14ac:dyDescent="0.25">
      <c r="A1387" s="41" t="s">
        <v>254</v>
      </c>
      <c r="B1387" s="44"/>
      <c r="C1387" s="51"/>
      <c r="D1387" s="51">
        <f t="shared" ref="D1387" si="768">SUM(D1384:D1386)</f>
        <v>34030</v>
      </c>
      <c r="E1387" s="51">
        <f>SUM(E1384:E1386)</f>
        <v>34802</v>
      </c>
      <c r="F1387" s="51">
        <v>0</v>
      </c>
      <c r="G1387" s="51">
        <v>0</v>
      </c>
      <c r="H1387" s="51">
        <v>0</v>
      </c>
      <c r="I1387" s="51">
        <v>0</v>
      </c>
      <c r="J1387" s="51">
        <v>0</v>
      </c>
      <c r="K1387" s="51">
        <v>0</v>
      </c>
      <c r="L1387" s="51">
        <v>0</v>
      </c>
      <c r="M1387" s="51">
        <v>0</v>
      </c>
      <c r="N1387" s="51">
        <v>0</v>
      </c>
      <c r="O1387" s="51">
        <v>0</v>
      </c>
      <c r="P1387" s="51">
        <v>0</v>
      </c>
      <c r="Q1387" s="51">
        <f t="shared" ref="Q1387:R1387" si="769">SUM(Q1384:Q1386)</f>
        <v>0</v>
      </c>
      <c r="R1387" s="51">
        <f t="shared" si="769"/>
        <v>0</v>
      </c>
    </row>
    <row r="1388" spans="1:18" x14ac:dyDescent="0.25">
      <c r="B1388" s="44"/>
      <c r="C1388" s="51"/>
      <c r="D1388" s="51"/>
      <c r="E1388" s="51"/>
      <c r="F1388" s="51"/>
      <c r="G1388" s="51"/>
      <c r="H1388" s="51"/>
      <c r="I1388" s="51"/>
      <c r="J1388" s="51"/>
      <c r="K1388" s="51"/>
      <c r="L1388" s="51"/>
      <c r="M1388" s="51"/>
      <c r="N1388" s="51"/>
      <c r="O1388" s="51"/>
      <c r="P1388" s="51"/>
      <c r="Q1388" s="51"/>
      <c r="R1388" s="51"/>
    </row>
    <row r="1389" spans="1:18" x14ac:dyDescent="0.25">
      <c r="A1389" s="41" t="s">
        <v>171</v>
      </c>
      <c r="B1389" s="44"/>
      <c r="C1389" s="51"/>
      <c r="D1389" s="51"/>
      <c r="E1389" s="51"/>
      <c r="F1389" s="51"/>
      <c r="G1389" s="51"/>
      <c r="H1389" s="51"/>
      <c r="I1389" s="51"/>
      <c r="J1389" s="51"/>
      <c r="K1389" s="51"/>
      <c r="L1389" s="51"/>
      <c r="M1389" s="51"/>
      <c r="N1389" s="51"/>
      <c r="O1389" s="51"/>
      <c r="P1389" s="51"/>
      <c r="Q1389" s="51"/>
      <c r="R1389" s="51"/>
    </row>
    <row r="1390" spans="1:18" x14ac:dyDescent="0.25">
      <c r="B1390" s="44"/>
      <c r="C1390" s="51"/>
      <c r="D1390" s="51"/>
      <c r="E1390" s="51"/>
      <c r="F1390" s="51"/>
      <c r="G1390" s="51"/>
      <c r="H1390" s="51"/>
      <c r="I1390" s="51"/>
      <c r="J1390" s="51"/>
      <c r="K1390" s="51"/>
      <c r="L1390" s="51"/>
      <c r="M1390" s="51"/>
      <c r="N1390" s="51"/>
      <c r="O1390" s="51"/>
      <c r="P1390" s="51"/>
      <c r="Q1390" s="51"/>
      <c r="R1390" s="51"/>
    </row>
    <row r="1391" spans="1:18" x14ac:dyDescent="0.25">
      <c r="A1391" s="61" t="s">
        <v>874</v>
      </c>
      <c r="B1391" s="129" t="s">
        <v>245</v>
      </c>
      <c r="C1391" s="51"/>
      <c r="D1391" s="61"/>
      <c r="E1391" s="61"/>
      <c r="F1391" s="52"/>
      <c r="G1391" s="52"/>
      <c r="H1391" s="52"/>
      <c r="I1391" s="51"/>
      <c r="J1391" s="51"/>
      <c r="K1391" s="51"/>
      <c r="L1391" s="51"/>
      <c r="M1391" s="51"/>
      <c r="N1391" s="51"/>
      <c r="O1391" s="51"/>
      <c r="P1391" s="51"/>
      <c r="Q1391" s="51"/>
      <c r="R1391" s="51"/>
    </row>
    <row r="1392" spans="1:18" x14ac:dyDescent="0.25">
      <c r="A1392" s="41"/>
      <c r="B1392" s="44"/>
      <c r="C1392" s="51"/>
      <c r="D1392" s="51"/>
      <c r="E1392" s="51"/>
      <c r="F1392" s="51"/>
      <c r="G1392" s="51"/>
      <c r="H1392" s="51"/>
      <c r="I1392" s="51"/>
      <c r="J1392" s="51"/>
      <c r="K1392" s="51"/>
      <c r="L1392" s="51"/>
      <c r="M1392" s="51"/>
      <c r="N1392" s="51"/>
      <c r="O1392" s="51"/>
      <c r="P1392" s="51"/>
      <c r="Q1392" s="51"/>
      <c r="R1392" s="51"/>
    </row>
    <row r="1393" spans="1:18" x14ac:dyDescent="0.25">
      <c r="A1393" s="41" t="s">
        <v>107</v>
      </c>
      <c r="B1393" s="44"/>
      <c r="C1393" s="51"/>
      <c r="D1393" s="51">
        <f t="shared" ref="D1393" si="770">SUM(D1390:D1392)</f>
        <v>0</v>
      </c>
      <c r="E1393" s="51">
        <f>SUM(E1390:E1392)</f>
        <v>0</v>
      </c>
      <c r="F1393" s="51">
        <v>0</v>
      </c>
      <c r="G1393" s="51">
        <v>0</v>
      </c>
      <c r="H1393" s="51">
        <v>0</v>
      </c>
      <c r="I1393" s="51">
        <v>0</v>
      </c>
      <c r="J1393" s="51">
        <v>0</v>
      </c>
      <c r="K1393" s="51">
        <v>0</v>
      </c>
      <c r="L1393" s="51">
        <v>0</v>
      </c>
      <c r="M1393" s="51">
        <v>0</v>
      </c>
      <c r="N1393" s="51">
        <v>0</v>
      </c>
      <c r="O1393" s="51">
        <v>0</v>
      </c>
      <c r="P1393" s="51">
        <v>0</v>
      </c>
      <c r="Q1393" s="51">
        <f t="shared" ref="Q1393:R1393" si="771">SUM(Q1390:Q1392)</f>
        <v>0</v>
      </c>
      <c r="R1393" s="51">
        <f t="shared" si="771"/>
        <v>0</v>
      </c>
    </row>
    <row r="1394" spans="1:18" x14ac:dyDescent="0.25">
      <c r="A1394" s="41"/>
      <c r="B1394" s="44"/>
      <c r="C1394" s="51"/>
      <c r="D1394" s="51"/>
      <c r="E1394" s="51"/>
      <c r="F1394" s="51"/>
      <c r="G1394" s="51"/>
      <c r="H1394" s="51"/>
      <c r="I1394" s="51"/>
      <c r="J1394" s="51"/>
      <c r="K1394" s="51"/>
      <c r="L1394" s="51"/>
      <c r="M1394" s="51"/>
      <c r="N1394" s="51"/>
      <c r="O1394" s="51"/>
      <c r="P1394" s="51"/>
      <c r="Q1394" s="51"/>
      <c r="R1394" s="51"/>
    </row>
    <row r="1395" spans="1:18" x14ac:dyDescent="0.25">
      <c r="C1395" s="50"/>
      <c r="D1395" s="50"/>
      <c r="E1395" s="50"/>
      <c r="F1395" s="50"/>
      <c r="G1395" s="50"/>
      <c r="H1395" s="50"/>
      <c r="I1395" s="50"/>
      <c r="J1395" s="50"/>
      <c r="K1395" s="50"/>
      <c r="L1395" s="50"/>
      <c r="M1395" s="50"/>
      <c r="N1395" s="50"/>
      <c r="O1395" s="50"/>
      <c r="P1395" s="50"/>
      <c r="Q1395" s="50"/>
      <c r="R1395" s="50"/>
    </row>
    <row r="1396" spans="1:18" x14ac:dyDescent="0.25">
      <c r="A1396" s="41" t="s">
        <v>637</v>
      </c>
      <c r="B1396" s="44"/>
      <c r="C1396" s="51">
        <f>C1381-C1353</f>
        <v>174074</v>
      </c>
      <c r="D1396" s="51">
        <f>D1381-D1353+D1391-D1387</f>
        <v>246093</v>
      </c>
      <c r="E1396" s="51">
        <f t="shared" ref="E1396:R1396" si="772">E1381-E1353+E1391-E1387</f>
        <v>214015</v>
      </c>
      <c r="F1396" s="51">
        <f t="shared" si="772"/>
        <v>181671</v>
      </c>
      <c r="G1396" s="51">
        <f t="shared" si="772"/>
        <v>195808</v>
      </c>
      <c r="H1396" s="51">
        <f t="shared" si="772"/>
        <v>233730</v>
      </c>
      <c r="I1396" s="51">
        <f t="shared" si="772"/>
        <v>227832</v>
      </c>
      <c r="J1396" s="51">
        <f t="shared" si="772"/>
        <v>240242.0025</v>
      </c>
      <c r="K1396" s="51">
        <f t="shared" si="772"/>
        <v>259128.48281749999</v>
      </c>
      <c r="L1396" s="51">
        <f t="shared" si="772"/>
        <v>247779.35010727748</v>
      </c>
      <c r="M1396" s="51">
        <f t="shared" si="772"/>
        <v>260306.10588271671</v>
      </c>
      <c r="N1396" s="51">
        <f t="shared" si="772"/>
        <v>273810.35891801165</v>
      </c>
      <c r="O1396" s="51">
        <f t="shared" si="772"/>
        <v>268152.62378895405</v>
      </c>
      <c r="P1396" s="51">
        <f t="shared" si="772"/>
        <v>289702.3541237567</v>
      </c>
      <c r="Q1396" s="51">
        <f t="shared" si="772"/>
        <v>295094.22155355057</v>
      </c>
      <c r="R1396" s="51">
        <f t="shared" si="772"/>
        <v>300661.45694121765</v>
      </c>
    </row>
    <row r="1397" spans="1:18" x14ac:dyDescent="0.25">
      <c r="A1397" s="41"/>
      <c r="B1397" s="44"/>
      <c r="C1397" s="51"/>
      <c r="D1397" s="51"/>
      <c r="E1397" s="51"/>
      <c r="F1397" s="51"/>
      <c r="G1397" s="51"/>
      <c r="H1397" s="51"/>
      <c r="I1397" s="51"/>
      <c r="J1397" s="51"/>
      <c r="K1397" s="51"/>
      <c r="L1397" s="51"/>
      <c r="M1397" s="51"/>
      <c r="N1397" s="51"/>
      <c r="O1397" s="51"/>
      <c r="P1397" s="51"/>
      <c r="Q1397" s="51"/>
      <c r="R1397" s="51"/>
    </row>
    <row r="1398" spans="1:18" x14ac:dyDescent="0.25">
      <c r="C1398" s="50"/>
      <c r="D1398" s="50"/>
      <c r="E1398" s="50"/>
      <c r="F1398" s="50"/>
      <c r="G1398" s="50"/>
      <c r="H1398" s="50"/>
      <c r="I1398" s="50"/>
      <c r="J1398" s="50"/>
      <c r="K1398" s="50"/>
      <c r="L1398" s="50"/>
      <c r="M1398" s="50"/>
      <c r="N1398" s="50"/>
      <c r="O1398" s="50"/>
      <c r="P1398" s="50"/>
      <c r="Q1398" s="50"/>
      <c r="R1398" s="50"/>
    </row>
    <row r="1399" spans="1:18" x14ac:dyDescent="0.25">
      <c r="A1399" s="41" t="s">
        <v>875</v>
      </c>
      <c r="C1399" s="51">
        <f t="shared" ref="C1399:R1399" si="773">C1396+C1344+C1231+C1155</f>
        <v>530306.43000000017</v>
      </c>
      <c r="D1399" s="51">
        <f t="shared" si="773"/>
        <v>748135</v>
      </c>
      <c r="E1399" s="51">
        <f t="shared" si="773"/>
        <v>729489</v>
      </c>
      <c r="F1399" s="51">
        <f t="shared" si="773"/>
        <v>635785</v>
      </c>
      <c r="G1399" s="51">
        <f t="shared" si="773"/>
        <v>450263</v>
      </c>
      <c r="H1399" s="51">
        <f t="shared" si="773"/>
        <v>720752</v>
      </c>
      <c r="I1399" s="51">
        <f t="shared" si="773"/>
        <v>786194.80000000063</v>
      </c>
      <c r="J1399" s="51">
        <f t="shared" si="773"/>
        <v>783894.80919999979</v>
      </c>
      <c r="K1399" s="51">
        <f t="shared" si="773"/>
        <v>854498.86987079936</v>
      </c>
      <c r="L1399" s="51">
        <f t="shared" si="773"/>
        <v>805919.38517032843</v>
      </c>
      <c r="M1399" s="51">
        <f t="shared" si="773"/>
        <v>899317.75786122901</v>
      </c>
      <c r="N1399" s="51">
        <f t="shared" si="773"/>
        <v>855675.42644090741</v>
      </c>
      <c r="O1399" s="51">
        <f t="shared" si="773"/>
        <v>867002.7833152673</v>
      </c>
      <c r="P1399" s="51">
        <f t="shared" si="773"/>
        <v>907309.72135950299</v>
      </c>
      <c r="Q1399" s="51">
        <f t="shared" si="773"/>
        <v>932459.9819338402</v>
      </c>
      <c r="R1399" s="51">
        <f t="shared" si="773"/>
        <v>954447.08844077308</v>
      </c>
    </row>
    <row r="1400" spans="1:18" x14ac:dyDescent="0.25">
      <c r="C1400" s="50"/>
      <c r="D1400" s="50"/>
      <c r="E1400" s="50"/>
      <c r="F1400" s="50"/>
      <c r="G1400" s="50"/>
      <c r="H1400" s="50"/>
      <c r="I1400" s="50"/>
      <c r="J1400" s="50"/>
      <c r="K1400" s="50"/>
      <c r="L1400" s="50"/>
      <c r="M1400" s="50"/>
      <c r="N1400" s="50"/>
      <c r="O1400" s="50"/>
      <c r="P1400" s="50"/>
      <c r="Q1400" s="50"/>
      <c r="R1400" s="50"/>
    </row>
    <row r="1401" spans="1:18" x14ac:dyDescent="0.25">
      <c r="C1401" s="50"/>
      <c r="D1401" s="50"/>
      <c r="E1401" s="50"/>
      <c r="F1401" s="50"/>
      <c r="G1401" s="50"/>
      <c r="H1401" s="50"/>
      <c r="I1401" s="50"/>
      <c r="J1401" s="50"/>
      <c r="K1401" s="50"/>
      <c r="L1401" s="50"/>
      <c r="M1401" s="50"/>
      <c r="N1401" s="50"/>
      <c r="O1401" s="50"/>
      <c r="P1401" s="50"/>
      <c r="Q1401" s="50"/>
      <c r="R1401" s="50"/>
    </row>
    <row r="1402" spans="1:18" x14ac:dyDescent="0.25">
      <c r="A1402" s="41" t="s">
        <v>162</v>
      </c>
      <c r="B1402" s="44"/>
      <c r="C1402" s="50"/>
      <c r="D1402" s="50"/>
      <c r="E1402" s="50"/>
      <c r="F1402" s="50"/>
      <c r="G1402" s="50"/>
      <c r="H1402" s="50"/>
      <c r="I1402" s="50"/>
      <c r="J1402" s="50"/>
      <c r="K1402" s="50"/>
      <c r="L1402" s="50"/>
      <c r="M1402" s="50"/>
      <c r="N1402" s="50"/>
      <c r="O1402" s="50"/>
      <c r="P1402" s="50"/>
      <c r="Q1402" s="50"/>
      <c r="R1402" s="50"/>
    </row>
    <row r="1403" spans="1:18" x14ac:dyDescent="0.25">
      <c r="C1403" s="50"/>
      <c r="D1403" s="50"/>
      <c r="E1403" s="50"/>
      <c r="F1403" s="50"/>
      <c r="G1403" s="50"/>
      <c r="H1403" s="50"/>
      <c r="I1403" s="50"/>
      <c r="J1403" s="50"/>
      <c r="K1403" s="50"/>
      <c r="L1403" s="50"/>
      <c r="M1403" s="50"/>
      <c r="N1403" s="50"/>
      <c r="O1403" s="50"/>
      <c r="P1403" s="50"/>
      <c r="Q1403" s="50"/>
      <c r="R1403" s="50"/>
    </row>
    <row r="1404" spans="1:18" x14ac:dyDescent="0.25">
      <c r="A1404" s="41" t="s">
        <v>790</v>
      </c>
      <c r="B1404" s="44"/>
      <c r="C1404" s="50"/>
      <c r="D1404" s="50"/>
      <c r="E1404" s="50"/>
      <c r="F1404" s="50"/>
      <c r="G1404" s="50"/>
      <c r="H1404" s="50"/>
      <c r="I1404" s="50"/>
      <c r="J1404" s="50"/>
      <c r="K1404" s="50"/>
      <c r="L1404" s="50"/>
      <c r="M1404" s="50"/>
      <c r="N1404" s="50"/>
      <c r="O1404" s="50"/>
      <c r="P1404" s="50"/>
      <c r="Q1404" s="50"/>
      <c r="R1404" s="50"/>
    </row>
    <row r="1405" spans="1:18" x14ac:dyDescent="0.25">
      <c r="A1405" s="41"/>
      <c r="B1405" s="44"/>
      <c r="C1405" s="50"/>
      <c r="D1405" s="50"/>
      <c r="E1405" s="50"/>
      <c r="F1405" s="50"/>
      <c r="G1405" s="50"/>
      <c r="H1405" s="50"/>
      <c r="I1405" s="50"/>
      <c r="J1405" s="50"/>
      <c r="K1405" s="50"/>
      <c r="L1405" s="50"/>
      <c r="M1405" s="50"/>
      <c r="N1405" s="50"/>
      <c r="O1405" s="50"/>
      <c r="P1405" s="50"/>
      <c r="Q1405" s="50"/>
      <c r="R1405" s="50"/>
    </row>
    <row r="1406" spans="1:18" x14ac:dyDescent="0.25">
      <c r="A1406" s="41" t="s">
        <v>202</v>
      </c>
      <c r="B1406" s="44"/>
      <c r="C1406" s="50"/>
      <c r="D1406" s="50"/>
      <c r="E1406" s="50"/>
      <c r="F1406" s="50"/>
      <c r="G1406" s="50"/>
      <c r="H1406" s="50"/>
      <c r="I1406" s="50"/>
      <c r="J1406" s="50"/>
      <c r="K1406" s="50"/>
      <c r="L1406" s="50"/>
      <c r="M1406" s="50"/>
      <c r="N1406" s="50"/>
      <c r="O1406" s="50"/>
      <c r="P1406" s="50"/>
      <c r="Q1406" s="50"/>
      <c r="R1406" s="50"/>
    </row>
    <row r="1407" spans="1:18" x14ac:dyDescent="0.25">
      <c r="C1407" s="50"/>
      <c r="D1407" s="50"/>
      <c r="E1407" s="50"/>
      <c r="F1407" s="50"/>
      <c r="G1407" s="50"/>
      <c r="H1407" s="50"/>
      <c r="I1407" s="50"/>
      <c r="J1407" s="50"/>
      <c r="K1407" s="50"/>
      <c r="L1407" s="50"/>
      <c r="M1407" s="50"/>
      <c r="N1407" s="50"/>
      <c r="O1407" s="50"/>
      <c r="P1407" s="50"/>
      <c r="Q1407" s="50"/>
      <c r="R1407" s="50"/>
    </row>
    <row r="1408" spans="1:18" x14ac:dyDescent="0.25">
      <c r="A1408" s="52" t="s">
        <v>876</v>
      </c>
      <c r="B1408" s="53"/>
      <c r="C1408" s="50"/>
      <c r="D1408" s="50"/>
      <c r="E1408" s="50"/>
      <c r="F1408" s="50"/>
      <c r="G1408" s="50"/>
      <c r="H1408" s="50"/>
      <c r="I1408" s="50"/>
      <c r="J1408" s="50"/>
      <c r="K1408" s="50"/>
      <c r="L1408" s="50"/>
      <c r="M1408" s="50"/>
      <c r="N1408" s="50"/>
      <c r="O1408" s="50"/>
      <c r="P1408" s="50"/>
      <c r="Q1408" s="50"/>
      <c r="R1408" s="50"/>
    </row>
    <row r="1409" spans="1:18" x14ac:dyDescent="0.25">
      <c r="A1409" s="52" t="s">
        <v>877</v>
      </c>
      <c r="B1409" s="53"/>
      <c r="C1409" s="54">
        <v>15849</v>
      </c>
      <c r="D1409" s="54">
        <v>17600</v>
      </c>
      <c r="E1409" s="43">
        <v>19618</v>
      </c>
      <c r="F1409" s="54">
        <v>17616</v>
      </c>
      <c r="G1409" s="54">
        <v>13402</v>
      </c>
      <c r="H1409" s="54">
        <v>18700</v>
      </c>
      <c r="I1409" s="54">
        <f>H1409*1.023</f>
        <v>19130.099999999999</v>
      </c>
      <c r="J1409" s="54">
        <f>I1409*1.024</f>
        <v>19589.222399999999</v>
      </c>
      <c r="K1409" s="54">
        <f>J1409*1.024</f>
        <v>20059.363737600001</v>
      </c>
      <c r="L1409" s="54">
        <f>K1409*1.023</f>
        <v>20520.729103564798</v>
      </c>
      <c r="M1409" s="54">
        <f>L1409*1.022</f>
        <v>20972.185143843224</v>
      </c>
      <c r="N1409" s="54">
        <f>M1409*1.023</f>
        <v>21454.545402151616</v>
      </c>
      <c r="O1409" s="54">
        <f>N1409*1.025</f>
        <v>21990.909037205405</v>
      </c>
      <c r="P1409" s="54">
        <f>O1409*1.025</f>
        <v>22540.681763135537</v>
      </c>
      <c r="Q1409" s="54">
        <f>P1409*1.024</f>
        <v>23081.658125450791</v>
      </c>
      <c r="R1409" s="54">
        <f>Q1409*1.024</f>
        <v>23635.617920461609</v>
      </c>
    </row>
    <row r="1410" spans="1:18" x14ac:dyDescent="0.25">
      <c r="A1410" s="52" t="s">
        <v>878</v>
      </c>
      <c r="B1410" s="53"/>
      <c r="C1410" s="54">
        <v>200</v>
      </c>
      <c r="D1410" s="54">
        <v>35</v>
      </c>
      <c r="E1410" s="43">
        <v>0</v>
      </c>
      <c r="F1410" s="54">
        <v>105</v>
      </c>
      <c r="G1410" s="54">
        <v>0</v>
      </c>
      <c r="H1410" s="54"/>
      <c r="I1410" s="54"/>
      <c r="J1410" s="54"/>
      <c r="K1410" s="54"/>
      <c r="L1410" s="54"/>
      <c r="M1410" s="54"/>
      <c r="N1410" s="54"/>
      <c r="O1410" s="54"/>
      <c r="P1410" s="54"/>
      <c r="Q1410" s="54"/>
      <c r="R1410" s="54"/>
    </row>
    <row r="1411" spans="1:18" x14ac:dyDescent="0.25">
      <c r="A1411" s="43" t="s">
        <v>879</v>
      </c>
      <c r="C1411" s="54">
        <v>1545</v>
      </c>
      <c r="D1411" s="54">
        <v>4532</v>
      </c>
      <c r="E1411" s="43">
        <v>8767</v>
      </c>
      <c r="F1411" s="54">
        <v>55212</v>
      </c>
      <c r="G1411" s="54">
        <v>22100</v>
      </c>
      <c r="H1411" s="54">
        <v>40000</v>
      </c>
      <c r="I1411" s="54">
        <f t="shared" ref="I1411:I1422" si="774">H1411*1.023</f>
        <v>40920</v>
      </c>
      <c r="J1411" s="54">
        <f t="shared" ref="J1411:K1412" si="775">I1411*1.024</f>
        <v>41902.080000000002</v>
      </c>
      <c r="K1411" s="54">
        <f t="shared" si="775"/>
        <v>42907.729920000005</v>
      </c>
      <c r="L1411" s="54">
        <f t="shared" ref="L1411:L1422" si="776">K1411*1.023</f>
        <v>43894.607708160001</v>
      </c>
      <c r="M1411" s="54">
        <f t="shared" ref="M1411:M1422" si="777">L1411*1.022</f>
        <v>44860.289077739522</v>
      </c>
      <c r="N1411" s="54">
        <f t="shared" ref="N1411:N1422" si="778">M1411*1.023</f>
        <v>45892.075726527524</v>
      </c>
      <c r="O1411" s="54">
        <f t="shared" ref="O1411:P1412" si="779">N1411*1.025</f>
        <v>47039.377619690706</v>
      </c>
      <c r="P1411" s="54">
        <f t="shared" si="779"/>
        <v>48215.362060182968</v>
      </c>
      <c r="Q1411" s="54">
        <f t="shared" ref="Q1411:R1422" si="780">P1411*1.024</f>
        <v>49372.53074962736</v>
      </c>
      <c r="R1411" s="54">
        <f t="shared" si="780"/>
        <v>50557.471487618415</v>
      </c>
    </row>
    <row r="1412" spans="1:18" x14ac:dyDescent="0.25">
      <c r="A1412" s="43" t="s">
        <v>880</v>
      </c>
      <c r="C1412" s="54">
        <v>17257</v>
      </c>
      <c r="D1412" s="54">
        <v>0</v>
      </c>
      <c r="E1412" s="43">
        <v>166</v>
      </c>
      <c r="F1412" s="54">
        <v>105</v>
      </c>
      <c r="G1412" s="54">
        <v>4723</v>
      </c>
      <c r="H1412" s="54">
        <v>2000</v>
      </c>
      <c r="I1412" s="54">
        <f t="shared" si="774"/>
        <v>2045.9999999999998</v>
      </c>
      <c r="J1412" s="54">
        <f t="shared" si="775"/>
        <v>2095.1039999999998</v>
      </c>
      <c r="K1412" s="54">
        <f t="shared" si="775"/>
        <v>2145.3864960000001</v>
      </c>
      <c r="L1412" s="54">
        <f t="shared" si="776"/>
        <v>2194.7303854080001</v>
      </c>
      <c r="M1412" s="54">
        <f t="shared" si="777"/>
        <v>2243.0144538869763</v>
      </c>
      <c r="N1412" s="54">
        <f t="shared" si="778"/>
        <v>2294.6037863263764</v>
      </c>
      <c r="O1412" s="54">
        <f t="shared" si="779"/>
        <v>2351.9688809845356</v>
      </c>
      <c r="P1412" s="54">
        <f t="shared" si="779"/>
        <v>2410.7681030091489</v>
      </c>
      <c r="Q1412" s="54">
        <f t="shared" si="780"/>
        <v>2468.6265374813684</v>
      </c>
      <c r="R1412" s="54">
        <f t="shared" si="780"/>
        <v>2527.8735743809211</v>
      </c>
    </row>
    <row r="1413" spans="1:18" x14ac:dyDescent="0.25">
      <c r="A1413" s="52" t="s">
        <v>881</v>
      </c>
      <c r="B1413" s="53"/>
      <c r="C1413" s="54"/>
      <c r="D1413" s="54"/>
      <c r="E1413" s="43">
        <v>0</v>
      </c>
      <c r="F1413" s="54"/>
      <c r="G1413" s="54">
        <v>0</v>
      </c>
      <c r="H1413" s="54"/>
      <c r="I1413" s="54"/>
      <c r="J1413" s="54"/>
      <c r="K1413" s="54"/>
      <c r="L1413" s="54"/>
      <c r="M1413" s="54"/>
      <c r="N1413" s="54"/>
      <c r="O1413" s="54"/>
      <c r="P1413" s="54"/>
      <c r="Q1413" s="54"/>
      <c r="R1413" s="54"/>
    </row>
    <row r="1414" spans="1:18" x14ac:dyDescent="0.25">
      <c r="A1414" s="52" t="s">
        <v>882</v>
      </c>
      <c r="B1414" s="53"/>
      <c r="C1414" s="59">
        <v>27000</v>
      </c>
      <c r="D1414" s="54">
        <v>28000</v>
      </c>
      <c r="E1414" s="43">
        <v>29000</v>
      </c>
      <c r="F1414" s="54">
        <v>30000</v>
      </c>
      <c r="G1414" s="54">
        <v>30000</v>
      </c>
      <c r="H1414" s="54">
        <v>31000</v>
      </c>
      <c r="I1414" s="54">
        <f t="shared" si="774"/>
        <v>31712.999999999996</v>
      </c>
      <c r="J1414" s="54">
        <f t="shared" ref="J1414:K1414" si="781">I1414*1.024</f>
        <v>32474.111999999997</v>
      </c>
      <c r="K1414" s="54">
        <f t="shared" si="781"/>
        <v>33253.490687999998</v>
      </c>
      <c r="L1414" s="54">
        <f t="shared" si="776"/>
        <v>34018.320973823997</v>
      </c>
      <c r="M1414" s="54">
        <f t="shared" si="777"/>
        <v>34766.724035248124</v>
      </c>
      <c r="N1414" s="54">
        <f t="shared" si="778"/>
        <v>35566.358688058826</v>
      </c>
      <c r="O1414" s="54">
        <f t="shared" ref="O1414:P1414" si="782">N1414*1.025</f>
        <v>36455.517655260293</v>
      </c>
      <c r="P1414" s="54">
        <f t="shared" si="782"/>
        <v>37366.905596641795</v>
      </c>
      <c r="Q1414" s="54">
        <f t="shared" si="780"/>
        <v>38263.711330961196</v>
      </c>
      <c r="R1414" s="54">
        <f t="shared" si="780"/>
        <v>39182.040402904262</v>
      </c>
    </row>
    <row r="1415" spans="1:18" x14ac:dyDescent="0.25">
      <c r="A1415" s="43" t="s">
        <v>883</v>
      </c>
      <c r="C1415" s="59">
        <v>15000</v>
      </c>
      <c r="D1415" s="50">
        <v>15000</v>
      </c>
      <c r="E1415" s="43">
        <v>15000</v>
      </c>
      <c r="F1415" s="50">
        <v>15000</v>
      </c>
      <c r="G1415" s="50">
        <v>15000</v>
      </c>
      <c r="H1415" s="50">
        <v>15000</v>
      </c>
      <c r="I1415" s="50">
        <v>15000</v>
      </c>
      <c r="J1415" s="50">
        <v>15000</v>
      </c>
      <c r="K1415" s="50">
        <v>15000</v>
      </c>
      <c r="L1415" s="50">
        <v>15000</v>
      </c>
      <c r="M1415" s="50">
        <v>15000</v>
      </c>
      <c r="N1415" s="50">
        <v>15000</v>
      </c>
      <c r="O1415" s="50">
        <v>15000</v>
      </c>
      <c r="P1415" s="50">
        <v>15000</v>
      </c>
      <c r="Q1415" s="50">
        <v>15000</v>
      </c>
      <c r="R1415" s="50">
        <v>15000</v>
      </c>
    </row>
    <row r="1416" spans="1:18" x14ac:dyDescent="0.25">
      <c r="A1416" s="43" t="s">
        <v>884</v>
      </c>
      <c r="C1416" s="54">
        <v>69067</v>
      </c>
      <c r="D1416" s="50">
        <v>143517</v>
      </c>
      <c r="E1416" s="43">
        <v>142038</v>
      </c>
      <c r="F1416">
        <v>212759</v>
      </c>
      <c r="G1416" s="43">
        <v>146135</v>
      </c>
      <c r="H1416" s="43">
        <v>146700</v>
      </c>
      <c r="I1416" s="54">
        <f t="shared" si="774"/>
        <v>150074.09999999998</v>
      </c>
      <c r="J1416" s="54">
        <f t="shared" ref="J1416:K1422" si="783">I1416*1.024</f>
        <v>153675.87839999999</v>
      </c>
      <c r="K1416" s="54">
        <f t="shared" si="783"/>
        <v>157364.09948159999</v>
      </c>
      <c r="L1416" s="54">
        <f t="shared" si="776"/>
        <v>160983.47376967678</v>
      </c>
      <c r="M1416" s="54">
        <f t="shared" si="777"/>
        <v>164525.11019260969</v>
      </c>
      <c r="N1416" s="54">
        <f t="shared" si="778"/>
        <v>168309.18772703971</v>
      </c>
      <c r="O1416" s="54">
        <f t="shared" ref="O1416:P1422" si="784">N1416*1.025</f>
        <v>172516.9174202157</v>
      </c>
      <c r="P1416" s="54">
        <f t="shared" si="784"/>
        <v>176829.84035572107</v>
      </c>
      <c r="Q1416" s="54">
        <f t="shared" si="780"/>
        <v>181073.75652425838</v>
      </c>
      <c r="R1416" s="54">
        <f t="shared" si="780"/>
        <v>185419.52668084059</v>
      </c>
    </row>
    <row r="1417" spans="1:18" x14ac:dyDescent="0.25">
      <c r="A1417" s="43" t="s">
        <v>885</v>
      </c>
      <c r="C1417" s="54">
        <v>0</v>
      </c>
      <c r="D1417" s="50">
        <v>406159</v>
      </c>
      <c r="E1417" s="43">
        <v>193386</v>
      </c>
      <c r="F1417" s="50">
        <v>20253</v>
      </c>
      <c r="G1417" s="50">
        <v>0</v>
      </c>
      <c r="H1417" s="50">
        <v>0</v>
      </c>
      <c r="I1417" s="54">
        <f t="shared" si="774"/>
        <v>0</v>
      </c>
      <c r="J1417" s="54">
        <f t="shared" si="783"/>
        <v>0</v>
      </c>
      <c r="K1417" s="54">
        <f t="shared" si="783"/>
        <v>0</v>
      </c>
      <c r="L1417" s="54">
        <f t="shared" si="776"/>
        <v>0</v>
      </c>
      <c r="M1417" s="54">
        <f t="shared" si="777"/>
        <v>0</v>
      </c>
      <c r="N1417" s="54">
        <f t="shared" si="778"/>
        <v>0</v>
      </c>
      <c r="O1417" s="54">
        <f t="shared" si="784"/>
        <v>0</v>
      </c>
      <c r="P1417" s="54">
        <f t="shared" si="784"/>
        <v>0</v>
      </c>
      <c r="Q1417" s="54">
        <f t="shared" si="780"/>
        <v>0</v>
      </c>
      <c r="R1417" s="54">
        <f t="shared" si="780"/>
        <v>0</v>
      </c>
    </row>
    <row r="1418" spans="1:18" x14ac:dyDescent="0.25">
      <c r="A1418" s="43" t="s">
        <v>886</v>
      </c>
      <c r="C1418" s="54">
        <v>5891</v>
      </c>
      <c r="D1418" s="54">
        <v>5547</v>
      </c>
      <c r="E1418" s="43">
        <v>5968</v>
      </c>
      <c r="F1418" s="54">
        <v>5331</v>
      </c>
      <c r="G1418" s="54">
        <v>5500</v>
      </c>
      <c r="H1418" s="54">
        <v>5500</v>
      </c>
      <c r="I1418" s="54">
        <f t="shared" si="774"/>
        <v>5626.4999999999991</v>
      </c>
      <c r="J1418" s="54">
        <f t="shared" si="783"/>
        <v>5761.5359999999991</v>
      </c>
      <c r="K1418" s="54">
        <f t="shared" si="783"/>
        <v>5899.8128639999995</v>
      </c>
      <c r="L1418" s="54">
        <f t="shared" si="776"/>
        <v>6035.5085598719988</v>
      </c>
      <c r="M1418" s="54">
        <f t="shared" si="777"/>
        <v>6168.2897481891832</v>
      </c>
      <c r="N1418" s="54">
        <f t="shared" si="778"/>
        <v>6310.1604123975339</v>
      </c>
      <c r="O1418" s="54">
        <f t="shared" si="784"/>
        <v>6467.9144227074721</v>
      </c>
      <c r="P1418" s="54">
        <f t="shared" si="784"/>
        <v>6629.612283275158</v>
      </c>
      <c r="Q1418" s="54">
        <f t="shared" si="780"/>
        <v>6788.7229780737616</v>
      </c>
      <c r="R1418" s="54">
        <f t="shared" si="780"/>
        <v>6951.6523295475317</v>
      </c>
    </row>
    <row r="1419" spans="1:18" x14ac:dyDescent="0.25">
      <c r="A1419" s="43" t="s">
        <v>887</v>
      </c>
      <c r="C1419" s="54">
        <v>16379</v>
      </c>
      <c r="D1419" s="54">
        <v>14755</v>
      </c>
      <c r="E1419" s="43">
        <v>7544</v>
      </c>
      <c r="F1419" s="54">
        <v>14385</v>
      </c>
      <c r="G1419" s="54">
        <v>5400</v>
      </c>
      <c r="H1419" s="54">
        <v>15000</v>
      </c>
      <c r="I1419" s="54">
        <f t="shared" si="774"/>
        <v>15344.999999999998</v>
      </c>
      <c r="J1419" s="54">
        <f t="shared" si="783"/>
        <v>15713.279999999999</v>
      </c>
      <c r="K1419" s="54">
        <f t="shared" si="783"/>
        <v>16090.398719999999</v>
      </c>
      <c r="L1419" s="54">
        <f t="shared" si="776"/>
        <v>16460.477890559996</v>
      </c>
      <c r="M1419" s="54">
        <f t="shared" si="777"/>
        <v>16822.608404152317</v>
      </c>
      <c r="N1419" s="54">
        <f t="shared" si="778"/>
        <v>17209.528397447819</v>
      </c>
      <c r="O1419" s="54">
        <f t="shared" si="784"/>
        <v>17639.766607384012</v>
      </c>
      <c r="P1419" s="54">
        <f t="shared" si="784"/>
        <v>18080.76077256861</v>
      </c>
      <c r="Q1419" s="54">
        <f t="shared" si="780"/>
        <v>18514.699031110256</v>
      </c>
      <c r="R1419" s="54">
        <f t="shared" si="780"/>
        <v>18959.051807856904</v>
      </c>
    </row>
    <row r="1420" spans="1:18" x14ac:dyDescent="0.25">
      <c r="A1420" s="43" t="s">
        <v>888</v>
      </c>
      <c r="C1420" s="54">
        <v>455185</v>
      </c>
      <c r="D1420" s="54">
        <v>341858</v>
      </c>
      <c r="E1420" s="43">
        <v>97196</v>
      </c>
      <c r="F1420" s="54">
        <v>171644</v>
      </c>
      <c r="G1420" s="50">
        <v>293759</v>
      </c>
      <c r="H1420" s="50">
        <v>200000</v>
      </c>
      <c r="I1420" s="54">
        <f t="shared" si="774"/>
        <v>204599.99999999997</v>
      </c>
      <c r="J1420" s="54">
        <f t="shared" si="783"/>
        <v>209510.39999999997</v>
      </c>
      <c r="K1420" s="54">
        <f t="shared" si="783"/>
        <v>214538.64959999998</v>
      </c>
      <c r="L1420" s="54">
        <f t="shared" si="776"/>
        <v>219473.03854079996</v>
      </c>
      <c r="M1420" s="54">
        <f t="shared" si="777"/>
        <v>224301.44538869755</v>
      </c>
      <c r="N1420" s="54">
        <f t="shared" si="778"/>
        <v>229460.37863263758</v>
      </c>
      <c r="O1420" s="54">
        <f t="shared" si="784"/>
        <v>235196.88809845349</v>
      </c>
      <c r="P1420" s="54">
        <f t="shared" si="784"/>
        <v>241076.8103009148</v>
      </c>
      <c r="Q1420" s="54">
        <f t="shared" si="780"/>
        <v>246862.65374813677</v>
      </c>
      <c r="R1420" s="54">
        <f t="shared" si="780"/>
        <v>252787.35743809206</v>
      </c>
    </row>
    <row r="1421" spans="1:18" x14ac:dyDescent="0.25">
      <c r="A1421" s="43" t="s">
        <v>889</v>
      </c>
      <c r="C1421" s="54"/>
      <c r="D1421" s="54"/>
      <c r="F1421" s="50">
        <v>0</v>
      </c>
      <c r="G1421" s="50">
        <v>0</v>
      </c>
      <c r="H1421" s="50">
        <v>11000</v>
      </c>
      <c r="I1421" s="54">
        <f t="shared" si="774"/>
        <v>11252.999999999998</v>
      </c>
      <c r="J1421" s="54">
        <f t="shared" si="783"/>
        <v>11523.071999999998</v>
      </c>
      <c r="K1421" s="54">
        <f t="shared" si="783"/>
        <v>11799.625727999999</v>
      </c>
      <c r="L1421" s="54">
        <f t="shared" si="776"/>
        <v>12071.017119743998</v>
      </c>
      <c r="M1421" s="54">
        <f t="shared" si="777"/>
        <v>12336.579496378366</v>
      </c>
      <c r="N1421" s="54">
        <f t="shared" si="778"/>
        <v>12620.320824795068</v>
      </c>
      <c r="O1421" s="54">
        <f t="shared" si="784"/>
        <v>12935.828845414944</v>
      </c>
      <c r="P1421" s="54">
        <f t="shared" si="784"/>
        <v>13259.224566550316</v>
      </c>
      <c r="Q1421" s="54">
        <f t="shared" si="780"/>
        <v>13577.445956147523</v>
      </c>
      <c r="R1421" s="54">
        <f t="shared" si="780"/>
        <v>13903.304659095063</v>
      </c>
    </row>
    <row r="1422" spans="1:18" x14ac:dyDescent="0.25">
      <c r="A1422" s="43" t="s">
        <v>890</v>
      </c>
      <c r="C1422" s="54">
        <v>41000</v>
      </c>
      <c r="D1422" s="54">
        <v>42000</v>
      </c>
      <c r="E1422" s="43">
        <v>43000</v>
      </c>
      <c r="F1422" s="54">
        <v>44000</v>
      </c>
      <c r="G1422" s="54">
        <v>45000</v>
      </c>
      <c r="H1422" s="54">
        <v>45000</v>
      </c>
      <c r="I1422" s="54">
        <f t="shared" si="774"/>
        <v>46034.999999999993</v>
      </c>
      <c r="J1422" s="54">
        <f t="shared" si="783"/>
        <v>47139.839999999997</v>
      </c>
      <c r="K1422" s="54">
        <f t="shared" si="783"/>
        <v>48271.19616</v>
      </c>
      <c r="L1422" s="54">
        <f t="shared" si="776"/>
        <v>49381.433671679995</v>
      </c>
      <c r="M1422" s="54">
        <f t="shared" si="777"/>
        <v>50467.825212456955</v>
      </c>
      <c r="N1422" s="54">
        <f t="shared" si="778"/>
        <v>51628.58519234346</v>
      </c>
      <c r="O1422" s="54">
        <f t="shared" si="784"/>
        <v>52919.299822152039</v>
      </c>
      <c r="P1422" s="54">
        <f t="shared" si="784"/>
        <v>54242.282317705838</v>
      </c>
      <c r="Q1422" s="54">
        <f t="shared" si="780"/>
        <v>55544.097093330776</v>
      </c>
      <c r="R1422" s="54">
        <f t="shared" si="780"/>
        <v>56877.155423570715</v>
      </c>
    </row>
    <row r="1423" spans="1:18" x14ac:dyDescent="0.25">
      <c r="A1423" s="43" t="s">
        <v>891</v>
      </c>
      <c r="B1423" s="53"/>
      <c r="C1423" s="43">
        <v>0</v>
      </c>
      <c r="D1423" s="50">
        <f>C1423*1.038</f>
        <v>0</v>
      </c>
      <c r="E1423" s="43">
        <v>0</v>
      </c>
      <c r="F1423" s="50">
        <v>0</v>
      </c>
      <c r="G1423" s="50">
        <v>0</v>
      </c>
      <c r="H1423" s="50">
        <v>0</v>
      </c>
      <c r="I1423" s="50">
        <v>0</v>
      </c>
      <c r="J1423" s="50">
        <v>0</v>
      </c>
      <c r="K1423" s="50">
        <v>0</v>
      </c>
      <c r="L1423" s="50">
        <v>0</v>
      </c>
      <c r="M1423" s="50">
        <v>0</v>
      </c>
      <c r="N1423" s="50">
        <v>0</v>
      </c>
      <c r="O1423" s="50">
        <v>0</v>
      </c>
      <c r="P1423" s="50">
        <v>0</v>
      </c>
      <c r="Q1423" s="50">
        <f>P1423*1.042</f>
        <v>0</v>
      </c>
      <c r="R1423" s="50">
        <f>Q1423*1.042</f>
        <v>0</v>
      </c>
    </row>
    <row r="1424" spans="1:18" x14ac:dyDescent="0.25">
      <c r="A1424" s="52" t="s">
        <v>892</v>
      </c>
      <c r="B1424" s="53"/>
      <c r="C1424" s="50"/>
      <c r="D1424" s="50"/>
      <c r="E1424" s="43">
        <v>0</v>
      </c>
      <c r="F1424" s="50"/>
      <c r="G1424" s="50"/>
      <c r="H1424" s="50"/>
      <c r="I1424" s="50"/>
      <c r="J1424" s="50"/>
      <c r="K1424" s="50"/>
      <c r="L1424" s="50"/>
      <c r="M1424" s="50"/>
      <c r="N1424" s="50"/>
      <c r="O1424" s="50"/>
      <c r="P1424" s="50"/>
      <c r="Q1424" s="50"/>
      <c r="R1424" s="50"/>
    </row>
    <row r="1425" spans="1:18" x14ac:dyDescent="0.25">
      <c r="A1425" s="43" t="s">
        <v>893</v>
      </c>
      <c r="C1425" s="54">
        <v>5514</v>
      </c>
      <c r="D1425" s="54">
        <v>11610</v>
      </c>
      <c r="E1425" s="43">
        <v>5619</v>
      </c>
      <c r="F1425" s="54">
        <v>6005</v>
      </c>
      <c r="G1425" s="54">
        <v>14743</v>
      </c>
      <c r="H1425" s="54">
        <v>11000</v>
      </c>
      <c r="I1425" s="54">
        <f t="shared" ref="I1425:I1426" si="785">H1425*1.023</f>
        <v>11252.999999999998</v>
      </c>
      <c r="J1425" s="54">
        <f t="shared" ref="J1425:K1426" si="786">I1425*1.024</f>
        <v>11523.071999999998</v>
      </c>
      <c r="K1425" s="54">
        <f t="shared" si="786"/>
        <v>11799.625727999999</v>
      </c>
      <c r="L1425" s="54">
        <f t="shared" ref="L1425:L1426" si="787">K1425*1.023</f>
        <v>12071.017119743998</v>
      </c>
      <c r="M1425" s="54">
        <f t="shared" ref="M1425:M1426" si="788">L1425*1.022</f>
        <v>12336.579496378366</v>
      </c>
      <c r="N1425" s="54">
        <f t="shared" ref="N1425:N1426" si="789">M1425*1.023</f>
        <v>12620.320824795068</v>
      </c>
      <c r="O1425" s="54">
        <f t="shared" ref="O1425:P1426" si="790">N1425*1.025</f>
        <v>12935.828845414944</v>
      </c>
      <c r="P1425" s="54">
        <f t="shared" si="790"/>
        <v>13259.224566550316</v>
      </c>
      <c r="Q1425" s="54">
        <f t="shared" ref="Q1425:R1426" si="791">P1425*1.024</f>
        <v>13577.445956147523</v>
      </c>
      <c r="R1425" s="54">
        <f t="shared" si="791"/>
        <v>13903.304659095063</v>
      </c>
    </row>
    <row r="1426" spans="1:18" x14ac:dyDescent="0.25">
      <c r="A1426" s="43" t="s">
        <v>894</v>
      </c>
      <c r="C1426" s="54">
        <v>8673</v>
      </c>
      <c r="D1426" s="54">
        <v>7047</v>
      </c>
      <c r="E1426" s="43">
        <v>6364</v>
      </c>
      <c r="F1426" s="54">
        <v>6126</v>
      </c>
      <c r="G1426" s="54">
        <v>7740</v>
      </c>
      <c r="H1426" s="54">
        <v>8500</v>
      </c>
      <c r="I1426" s="54">
        <f t="shared" si="785"/>
        <v>8695.5</v>
      </c>
      <c r="J1426" s="54">
        <f t="shared" si="786"/>
        <v>8904.1920000000009</v>
      </c>
      <c r="K1426" s="54">
        <f t="shared" si="786"/>
        <v>9117.8926080000019</v>
      </c>
      <c r="L1426" s="54">
        <f t="shared" si="787"/>
        <v>9327.6041379840008</v>
      </c>
      <c r="M1426" s="54">
        <f t="shared" si="788"/>
        <v>9532.8114290196481</v>
      </c>
      <c r="N1426" s="54">
        <f t="shared" si="789"/>
        <v>9752.0660918870999</v>
      </c>
      <c r="O1426" s="54">
        <f t="shared" si="790"/>
        <v>9995.8677441842774</v>
      </c>
      <c r="P1426" s="54">
        <f t="shared" si="790"/>
        <v>10245.764437788883</v>
      </c>
      <c r="Q1426" s="54">
        <f t="shared" si="791"/>
        <v>10491.662784295817</v>
      </c>
      <c r="R1426" s="54">
        <f t="shared" si="791"/>
        <v>10743.462691118917</v>
      </c>
    </row>
    <row r="1427" spans="1:18" x14ac:dyDescent="0.25">
      <c r="A1427" s="52" t="s">
        <v>895</v>
      </c>
      <c r="B1427" s="53"/>
      <c r="C1427" s="50"/>
      <c r="D1427" s="50"/>
      <c r="E1427" s="43">
        <v>0</v>
      </c>
      <c r="F1427" s="50"/>
      <c r="G1427" s="50"/>
      <c r="H1427" s="50"/>
      <c r="I1427" s="50"/>
      <c r="J1427" s="50"/>
      <c r="K1427" s="50"/>
      <c r="L1427" s="50"/>
      <c r="M1427" s="50"/>
      <c r="N1427" s="50"/>
      <c r="O1427" s="50"/>
      <c r="P1427" s="50"/>
      <c r="Q1427" s="50"/>
      <c r="R1427" s="50"/>
    </row>
    <row r="1428" spans="1:18" x14ac:dyDescent="0.25">
      <c r="A1428" s="43" t="s">
        <v>896</v>
      </c>
      <c r="C1428" s="59">
        <v>34000</v>
      </c>
      <c r="D1428" s="50">
        <v>34000</v>
      </c>
      <c r="E1428" s="43">
        <v>34000</v>
      </c>
      <c r="F1428" s="50">
        <v>34000</v>
      </c>
      <c r="G1428" s="50">
        <v>34000</v>
      </c>
      <c r="H1428" s="50">
        <v>34000</v>
      </c>
      <c r="I1428" s="54">
        <f t="shared" ref="I1428" si="792">H1428*1.023</f>
        <v>34782</v>
      </c>
      <c r="J1428" s="54">
        <f t="shared" ref="J1428:K1428" si="793">I1428*1.024</f>
        <v>35616.768000000004</v>
      </c>
      <c r="K1428" s="54">
        <f t="shared" si="793"/>
        <v>36471.570432000008</v>
      </c>
      <c r="L1428" s="54">
        <f t="shared" ref="L1428" si="794">K1428*1.023</f>
        <v>37310.416551936003</v>
      </c>
      <c r="M1428" s="54">
        <f t="shared" ref="M1428" si="795">L1428*1.022</f>
        <v>38131.245716078593</v>
      </c>
      <c r="N1428" s="54">
        <f t="shared" ref="N1428" si="796">M1428*1.023</f>
        <v>39008.2643675484</v>
      </c>
      <c r="O1428" s="54">
        <f t="shared" ref="O1428:P1428" si="797">N1428*1.025</f>
        <v>39983.47097673711</v>
      </c>
      <c r="P1428" s="54">
        <f t="shared" si="797"/>
        <v>40983.057751155531</v>
      </c>
      <c r="Q1428" s="54">
        <f t="shared" ref="Q1428:R1428" si="798">P1428*1.024</f>
        <v>41966.651137183268</v>
      </c>
      <c r="R1428" s="54">
        <f t="shared" si="798"/>
        <v>42973.850764475668</v>
      </c>
    </row>
    <row r="1429" spans="1:18" x14ac:dyDescent="0.25">
      <c r="A1429" s="52" t="s">
        <v>897</v>
      </c>
      <c r="B1429" s="53"/>
      <c r="C1429" s="50"/>
      <c r="D1429" s="50"/>
      <c r="E1429" s="43">
        <v>0</v>
      </c>
      <c r="F1429" s="50"/>
      <c r="G1429" s="50"/>
      <c r="H1429" s="50"/>
      <c r="I1429" s="50"/>
      <c r="J1429" s="50"/>
      <c r="K1429" s="50"/>
      <c r="L1429" s="50"/>
      <c r="M1429" s="50"/>
      <c r="N1429" s="50"/>
      <c r="O1429" s="50"/>
      <c r="P1429" s="50"/>
      <c r="Q1429" s="50"/>
      <c r="R1429" s="50"/>
    </row>
    <row r="1430" spans="1:18" x14ac:dyDescent="0.25">
      <c r="A1430" s="52" t="s">
        <v>898</v>
      </c>
      <c r="B1430" s="53"/>
      <c r="C1430" s="54">
        <v>132797</v>
      </c>
      <c r="D1430" s="54">
        <v>135040</v>
      </c>
      <c r="E1430" s="43">
        <v>137657</v>
      </c>
      <c r="F1430" s="54">
        <v>140148</v>
      </c>
      <c r="G1430" s="54">
        <v>143138</v>
      </c>
      <c r="H1430" s="54">
        <v>136000</v>
      </c>
      <c r="I1430" s="54">
        <v>250000</v>
      </c>
      <c r="J1430" s="54">
        <f t="shared" ref="J1430:K1430" si="799">I1430*1.024</f>
        <v>256000</v>
      </c>
      <c r="K1430" s="54">
        <f t="shared" si="799"/>
        <v>262144</v>
      </c>
      <c r="L1430" s="54">
        <f t="shared" ref="L1430" si="800">K1430*1.023</f>
        <v>268173.31199999998</v>
      </c>
      <c r="M1430" s="54">
        <f t="shared" ref="M1430" si="801">L1430*1.022</f>
        <v>274073.12486399995</v>
      </c>
      <c r="N1430" s="54">
        <f t="shared" ref="N1430" si="802">M1430*1.023</f>
        <v>280376.80673587194</v>
      </c>
      <c r="O1430" s="54">
        <f t="shared" ref="O1430:P1430" si="803">N1430*1.025</f>
        <v>287386.22690426873</v>
      </c>
      <c r="P1430" s="54">
        <f t="shared" si="803"/>
        <v>294570.88257687545</v>
      </c>
      <c r="Q1430" s="54">
        <f t="shared" ref="Q1430:R1430" si="804">P1430*1.024</f>
        <v>301640.58375872049</v>
      </c>
      <c r="R1430" s="54">
        <f t="shared" si="804"/>
        <v>308879.95776892977</v>
      </c>
    </row>
    <row r="1431" spans="1:18" x14ac:dyDescent="0.25">
      <c r="A1431" s="52" t="s">
        <v>898</v>
      </c>
      <c r="B1431" s="53"/>
      <c r="C1431" s="54"/>
      <c r="D1431" s="54"/>
      <c r="F1431" s="54"/>
      <c r="G1431" s="54"/>
      <c r="H1431" s="54">
        <v>1000000</v>
      </c>
      <c r="I1431" s="54"/>
      <c r="J1431" s="54"/>
      <c r="K1431" s="54"/>
      <c r="L1431" s="54"/>
      <c r="M1431" s="54"/>
      <c r="N1431" s="54"/>
      <c r="O1431" s="54"/>
      <c r="P1431" s="54"/>
      <c r="Q1431" s="54"/>
      <c r="R1431" s="54"/>
    </row>
    <row r="1432" spans="1:18" x14ac:dyDescent="0.25">
      <c r="C1432" s="50"/>
      <c r="D1432" s="50"/>
      <c r="F1432" s="50"/>
      <c r="G1432" s="50"/>
      <c r="H1432" s="50"/>
      <c r="I1432" s="50"/>
      <c r="J1432" s="50"/>
      <c r="K1432" s="50"/>
      <c r="L1432" s="50"/>
      <c r="M1432" s="50"/>
      <c r="N1432" s="50"/>
      <c r="O1432" s="50"/>
      <c r="P1432" s="50"/>
      <c r="Q1432" s="50"/>
      <c r="R1432" s="50"/>
    </row>
    <row r="1433" spans="1:18" x14ac:dyDescent="0.25">
      <c r="A1433" s="41" t="s">
        <v>216</v>
      </c>
      <c r="B1433" s="44"/>
      <c r="C1433" s="51">
        <f t="shared" ref="C1433" si="805">SUM(C1409:C1432)</f>
        <v>845357</v>
      </c>
      <c r="D1433" s="51">
        <f t="shared" ref="D1433:R1433" si="806">SUM(D1409:D1432)</f>
        <v>1206700</v>
      </c>
      <c r="E1433" s="51">
        <f t="shared" si="806"/>
        <v>745323</v>
      </c>
      <c r="F1433" s="51">
        <f t="shared" si="806"/>
        <v>772689</v>
      </c>
      <c r="G1433" s="51">
        <f t="shared" si="806"/>
        <v>780640</v>
      </c>
      <c r="H1433" s="51">
        <f t="shared" si="806"/>
        <v>1719400</v>
      </c>
      <c r="I1433" s="51">
        <f t="shared" si="806"/>
        <v>846473.2</v>
      </c>
      <c r="J1433" s="51">
        <f t="shared" si="806"/>
        <v>866428.55680000002</v>
      </c>
      <c r="K1433" s="51">
        <f t="shared" si="806"/>
        <v>886862.84216319979</v>
      </c>
      <c r="L1433" s="51">
        <f t="shared" si="806"/>
        <v>906915.68753295345</v>
      </c>
      <c r="M1433" s="51">
        <f t="shared" si="806"/>
        <v>926537.83265867829</v>
      </c>
      <c r="N1433" s="51">
        <f t="shared" si="806"/>
        <v>947503.20280982798</v>
      </c>
      <c r="O1433" s="51">
        <f t="shared" si="806"/>
        <v>970815.78288007365</v>
      </c>
      <c r="P1433" s="51">
        <f t="shared" si="806"/>
        <v>994711.17745207553</v>
      </c>
      <c r="Q1433" s="51">
        <f t="shared" si="806"/>
        <v>1018224.2457109254</v>
      </c>
      <c r="R1433" s="51">
        <f t="shared" si="806"/>
        <v>1042301.6276079874</v>
      </c>
    </row>
    <row r="1434" spans="1:18" x14ac:dyDescent="0.25">
      <c r="C1434" s="50"/>
      <c r="D1434" s="50"/>
      <c r="E1434" s="50"/>
      <c r="F1434" s="50"/>
      <c r="G1434" s="50"/>
      <c r="H1434" s="50"/>
      <c r="I1434" s="50"/>
      <c r="J1434" s="50"/>
      <c r="K1434" s="50"/>
      <c r="L1434" s="50"/>
      <c r="M1434" s="50"/>
      <c r="N1434" s="50"/>
      <c r="O1434" s="50"/>
      <c r="P1434" s="50"/>
      <c r="Q1434" s="50"/>
      <c r="R1434" s="50"/>
    </row>
    <row r="1435" spans="1:18" x14ac:dyDescent="0.25">
      <c r="A1435" s="41" t="s">
        <v>165</v>
      </c>
      <c r="B1435" s="44"/>
      <c r="C1435" s="50"/>
      <c r="D1435" s="50"/>
      <c r="E1435" s="50"/>
      <c r="F1435" s="50"/>
      <c r="G1435" s="50"/>
      <c r="H1435" s="50"/>
      <c r="I1435" s="50"/>
      <c r="J1435" s="50"/>
      <c r="K1435" s="50"/>
      <c r="L1435" s="50"/>
      <c r="M1435" s="50"/>
      <c r="N1435" s="50"/>
      <c r="O1435" s="50"/>
      <c r="P1435" s="50"/>
      <c r="Q1435" s="50"/>
      <c r="R1435" s="50"/>
    </row>
    <row r="1436" spans="1:18" x14ac:dyDescent="0.25">
      <c r="C1436" s="50"/>
      <c r="D1436" s="50"/>
      <c r="E1436" s="50"/>
      <c r="F1436" s="50"/>
      <c r="G1436" s="50"/>
      <c r="H1436" s="50"/>
      <c r="I1436" s="50"/>
      <c r="J1436" s="50"/>
      <c r="K1436" s="50"/>
      <c r="L1436" s="50"/>
      <c r="M1436" s="50"/>
      <c r="N1436" s="50"/>
      <c r="O1436" s="50"/>
      <c r="P1436" s="50"/>
      <c r="Q1436" s="50"/>
      <c r="R1436" s="50"/>
    </row>
    <row r="1437" spans="1:18" x14ac:dyDescent="0.25">
      <c r="A1437" s="52" t="s">
        <v>899</v>
      </c>
      <c r="B1437" s="53"/>
      <c r="C1437" s="50"/>
      <c r="D1437" s="50"/>
      <c r="E1437" s="50"/>
      <c r="F1437" s="50"/>
      <c r="G1437" s="50"/>
      <c r="H1437" s="50"/>
      <c r="I1437" s="50"/>
      <c r="J1437" s="50"/>
      <c r="K1437" s="50"/>
      <c r="L1437" s="50"/>
      <c r="M1437" s="50"/>
      <c r="N1437" s="50"/>
      <c r="O1437" s="50"/>
      <c r="P1437" s="50"/>
      <c r="Q1437" s="50"/>
      <c r="R1437" s="50"/>
    </row>
    <row r="1438" spans="1:18" x14ac:dyDescent="0.25">
      <c r="A1438" s="43" t="s">
        <v>217</v>
      </c>
      <c r="C1438" s="50">
        <f>374170+76009+47740+833</f>
        <v>498752</v>
      </c>
      <c r="D1438" s="54">
        <f>465100+42322+66275</f>
        <v>573697</v>
      </c>
      <c r="E1438" s="67">
        <v>513384</v>
      </c>
      <c r="F1438" s="67">
        <f>479339+9924</f>
        <v>489263</v>
      </c>
      <c r="G1438" s="67">
        <v>562625</v>
      </c>
      <c r="H1438" s="67">
        <v>476000</v>
      </c>
      <c r="I1438" s="50">
        <f>H1438*1.025</f>
        <v>487899.99999999994</v>
      </c>
      <c r="J1438" s="50">
        <f>I1438*1.029</f>
        <v>502049.09999999992</v>
      </c>
      <c r="K1438" s="54">
        <f>J1438*1.031</f>
        <v>517612.62209999986</v>
      </c>
      <c r="L1438" s="54">
        <f>K1438*1.033</f>
        <v>534693.83862929977</v>
      </c>
      <c r="M1438" s="54">
        <f>L1438*1.032</f>
        <v>551804.04146543739</v>
      </c>
      <c r="N1438" s="54">
        <f>M1438*1.03</f>
        <v>568358.16270940052</v>
      </c>
      <c r="O1438" s="54">
        <f>N1438*1.032</f>
        <v>586545.62391610141</v>
      </c>
      <c r="P1438" s="54">
        <f>O1438*1.034</f>
        <v>606488.17512924888</v>
      </c>
      <c r="Q1438" s="54">
        <f>P1438*1.034</f>
        <v>627108.77308364341</v>
      </c>
      <c r="R1438" s="54">
        <f>Q1438*1.034</f>
        <v>648430.47136848734</v>
      </c>
    </row>
    <row r="1439" spans="1:18" x14ac:dyDescent="0.25">
      <c r="A1439" s="43" t="s">
        <v>219</v>
      </c>
      <c r="C1439" s="50">
        <v>38102</v>
      </c>
      <c r="D1439" s="54">
        <f>26837+1330</f>
        <v>28167</v>
      </c>
      <c r="E1439" s="54">
        <v>27110</v>
      </c>
      <c r="F1439" s="54">
        <v>20823</v>
      </c>
      <c r="G1439" s="50">
        <v>19681</v>
      </c>
      <c r="H1439" s="50">
        <f>19000+9000</f>
        <v>28000</v>
      </c>
      <c r="I1439" s="54">
        <f t="shared" ref="I1439" si="807">H1439*1.023</f>
        <v>28643.999999999996</v>
      </c>
      <c r="J1439" s="54">
        <f t="shared" ref="J1439:K1439" si="808">I1439*1.024</f>
        <v>29331.455999999998</v>
      </c>
      <c r="K1439" s="54">
        <f t="shared" si="808"/>
        <v>30035.410943999999</v>
      </c>
      <c r="L1439" s="54">
        <f t="shared" ref="L1439" si="809">K1439*1.023</f>
        <v>30726.225395711997</v>
      </c>
      <c r="M1439" s="54">
        <f t="shared" ref="M1439" si="810">L1439*1.022</f>
        <v>31402.202354417663</v>
      </c>
      <c r="N1439" s="54">
        <f t="shared" ref="N1439" si="811">M1439*1.023</f>
        <v>32124.453008569268</v>
      </c>
      <c r="O1439" s="54">
        <f t="shared" ref="O1439:P1439" si="812">N1439*1.025</f>
        <v>32927.564333783499</v>
      </c>
      <c r="P1439" s="54">
        <f t="shared" si="812"/>
        <v>33750.753442128087</v>
      </c>
      <c r="Q1439" s="54">
        <f t="shared" ref="Q1439:R1439" si="813">P1439*1.024</f>
        <v>34560.771524739161</v>
      </c>
      <c r="R1439" s="54">
        <f t="shared" si="813"/>
        <v>35390.230041332899</v>
      </c>
    </row>
    <row r="1440" spans="1:18" x14ac:dyDescent="0.25">
      <c r="A1440" s="43" t="s">
        <v>220</v>
      </c>
      <c r="C1440" s="50">
        <v>108691</v>
      </c>
      <c r="D1440" s="54">
        <v>61908</v>
      </c>
      <c r="E1440" s="54">
        <v>80595</v>
      </c>
      <c r="F1440" s="54">
        <v>107028</v>
      </c>
      <c r="G1440" s="54">
        <v>-55315</v>
      </c>
      <c r="H1440" s="54">
        <v>60300</v>
      </c>
      <c r="I1440" s="50">
        <f>H1440*1.025</f>
        <v>61807.499999999993</v>
      </c>
      <c r="J1440" s="50">
        <f>I1440*1.029</f>
        <v>63599.917499999989</v>
      </c>
      <c r="K1440" s="54">
        <f>J1440*1.031</f>
        <v>65571.514942499984</v>
      </c>
      <c r="L1440" s="54">
        <f>K1440*1.033</f>
        <v>67735.374935602478</v>
      </c>
      <c r="M1440" s="54">
        <f>L1440*1.032</f>
        <v>69902.906933541759</v>
      </c>
      <c r="N1440" s="54">
        <f>M1440*1.03</f>
        <v>71999.994141548013</v>
      </c>
      <c r="O1440" s="54">
        <f>N1440*1.032</f>
        <v>74303.993954077552</v>
      </c>
      <c r="P1440" s="54">
        <f>O1440*1.034</f>
        <v>76830.329748516189</v>
      </c>
      <c r="Q1440" s="54">
        <f>P1440*1.034</f>
        <v>79442.560959965747</v>
      </c>
      <c r="R1440" s="54">
        <f>Q1440*1.034</f>
        <v>82143.608032604592</v>
      </c>
    </row>
    <row r="1441" spans="1:18" x14ac:dyDescent="0.25">
      <c r="A1441" s="43" t="s">
        <v>221</v>
      </c>
      <c r="C1441" s="57">
        <v>23916</v>
      </c>
      <c r="D1441" s="180">
        <v>22498</v>
      </c>
      <c r="E1441" s="180">
        <v>26515</v>
      </c>
      <c r="F1441" s="98">
        <v>23092</v>
      </c>
      <c r="G1441" s="180">
        <v>19234</v>
      </c>
      <c r="H1441" s="180">
        <v>11560</v>
      </c>
      <c r="I1441" s="180">
        <v>11560</v>
      </c>
      <c r="J1441" s="180">
        <v>16660</v>
      </c>
      <c r="K1441" s="180">
        <v>17060</v>
      </c>
      <c r="L1441" s="180">
        <v>17700</v>
      </c>
      <c r="M1441" s="180">
        <v>17700</v>
      </c>
      <c r="N1441" s="180">
        <v>18500</v>
      </c>
      <c r="O1441" s="180">
        <v>18500</v>
      </c>
      <c r="P1441" s="180">
        <v>19000</v>
      </c>
      <c r="Q1441" s="180">
        <v>19740</v>
      </c>
      <c r="R1441" s="180">
        <v>19740</v>
      </c>
    </row>
    <row r="1442" spans="1:18" x14ac:dyDescent="0.25">
      <c r="A1442" s="43" t="s">
        <v>900</v>
      </c>
      <c r="C1442" s="50">
        <v>65246</v>
      </c>
      <c r="D1442" s="50">
        <v>63000</v>
      </c>
      <c r="E1442" s="50">
        <v>58548</v>
      </c>
      <c r="F1442" s="50">
        <v>89000</v>
      </c>
      <c r="G1442" s="50">
        <v>83000</v>
      </c>
      <c r="H1442" s="50">
        <v>86000</v>
      </c>
      <c r="I1442" s="54">
        <v>91000</v>
      </c>
      <c r="J1442" s="54">
        <f>I1442*1.05</f>
        <v>95550</v>
      </c>
      <c r="K1442" s="54">
        <f t="shared" ref="K1442:R1442" si="814">J1442*1.05</f>
        <v>100327.5</v>
      </c>
      <c r="L1442" s="54">
        <f t="shared" si="814"/>
        <v>105343.875</v>
      </c>
      <c r="M1442" s="54">
        <f t="shared" si="814"/>
        <v>110611.06875000001</v>
      </c>
      <c r="N1442" s="54">
        <f t="shared" si="814"/>
        <v>116141.6221875</v>
      </c>
      <c r="O1442" s="54">
        <f t="shared" si="814"/>
        <v>121948.70329687501</v>
      </c>
      <c r="P1442" s="54">
        <f t="shared" si="814"/>
        <v>128046.13846171877</v>
      </c>
      <c r="Q1442" s="54">
        <f t="shared" si="814"/>
        <v>134448.44538480471</v>
      </c>
      <c r="R1442" s="54">
        <f t="shared" si="814"/>
        <v>141170.86765404497</v>
      </c>
    </row>
    <row r="1443" spans="1:18" x14ac:dyDescent="0.25">
      <c r="A1443" s="43" t="s">
        <v>901</v>
      </c>
      <c r="C1443" s="50"/>
      <c r="D1443" s="50">
        <v>50000</v>
      </c>
      <c r="E1443" s="50"/>
      <c r="F1443" s="50"/>
      <c r="G1443" s="50">
        <v>0</v>
      </c>
      <c r="H1443" s="50"/>
      <c r="I1443" s="54"/>
      <c r="J1443" s="54"/>
      <c r="K1443" s="54"/>
      <c r="L1443" s="54"/>
      <c r="M1443" s="54"/>
      <c r="N1443" s="54"/>
      <c r="O1443" s="54"/>
      <c r="P1443" s="54"/>
      <c r="Q1443" s="54"/>
      <c r="R1443" s="54"/>
    </row>
    <row r="1444" spans="1:18" x14ac:dyDescent="0.25">
      <c r="A1444" s="43" t="s">
        <v>902</v>
      </c>
      <c r="C1444" s="50"/>
      <c r="D1444" s="50"/>
      <c r="E1444" s="50"/>
      <c r="F1444" s="50">
        <v>59455</v>
      </c>
      <c r="G1444" s="50">
        <v>44140</v>
      </c>
      <c r="H1444" s="50">
        <v>0</v>
      </c>
      <c r="I1444" s="54">
        <f>H1444*1.02</f>
        <v>0</v>
      </c>
      <c r="J1444" s="54">
        <f>I1444*1.021</f>
        <v>0</v>
      </c>
      <c r="K1444" s="54">
        <f>J1444*1.023</f>
        <v>0</v>
      </c>
      <c r="L1444" s="54">
        <f>K1444*1.024</f>
        <v>0</v>
      </c>
      <c r="M1444" s="54">
        <f>L1444*1.023</f>
        <v>0</v>
      </c>
      <c r="N1444" s="54">
        <f>M1444*1.021</f>
        <v>0</v>
      </c>
      <c r="O1444" s="54">
        <f>N1444*1.022</f>
        <v>0</v>
      </c>
      <c r="P1444" s="54">
        <f>O1444*1.025</f>
        <v>0</v>
      </c>
      <c r="Q1444" s="54">
        <f>P1444*1.025</f>
        <v>0</v>
      </c>
      <c r="R1444" s="54">
        <f>Q1444*1.025</f>
        <v>0</v>
      </c>
    </row>
    <row r="1445" spans="1:18" x14ac:dyDescent="0.25">
      <c r="A1445" s="43" t="s">
        <v>903</v>
      </c>
      <c r="C1445" s="50">
        <v>0</v>
      </c>
      <c r="D1445" s="68">
        <v>0</v>
      </c>
      <c r="E1445" s="68"/>
      <c r="F1445" s="68">
        <v>1400</v>
      </c>
      <c r="G1445" s="68">
        <v>780</v>
      </c>
      <c r="H1445" s="68">
        <v>5000</v>
      </c>
      <c r="I1445" s="54">
        <f t="shared" ref="I1445:I1448" si="815">H1445*1.023</f>
        <v>5115</v>
      </c>
      <c r="J1445" s="54">
        <f t="shared" ref="J1445:K1448" si="816">I1445*1.024</f>
        <v>5237.76</v>
      </c>
      <c r="K1445" s="54">
        <f t="shared" si="816"/>
        <v>5363.4662400000007</v>
      </c>
      <c r="L1445" s="54">
        <f t="shared" ref="L1445:L1448" si="817">K1445*1.023</f>
        <v>5486.8259635200002</v>
      </c>
      <c r="M1445" s="54">
        <f t="shared" ref="M1445:M1448" si="818">L1445*1.022</f>
        <v>5607.5361347174403</v>
      </c>
      <c r="N1445" s="54">
        <f t="shared" ref="N1445:N1448" si="819">M1445*1.023</f>
        <v>5736.5094658159405</v>
      </c>
      <c r="O1445" s="54">
        <f t="shared" ref="O1445:P1448" si="820">N1445*1.025</f>
        <v>5879.9222024613382</v>
      </c>
      <c r="P1445" s="54">
        <f t="shared" si="820"/>
        <v>6026.920257522871</v>
      </c>
      <c r="Q1445" s="54">
        <f t="shared" ref="Q1445:R1448" si="821">P1445*1.024</f>
        <v>6171.56634370342</v>
      </c>
      <c r="R1445" s="54">
        <f t="shared" si="821"/>
        <v>6319.6839359523019</v>
      </c>
    </row>
    <row r="1446" spans="1:18" x14ac:dyDescent="0.25">
      <c r="A1446" s="43" t="s">
        <v>904</v>
      </c>
      <c r="C1446" s="50">
        <v>12818</v>
      </c>
      <c r="D1446" s="54">
        <v>26167</v>
      </c>
      <c r="E1446">
        <v>27392</v>
      </c>
      <c r="F1446" s="54">
        <v>12895</v>
      </c>
      <c r="G1446" s="50">
        <v>3279</v>
      </c>
      <c r="H1446" s="50">
        <f>28000-3000</f>
        <v>25000</v>
      </c>
      <c r="I1446" s="54">
        <f t="shared" si="815"/>
        <v>25574.999999999996</v>
      </c>
      <c r="J1446" s="54">
        <f t="shared" si="816"/>
        <v>26188.799999999996</v>
      </c>
      <c r="K1446" s="54">
        <f t="shared" si="816"/>
        <v>26817.331199999997</v>
      </c>
      <c r="L1446" s="54">
        <f t="shared" si="817"/>
        <v>27434.129817599995</v>
      </c>
      <c r="M1446" s="54">
        <f t="shared" si="818"/>
        <v>28037.680673587194</v>
      </c>
      <c r="N1446" s="54">
        <f t="shared" si="819"/>
        <v>28682.547329079698</v>
      </c>
      <c r="O1446" s="54">
        <f t="shared" si="820"/>
        <v>29399.611012306686</v>
      </c>
      <c r="P1446" s="54">
        <f t="shared" si="820"/>
        <v>30134.60128761435</v>
      </c>
      <c r="Q1446" s="54">
        <f t="shared" si="821"/>
        <v>30857.831718517096</v>
      </c>
      <c r="R1446" s="54">
        <f t="shared" si="821"/>
        <v>31598.419679761508</v>
      </c>
    </row>
    <row r="1447" spans="1:18" x14ac:dyDescent="0.25">
      <c r="A1447" s="52" t="s">
        <v>905</v>
      </c>
      <c r="B1447" s="53"/>
      <c r="C1447" s="50">
        <v>13030</v>
      </c>
      <c r="D1447" s="54">
        <v>12924</v>
      </c>
      <c r="E1447" s="54">
        <v>6881</v>
      </c>
      <c r="F1447" s="54">
        <v>6915</v>
      </c>
      <c r="G1447" s="50">
        <v>3692</v>
      </c>
      <c r="H1447" s="50">
        <v>8700</v>
      </c>
      <c r="I1447" s="54">
        <f t="shared" si="815"/>
        <v>8900.0999999999985</v>
      </c>
      <c r="J1447" s="54">
        <f t="shared" si="816"/>
        <v>9113.7023999999983</v>
      </c>
      <c r="K1447" s="54">
        <f t="shared" si="816"/>
        <v>9332.4312575999993</v>
      </c>
      <c r="L1447" s="54">
        <f t="shared" si="817"/>
        <v>9547.0771765247991</v>
      </c>
      <c r="M1447" s="54">
        <f t="shared" si="818"/>
        <v>9757.1128744083453</v>
      </c>
      <c r="N1447" s="54">
        <f t="shared" si="819"/>
        <v>9981.5264705197369</v>
      </c>
      <c r="O1447" s="54">
        <f t="shared" si="820"/>
        <v>10231.064632282729</v>
      </c>
      <c r="P1447" s="54">
        <f t="shared" si="820"/>
        <v>10486.841248089797</v>
      </c>
      <c r="Q1447" s="54">
        <f t="shared" si="821"/>
        <v>10738.525438043953</v>
      </c>
      <c r="R1447" s="54">
        <f t="shared" si="821"/>
        <v>10996.250048557007</v>
      </c>
    </row>
    <row r="1448" spans="1:18" x14ac:dyDescent="0.25">
      <c r="A1448" s="43" t="s">
        <v>906</v>
      </c>
      <c r="C1448" s="50">
        <v>129</v>
      </c>
      <c r="D1448" s="54">
        <v>1307</v>
      </c>
      <c r="E1448">
        <v>422</v>
      </c>
      <c r="F1448" s="54">
        <v>263</v>
      </c>
      <c r="G1448" s="54">
        <v>448</v>
      </c>
      <c r="H1448" s="54">
        <v>500</v>
      </c>
      <c r="I1448" s="54">
        <f t="shared" si="815"/>
        <v>511.49999999999994</v>
      </c>
      <c r="J1448" s="54">
        <f t="shared" si="816"/>
        <v>523.77599999999995</v>
      </c>
      <c r="K1448" s="54">
        <f t="shared" si="816"/>
        <v>536.34662400000002</v>
      </c>
      <c r="L1448" s="54">
        <f t="shared" si="817"/>
        <v>548.68259635200002</v>
      </c>
      <c r="M1448" s="54">
        <f t="shared" si="818"/>
        <v>560.75361347174407</v>
      </c>
      <c r="N1448" s="54">
        <f t="shared" si="819"/>
        <v>573.6509465815941</v>
      </c>
      <c r="O1448" s="54">
        <f t="shared" si="820"/>
        <v>587.99222024613391</v>
      </c>
      <c r="P1448" s="54">
        <f t="shared" si="820"/>
        <v>602.69202575228724</v>
      </c>
      <c r="Q1448" s="54">
        <f t="shared" si="821"/>
        <v>617.15663437034209</v>
      </c>
      <c r="R1448" s="54">
        <f t="shared" si="821"/>
        <v>631.96839359523028</v>
      </c>
    </row>
    <row r="1449" spans="1:18" x14ac:dyDescent="0.25">
      <c r="A1449" s="52" t="s">
        <v>907</v>
      </c>
      <c r="B1449" s="53"/>
      <c r="C1449" s="50">
        <v>83110</v>
      </c>
      <c r="D1449" s="54">
        <v>39861</v>
      </c>
      <c r="E1449">
        <f>53677-10400</f>
        <v>43277</v>
      </c>
      <c r="F1449" s="54">
        <f>52542-6226</f>
        <v>46316</v>
      </c>
      <c r="G1449" s="50">
        <v>55642</v>
      </c>
      <c r="H1449" s="50">
        <v>57000</v>
      </c>
      <c r="I1449" s="54">
        <v>58392.599999999991</v>
      </c>
      <c r="J1449" s="54">
        <v>59899.57680000001</v>
      </c>
      <c r="K1449" s="54">
        <v>61472.020663200004</v>
      </c>
      <c r="L1449" s="54">
        <v>63066.805767453581</v>
      </c>
      <c r="M1449" s="54">
        <v>64643.993694778575</v>
      </c>
      <c r="N1449" s="54">
        <v>66283.790685876491</v>
      </c>
      <c r="O1449" s="54">
        <v>68095.247239312564</v>
      </c>
      <c r="P1449" s="54">
        <v>69987.476651848512</v>
      </c>
      <c r="Q1449" s="54">
        <v>71882.061234956753</v>
      </c>
      <c r="R1449" s="54">
        <v>73830.413766375117</v>
      </c>
    </row>
    <row r="1450" spans="1:18" x14ac:dyDescent="0.25">
      <c r="A1450" s="43" t="s">
        <v>908</v>
      </c>
      <c r="C1450" s="71">
        <v>10400</v>
      </c>
      <c r="D1450" s="71">
        <v>10400</v>
      </c>
      <c r="E1450" s="71">
        <v>10400</v>
      </c>
      <c r="F1450" s="71">
        <v>10400</v>
      </c>
      <c r="G1450" s="71">
        <v>10400</v>
      </c>
      <c r="H1450" s="73">
        <v>13210</v>
      </c>
      <c r="I1450" s="73">
        <v>13520</v>
      </c>
      <c r="J1450" s="73">
        <v>13830</v>
      </c>
      <c r="K1450" s="73">
        <v>14170</v>
      </c>
      <c r="L1450" s="73">
        <v>14500</v>
      </c>
      <c r="M1450" s="73">
        <v>14810</v>
      </c>
      <c r="N1450" s="73">
        <v>15160</v>
      </c>
      <c r="O1450" s="73">
        <v>15530</v>
      </c>
      <c r="P1450" s="73">
        <v>15930</v>
      </c>
      <c r="Q1450" s="73">
        <v>16310</v>
      </c>
      <c r="R1450" s="73">
        <v>16310</v>
      </c>
    </row>
    <row r="1451" spans="1:18" x14ac:dyDescent="0.25">
      <c r="A1451" s="52" t="s">
        <v>36</v>
      </c>
      <c r="B1451" s="53"/>
      <c r="C1451" s="50">
        <v>3463</v>
      </c>
      <c r="D1451" s="54">
        <v>4795</v>
      </c>
      <c r="E1451" s="54">
        <v>6890</v>
      </c>
      <c r="F1451" s="54">
        <v>4286</v>
      </c>
      <c r="G1451" s="50">
        <v>3614</v>
      </c>
      <c r="H1451" s="50">
        <f>6200-500</f>
        <v>5700</v>
      </c>
      <c r="I1451" s="54">
        <f t="shared" ref="I1451:I1452" si="822">H1451*1.023</f>
        <v>5831.0999999999995</v>
      </c>
      <c r="J1451" s="54">
        <f t="shared" ref="J1451:K1452" si="823">I1451*1.024</f>
        <v>5971.0463999999993</v>
      </c>
      <c r="K1451" s="54">
        <f t="shared" si="823"/>
        <v>6114.3515135999996</v>
      </c>
      <c r="L1451" s="54">
        <f t="shared" ref="L1451:L1452" si="824">K1451*1.023</f>
        <v>6254.981598412799</v>
      </c>
      <c r="M1451" s="54">
        <f t="shared" ref="M1451:M1452" si="825">L1451*1.022</f>
        <v>6392.5911935778804</v>
      </c>
      <c r="N1451" s="54">
        <f t="shared" ref="N1451:N1452" si="826">M1451*1.023</f>
        <v>6539.6207910301709</v>
      </c>
      <c r="O1451" s="54">
        <f t="shared" ref="O1451:P1452" si="827">N1451*1.025</f>
        <v>6703.1113108059244</v>
      </c>
      <c r="P1451" s="54">
        <f t="shared" si="827"/>
        <v>6870.6890935760721</v>
      </c>
      <c r="Q1451" s="54">
        <f t="shared" ref="Q1451:R1452" si="828">P1451*1.024</f>
        <v>7035.5856318218976</v>
      </c>
      <c r="R1451" s="54">
        <f t="shared" si="828"/>
        <v>7204.4396869856237</v>
      </c>
    </row>
    <row r="1452" spans="1:18" x14ac:dyDescent="0.25">
      <c r="A1452" s="52" t="s">
        <v>909</v>
      </c>
      <c r="B1452" s="53"/>
      <c r="C1452" s="54">
        <v>5195</v>
      </c>
      <c r="D1452" s="54">
        <v>3244</v>
      </c>
      <c r="E1452">
        <v>4279</v>
      </c>
      <c r="F1452" s="54">
        <v>0</v>
      </c>
      <c r="G1452" s="54">
        <v>6292</v>
      </c>
      <c r="H1452" s="54">
        <v>5000</v>
      </c>
      <c r="I1452" s="54">
        <f t="shared" si="822"/>
        <v>5115</v>
      </c>
      <c r="J1452" s="54">
        <f t="shared" si="823"/>
        <v>5237.76</v>
      </c>
      <c r="K1452" s="54">
        <f t="shared" si="823"/>
        <v>5363.4662400000007</v>
      </c>
      <c r="L1452" s="54">
        <f t="shared" si="824"/>
        <v>5486.8259635200002</v>
      </c>
      <c r="M1452" s="54">
        <f t="shared" si="825"/>
        <v>5607.5361347174403</v>
      </c>
      <c r="N1452" s="54">
        <f t="shared" si="826"/>
        <v>5736.5094658159405</v>
      </c>
      <c r="O1452" s="54">
        <f t="shared" si="827"/>
        <v>5879.9222024613382</v>
      </c>
      <c r="P1452" s="54">
        <f t="shared" si="827"/>
        <v>6026.920257522871</v>
      </c>
      <c r="Q1452" s="54">
        <f t="shared" si="828"/>
        <v>6171.56634370342</v>
      </c>
      <c r="R1452" s="54">
        <f t="shared" si="828"/>
        <v>6319.6839359523019</v>
      </c>
    </row>
    <row r="1453" spans="1:18" x14ac:dyDescent="0.25">
      <c r="A1453" s="52" t="s">
        <v>910</v>
      </c>
      <c r="B1453" s="53"/>
      <c r="C1453" s="50"/>
      <c r="D1453" s="50"/>
      <c r="E1453" s="50"/>
      <c r="F1453" s="50"/>
      <c r="G1453" s="50"/>
      <c r="H1453" s="50"/>
      <c r="I1453" s="50"/>
      <c r="J1453" s="50"/>
      <c r="K1453" s="50"/>
      <c r="L1453" s="50"/>
      <c r="M1453" s="50"/>
      <c r="N1453" s="50"/>
      <c r="O1453" s="50"/>
      <c r="P1453" s="50"/>
      <c r="Q1453" s="50"/>
      <c r="R1453" s="50"/>
    </row>
    <row r="1454" spans="1:18" x14ac:dyDescent="0.25">
      <c r="A1454" s="52" t="s">
        <v>911</v>
      </c>
      <c r="B1454" s="53"/>
      <c r="C1454" s="50"/>
      <c r="D1454" s="50"/>
      <c r="E1454" s="50"/>
      <c r="F1454" s="50"/>
      <c r="G1454" s="50"/>
      <c r="H1454" s="50"/>
      <c r="I1454" s="50"/>
      <c r="J1454" s="50"/>
      <c r="K1454" s="50"/>
      <c r="L1454" s="50"/>
      <c r="M1454" s="50"/>
      <c r="N1454" s="50"/>
      <c r="O1454" s="50"/>
      <c r="P1454" s="50"/>
      <c r="Q1454" s="50"/>
      <c r="R1454" s="50"/>
    </row>
    <row r="1455" spans="1:18" x14ac:dyDescent="0.25">
      <c r="A1455" s="52" t="s">
        <v>912</v>
      </c>
      <c r="B1455" s="53"/>
      <c r="C1455" s="50">
        <v>26999</v>
      </c>
      <c r="D1455" s="54">
        <v>19866</v>
      </c>
      <c r="E1455" s="43">
        <v>25995</v>
      </c>
      <c r="F1455" s="54">
        <v>30000</v>
      </c>
      <c r="G1455" s="54">
        <v>23000</v>
      </c>
      <c r="H1455" s="54">
        <v>31000</v>
      </c>
      <c r="I1455" s="54">
        <f t="shared" ref="I1455" si="829">H1455*1.023</f>
        <v>31712.999999999996</v>
      </c>
      <c r="J1455" s="54">
        <f t="shared" ref="J1455:K1455" si="830">I1455*1.024</f>
        <v>32474.111999999997</v>
      </c>
      <c r="K1455" s="54">
        <f t="shared" si="830"/>
        <v>33253.490687999998</v>
      </c>
      <c r="L1455" s="54">
        <f t="shared" ref="L1455" si="831">K1455*1.023</f>
        <v>34018.320973823997</v>
      </c>
      <c r="M1455" s="54">
        <f t="shared" ref="M1455" si="832">L1455*1.022</f>
        <v>34766.724035248124</v>
      </c>
      <c r="N1455" s="54">
        <f t="shared" ref="N1455" si="833">M1455*1.023</f>
        <v>35566.358688058826</v>
      </c>
      <c r="O1455" s="54">
        <f t="shared" ref="O1455:P1455" si="834">N1455*1.025</f>
        <v>36455.517655260293</v>
      </c>
      <c r="P1455" s="54">
        <f t="shared" si="834"/>
        <v>37366.905596641795</v>
      </c>
      <c r="Q1455" s="54">
        <f t="shared" ref="Q1455:R1455" si="835">P1455*1.024</f>
        <v>38263.711330961196</v>
      </c>
      <c r="R1455" s="54">
        <f t="shared" si="835"/>
        <v>39182.040402904262</v>
      </c>
    </row>
    <row r="1456" spans="1:18" x14ac:dyDescent="0.25">
      <c r="A1456" s="52" t="s">
        <v>913</v>
      </c>
      <c r="B1456" s="53"/>
      <c r="C1456" s="50">
        <v>130041</v>
      </c>
      <c r="D1456" s="54">
        <v>158017</v>
      </c>
      <c r="E1456" s="43">
        <f>186728-10417-89</f>
        <v>176222</v>
      </c>
      <c r="F1456" s="54">
        <v>125004</v>
      </c>
      <c r="G1456" s="50">
        <v>105236</v>
      </c>
      <c r="H1456" s="50">
        <v>157800</v>
      </c>
      <c r="I1456" s="54">
        <v>161589</v>
      </c>
      <c r="J1456" s="54">
        <v>165876.111</v>
      </c>
      <c r="K1456" s="54">
        <v>170446.30704900002</v>
      </c>
      <c r="L1456" s="54">
        <v>175234.33444817696</v>
      </c>
      <c r="M1456" s="54">
        <v>179985.88830020948</v>
      </c>
      <c r="N1456" s="54">
        <v>184773.12200330466</v>
      </c>
      <c r="O1456" s="50">
        <v>190059.43507374331</v>
      </c>
      <c r="P1456" s="54">
        <v>195695.91478902497</v>
      </c>
      <c r="Q1456" s="54">
        <v>201409.3763316783</v>
      </c>
      <c r="R1456" s="54">
        <v>207294.53077733764</v>
      </c>
    </row>
    <row r="1457" spans="1:18" x14ac:dyDescent="0.25">
      <c r="A1457" s="43" t="s">
        <v>220</v>
      </c>
      <c r="C1457" s="50">
        <v>10500</v>
      </c>
      <c r="D1457" s="54">
        <v>9650</v>
      </c>
      <c r="E1457" s="43">
        <v>10417</v>
      </c>
      <c r="F1457" s="54">
        <v>9525</v>
      </c>
      <c r="G1457" s="54">
        <v>8091</v>
      </c>
      <c r="H1457" s="54">
        <v>15800</v>
      </c>
      <c r="I1457" s="50">
        <f>H1457*1.025</f>
        <v>16194.999999999998</v>
      </c>
      <c r="J1457" s="50">
        <f>I1457*1.029</f>
        <v>16664.654999999995</v>
      </c>
      <c r="K1457" s="54">
        <f>J1457*1.031</f>
        <v>17181.259304999992</v>
      </c>
      <c r="L1457" s="54">
        <f>K1457*1.033</f>
        <v>17748.240862064991</v>
      </c>
      <c r="M1457" s="54">
        <f>L1457*1.032</f>
        <v>18316.184569651072</v>
      </c>
      <c r="N1457" s="54">
        <f>M1457*1.03</f>
        <v>18865.670106740603</v>
      </c>
      <c r="O1457" s="54">
        <f>N1457*1.032</f>
        <v>19469.371550156302</v>
      </c>
      <c r="P1457" s="54">
        <f>O1457*1.034</f>
        <v>20131.330182861617</v>
      </c>
      <c r="Q1457" s="54">
        <f>P1457*1.034</f>
        <v>20815.795409078914</v>
      </c>
      <c r="R1457" s="54">
        <f>Q1457*1.034</f>
        <v>21523.532452987598</v>
      </c>
    </row>
    <row r="1458" spans="1:18" x14ac:dyDescent="0.25">
      <c r="A1458" s="52" t="s">
        <v>914</v>
      </c>
      <c r="B1458" s="53"/>
      <c r="C1458" s="50">
        <v>11660</v>
      </c>
      <c r="D1458" s="54">
        <v>0</v>
      </c>
      <c r="E1458" s="43">
        <v>8030</v>
      </c>
      <c r="F1458" s="54">
        <v>613</v>
      </c>
      <c r="G1458" s="54">
        <v>3000</v>
      </c>
      <c r="H1458" s="54">
        <v>10000</v>
      </c>
      <c r="I1458" s="54">
        <v>10233</v>
      </c>
      <c r="J1458" s="54">
        <v>10486.279500000001</v>
      </c>
      <c r="K1458" s="54">
        <v>10749.024820500001</v>
      </c>
      <c r="L1458" s="54">
        <v>11012.5637134965</v>
      </c>
      <c r="M1458" s="54">
        <v>11271.689710948547</v>
      </c>
      <c r="N1458" s="54">
        <v>11543.110722273866</v>
      </c>
      <c r="O1458" s="54">
        <v>11844.225802743418</v>
      </c>
      <c r="P1458" s="54">
        <v>12156.966670339034</v>
      </c>
      <c r="Q1458" s="54">
        <v>12467.845892752675</v>
      </c>
      <c r="R1458" s="54">
        <v>12786.836025263307</v>
      </c>
    </row>
    <row r="1459" spans="1:18" x14ac:dyDescent="0.25">
      <c r="A1459" s="43" t="s">
        <v>915</v>
      </c>
      <c r="C1459" s="199">
        <v>1117509</v>
      </c>
      <c r="D1459" s="199">
        <v>1136688</v>
      </c>
      <c r="E1459" s="199">
        <v>1359118</v>
      </c>
      <c r="F1459" s="199">
        <v>1365401</v>
      </c>
      <c r="G1459" s="199"/>
      <c r="H1459" s="199"/>
      <c r="I1459" s="199"/>
      <c r="J1459" s="199"/>
      <c r="K1459" s="199"/>
      <c r="L1459" s="199"/>
      <c r="M1459" s="199"/>
      <c r="N1459" s="199"/>
      <c r="O1459" s="199"/>
      <c r="P1459" s="199"/>
      <c r="Q1459" s="199"/>
      <c r="R1459" s="199"/>
    </row>
    <row r="1460" spans="1:18" x14ac:dyDescent="0.25">
      <c r="A1460" s="52" t="s">
        <v>916</v>
      </c>
      <c r="C1460" s="199"/>
      <c r="D1460" s="199"/>
      <c r="E1460" s="199"/>
      <c r="F1460" s="199"/>
      <c r="G1460" s="199">
        <v>948387</v>
      </c>
      <c r="H1460" s="199">
        <v>938567</v>
      </c>
      <c r="I1460" s="199">
        <v>946359</v>
      </c>
      <c r="J1460" s="199">
        <v>954915</v>
      </c>
      <c r="K1460" s="199">
        <v>957495</v>
      </c>
      <c r="L1460" s="200">
        <v>963853</v>
      </c>
      <c r="M1460" s="201">
        <f t="shared" ref="M1460" si="836">L1460*1.022</f>
        <v>985057.76600000006</v>
      </c>
      <c r="N1460" s="201">
        <f t="shared" ref="N1460" si="837">M1460*1.023</f>
        <v>1007714.094618</v>
      </c>
      <c r="O1460" s="201">
        <f t="shared" ref="O1460:P1460" si="838">N1460*1.025</f>
        <v>1032906.9469834499</v>
      </c>
      <c r="P1460" s="201">
        <f t="shared" si="838"/>
        <v>1058729.6206580361</v>
      </c>
      <c r="Q1460" s="201">
        <f t="shared" ref="Q1460:R1460" si="839">P1460*1.024</f>
        <v>1084139.1315538289</v>
      </c>
      <c r="R1460" s="201">
        <f t="shared" si="839"/>
        <v>1110158.4707111209</v>
      </c>
    </row>
    <row r="1461" spans="1:18" x14ac:dyDescent="0.25">
      <c r="A1461" s="52" t="s">
        <v>917</v>
      </c>
      <c r="C1461" s="199"/>
      <c r="D1461" s="199"/>
      <c r="E1461" s="199"/>
      <c r="F1461" s="199"/>
      <c r="G1461" s="199">
        <v>32509</v>
      </c>
      <c r="H1461" s="199">
        <v>31500</v>
      </c>
      <c r="I1461" s="199">
        <v>32200</v>
      </c>
      <c r="J1461" s="199">
        <v>33000</v>
      </c>
      <c r="K1461" s="199">
        <v>33800</v>
      </c>
      <c r="L1461" s="200">
        <v>34600</v>
      </c>
      <c r="M1461" s="201">
        <v>35400</v>
      </c>
      <c r="N1461" s="201">
        <v>36200</v>
      </c>
      <c r="O1461" s="201">
        <v>37100</v>
      </c>
      <c r="P1461" s="201">
        <v>38000</v>
      </c>
      <c r="Q1461" s="201">
        <v>38900</v>
      </c>
      <c r="R1461" s="201">
        <v>38900</v>
      </c>
    </row>
    <row r="1462" spans="1:18" x14ac:dyDescent="0.25">
      <c r="A1462" s="52" t="s">
        <v>918</v>
      </c>
      <c r="C1462" s="199"/>
      <c r="D1462" s="199"/>
      <c r="E1462" s="199"/>
      <c r="F1462" s="199"/>
      <c r="G1462" s="199">
        <v>271632</v>
      </c>
      <c r="H1462" s="199">
        <v>273100</v>
      </c>
      <c r="I1462" s="199">
        <v>279400</v>
      </c>
      <c r="J1462" s="199">
        <v>286100</v>
      </c>
      <c r="K1462" s="199">
        <v>293000</v>
      </c>
      <c r="L1462" s="199">
        <v>299700</v>
      </c>
      <c r="M1462" s="199">
        <v>306300</v>
      </c>
      <c r="N1462" s="199">
        <v>313300</v>
      </c>
      <c r="O1462" s="199">
        <v>321100</v>
      </c>
      <c r="P1462" s="199">
        <v>329100</v>
      </c>
      <c r="Q1462" s="199">
        <v>337000</v>
      </c>
      <c r="R1462" s="199">
        <v>337000</v>
      </c>
    </row>
    <row r="1463" spans="1:18" x14ac:dyDescent="0.25">
      <c r="A1463" s="52" t="s">
        <v>919</v>
      </c>
      <c r="C1463" s="199"/>
      <c r="D1463" s="199"/>
      <c r="E1463" s="199"/>
      <c r="F1463" s="199"/>
      <c r="G1463" s="199">
        <v>121620</v>
      </c>
      <c r="H1463" s="199">
        <v>124200</v>
      </c>
      <c r="I1463" s="199">
        <v>127100</v>
      </c>
      <c r="J1463" s="199">
        <v>130200</v>
      </c>
      <c r="K1463" s="199">
        <v>133300</v>
      </c>
      <c r="L1463" s="199">
        <v>136400</v>
      </c>
      <c r="M1463" s="199">
        <v>139400</v>
      </c>
      <c r="N1463" s="199">
        <v>142600</v>
      </c>
      <c r="O1463" s="199">
        <v>146200</v>
      </c>
      <c r="P1463" s="199">
        <v>149900</v>
      </c>
      <c r="Q1463" s="199">
        <v>153500</v>
      </c>
      <c r="R1463" s="199">
        <v>153500</v>
      </c>
    </row>
    <row r="1464" spans="1:18" x14ac:dyDescent="0.25">
      <c r="A1464" s="59" t="s">
        <v>920</v>
      </c>
      <c r="C1464" s="199"/>
      <c r="D1464" s="199"/>
      <c r="E1464" s="199"/>
      <c r="F1464" s="122">
        <v>208387</v>
      </c>
      <c r="G1464" s="122">
        <v>0</v>
      </c>
      <c r="H1464" s="52"/>
      <c r="I1464" s="52"/>
      <c r="J1464" s="52"/>
      <c r="K1464" s="52"/>
      <c r="L1464" s="52"/>
      <c r="M1464" s="52"/>
      <c r="N1464" s="52"/>
      <c r="O1464" s="52"/>
      <c r="P1464" s="52"/>
      <c r="Q1464" s="52"/>
      <c r="R1464" s="52"/>
    </row>
    <row r="1465" spans="1:18" x14ac:dyDescent="0.25">
      <c r="A1465" s="52" t="s">
        <v>916</v>
      </c>
      <c r="C1465" s="199"/>
      <c r="D1465" s="199"/>
      <c r="E1465" s="199"/>
      <c r="F1465" s="122"/>
      <c r="G1465" s="122">
        <v>84545</v>
      </c>
      <c r="H1465" s="52">
        <v>82721</v>
      </c>
      <c r="I1465" s="52">
        <v>95454</v>
      </c>
      <c r="J1465" s="52">
        <v>112487</v>
      </c>
      <c r="K1465" s="52">
        <v>85069</v>
      </c>
      <c r="L1465" s="52">
        <v>96172</v>
      </c>
      <c r="M1465" s="50">
        <f t="shared" ref="M1465:M1467" si="840">L1465*1.022</f>
        <v>98287.784</v>
      </c>
      <c r="N1465" s="50">
        <f t="shared" ref="N1465:N1467" si="841">M1465*1.023</f>
        <v>100548.40303199999</v>
      </c>
      <c r="O1465" s="50">
        <f t="shared" ref="O1465:P1467" si="842">N1465*1.025</f>
        <v>103062.11310779997</v>
      </c>
      <c r="P1465" s="50">
        <f t="shared" si="842"/>
        <v>105638.66593549497</v>
      </c>
      <c r="Q1465" s="50">
        <f t="shared" ref="Q1465:R1467" si="843">P1465*1.024</f>
        <v>108173.99391794685</v>
      </c>
      <c r="R1465" s="50">
        <f t="shared" si="843"/>
        <v>110770.16977197757</v>
      </c>
    </row>
    <row r="1466" spans="1:18" x14ac:dyDescent="0.25">
      <c r="A1466" s="52" t="s">
        <v>918</v>
      </c>
      <c r="C1466" s="199"/>
      <c r="D1466" s="199"/>
      <c r="E1466" s="199"/>
      <c r="F1466" s="122"/>
      <c r="G1466" s="122">
        <v>49161</v>
      </c>
      <c r="H1466" s="52">
        <v>99971</v>
      </c>
      <c r="I1466" s="50">
        <f t="shared" ref="I1466:I1467" si="844">H1466*1.023</f>
        <v>102270.33299999998</v>
      </c>
      <c r="J1466" s="50">
        <f t="shared" ref="J1466:K1467" si="845">I1466*1.024</f>
        <v>104724.82099199998</v>
      </c>
      <c r="K1466" s="50">
        <f t="shared" si="845"/>
        <v>107238.21669580798</v>
      </c>
      <c r="L1466" s="50">
        <f t="shared" ref="L1466:L1467" si="846">K1466*1.023</f>
        <v>109704.69567981156</v>
      </c>
      <c r="M1466" s="50">
        <f t="shared" si="840"/>
        <v>112118.19898476741</v>
      </c>
      <c r="N1466" s="50">
        <f t="shared" si="841"/>
        <v>114696.91756141705</v>
      </c>
      <c r="O1466" s="50">
        <f t="shared" si="842"/>
        <v>117564.34050045247</v>
      </c>
      <c r="P1466" s="50">
        <f t="shared" si="842"/>
        <v>120503.44901296377</v>
      </c>
      <c r="Q1466" s="50">
        <f t="shared" si="843"/>
        <v>123395.5317892749</v>
      </c>
      <c r="R1466" s="50">
        <f t="shared" si="843"/>
        <v>126357.0245522175</v>
      </c>
    </row>
    <row r="1467" spans="1:18" x14ac:dyDescent="0.25">
      <c r="A1467" s="52" t="s">
        <v>919</v>
      </c>
      <c r="C1467" s="199"/>
      <c r="D1467" s="199"/>
      <c r="E1467" s="199"/>
      <c r="F1467" s="122"/>
      <c r="G1467" s="122">
        <v>53404</v>
      </c>
      <c r="H1467" s="52">
        <v>11924</v>
      </c>
      <c r="I1467" s="50">
        <f t="shared" si="844"/>
        <v>12198.251999999999</v>
      </c>
      <c r="J1467" s="50">
        <f t="shared" si="845"/>
        <v>12491.010047999998</v>
      </c>
      <c r="K1467" s="50">
        <f t="shared" si="845"/>
        <v>12790.794289151998</v>
      </c>
      <c r="L1467" s="50">
        <f t="shared" si="846"/>
        <v>13084.982557802492</v>
      </c>
      <c r="M1467" s="50">
        <f t="shared" si="840"/>
        <v>13372.852174074147</v>
      </c>
      <c r="N1467" s="50">
        <f t="shared" si="841"/>
        <v>13680.427774077851</v>
      </c>
      <c r="O1467" s="50">
        <f t="shared" si="842"/>
        <v>14022.438468429797</v>
      </c>
      <c r="P1467" s="50">
        <f t="shared" si="842"/>
        <v>14372.99943014054</v>
      </c>
      <c r="Q1467" s="50">
        <f t="shared" si="843"/>
        <v>14717.951416463913</v>
      </c>
      <c r="R1467" s="50">
        <f t="shared" si="843"/>
        <v>15071.182250459047</v>
      </c>
    </row>
    <row r="1468" spans="1:18" x14ac:dyDescent="0.25">
      <c r="A1468" s="52" t="s">
        <v>921</v>
      </c>
      <c r="B1468" s="53"/>
      <c r="C1468" s="50">
        <v>30777</v>
      </c>
      <c r="D1468" s="54">
        <v>46471</v>
      </c>
      <c r="E1468" s="43">
        <v>44885</v>
      </c>
      <c r="F1468" s="54">
        <v>54693</v>
      </c>
      <c r="G1468" s="54">
        <v>53829</v>
      </c>
      <c r="H1468" s="54">
        <v>45000</v>
      </c>
      <c r="I1468" s="54">
        <v>46063</v>
      </c>
      <c r="J1468" s="54">
        <v>47240.261999999995</v>
      </c>
      <c r="K1468" s="54">
        <v>48477.391337999994</v>
      </c>
      <c r="L1468" s="54">
        <v>49744.610345273984</v>
      </c>
      <c r="M1468" s="54">
        <v>50996.254666584515</v>
      </c>
      <c r="N1468" s="54">
        <v>52282.775238335314</v>
      </c>
      <c r="O1468" s="54">
        <v>53706.859535145632</v>
      </c>
      <c r="P1468" s="54">
        <v>55204.793100443239</v>
      </c>
      <c r="Q1468" s="54">
        <v>56708.087009891889</v>
      </c>
      <c r="R1468" s="54">
        <v>58253.524854918607</v>
      </c>
    </row>
    <row r="1469" spans="1:18" x14ac:dyDescent="0.25">
      <c r="A1469" s="52" t="s">
        <v>922</v>
      </c>
      <c r="B1469" s="53"/>
      <c r="C1469" s="50">
        <v>6611</v>
      </c>
      <c r="D1469" s="54">
        <v>1545</v>
      </c>
      <c r="E1469" s="43">
        <v>5035</v>
      </c>
      <c r="F1469" s="54">
        <v>13678</v>
      </c>
      <c r="G1469" s="54">
        <v>0</v>
      </c>
      <c r="H1469" s="54">
        <v>12000</v>
      </c>
      <c r="I1469" s="54">
        <v>12278</v>
      </c>
      <c r="J1469" s="54">
        <v>12577.796999999999</v>
      </c>
      <c r="K1469" s="54">
        <v>12887.047203</v>
      </c>
      <c r="L1469" s="54">
        <v>13194.323503418997</v>
      </c>
      <c r="M1469" s="54">
        <v>13495.831684330964</v>
      </c>
      <c r="N1469" s="54">
        <v>13814.350578386244</v>
      </c>
      <c r="O1469" s="54">
        <v>14168.067551121036</v>
      </c>
      <c r="P1469" s="54">
        <v>14533.359388250417</v>
      </c>
      <c r="Q1469" s="54">
        <v>14894.901361785427</v>
      </c>
      <c r="R1469" s="54">
        <v>15265.553548524656</v>
      </c>
    </row>
    <row r="1470" spans="1:18" x14ac:dyDescent="0.25">
      <c r="A1470" s="43" t="s">
        <v>923</v>
      </c>
      <c r="B1470" s="53"/>
      <c r="C1470" s="50">
        <v>0</v>
      </c>
      <c r="D1470" s="50">
        <f>C1470*1.038</f>
        <v>0</v>
      </c>
      <c r="E1470" s="50">
        <f>D1470*1.038</f>
        <v>0</v>
      </c>
      <c r="F1470" s="50">
        <v>0</v>
      </c>
      <c r="G1470" s="50">
        <v>0</v>
      </c>
      <c r="H1470" s="50">
        <v>20000</v>
      </c>
      <c r="I1470" s="50">
        <f>H1470*1.025</f>
        <v>20500</v>
      </c>
      <c r="J1470" s="50">
        <f>I1470*1.029</f>
        <v>21094.5</v>
      </c>
      <c r="K1470" s="54">
        <f>J1470*1.031</f>
        <v>21748.429499999998</v>
      </c>
      <c r="L1470" s="54">
        <f>K1470*1.033</f>
        <v>22466.127673499996</v>
      </c>
      <c r="M1470" s="54">
        <f>L1470*1.032</f>
        <v>23185.043759051998</v>
      </c>
      <c r="N1470" s="54">
        <f>M1470*1.03</f>
        <v>23880.595071823558</v>
      </c>
      <c r="O1470" s="54">
        <f>N1470*1.032</f>
        <v>24644.774114121912</v>
      </c>
      <c r="P1470" s="54">
        <f>O1470*1.034</f>
        <v>25482.696434002057</v>
      </c>
      <c r="Q1470" s="54">
        <f>P1470*1.034</f>
        <v>26349.108112758127</v>
      </c>
      <c r="R1470" s="54">
        <f>Q1470*1.034</f>
        <v>27244.977788591903</v>
      </c>
    </row>
    <row r="1471" spans="1:18" x14ac:dyDescent="0.25">
      <c r="A1471" s="52" t="s">
        <v>924</v>
      </c>
      <c r="B1471" s="53"/>
      <c r="C1471" s="50"/>
      <c r="D1471" s="50"/>
      <c r="E1471" s="50"/>
      <c r="F1471" s="50"/>
      <c r="G1471" s="50"/>
      <c r="H1471" s="50"/>
      <c r="I1471" s="50"/>
      <c r="J1471" s="50"/>
      <c r="K1471" s="50"/>
      <c r="L1471" s="50"/>
      <c r="M1471" s="50"/>
      <c r="N1471" s="50"/>
      <c r="O1471" s="50"/>
      <c r="P1471" s="50"/>
      <c r="Q1471" s="50"/>
      <c r="R1471" s="50"/>
    </row>
    <row r="1472" spans="1:18" x14ac:dyDescent="0.25">
      <c r="A1472" s="52" t="s">
        <v>925</v>
      </c>
      <c r="B1472" s="53"/>
      <c r="C1472" s="50"/>
      <c r="D1472" s="50"/>
      <c r="E1472" s="50"/>
      <c r="F1472" s="50"/>
      <c r="G1472" s="50"/>
      <c r="H1472" s="50"/>
      <c r="I1472" s="50"/>
      <c r="J1472" s="50"/>
      <c r="K1472" s="50"/>
      <c r="L1472" s="50"/>
      <c r="M1472" s="50"/>
      <c r="N1472" s="50"/>
      <c r="O1472" s="50"/>
      <c r="P1472" s="50"/>
      <c r="Q1472" s="50"/>
      <c r="R1472" s="50"/>
    </row>
    <row r="1473" spans="1:18" x14ac:dyDescent="0.25">
      <c r="A1473" s="52" t="s">
        <v>926</v>
      </c>
      <c r="B1473" s="53"/>
      <c r="C1473" s="50">
        <v>3064</v>
      </c>
      <c r="D1473" s="54">
        <v>4622</v>
      </c>
      <c r="E1473" s="43">
        <v>2052</v>
      </c>
      <c r="F1473" s="54">
        <v>7309</v>
      </c>
      <c r="G1473" s="54">
        <v>10216</v>
      </c>
      <c r="H1473" s="54">
        <v>9300</v>
      </c>
      <c r="I1473" s="54">
        <v>9521.9</v>
      </c>
      <c r="J1473" s="54">
        <v>9770.9256000000005</v>
      </c>
      <c r="K1473" s="54">
        <v>10034.960114400001</v>
      </c>
      <c r="L1473" s="54">
        <v>10309.2610560312</v>
      </c>
      <c r="M1473" s="50">
        <v>10580.997054610885</v>
      </c>
      <c r="N1473" s="54">
        <v>10856.819048129608</v>
      </c>
      <c r="O1473" s="54">
        <v>11161.672357433401</v>
      </c>
      <c r="P1473" s="54">
        <v>11485.074759774656</v>
      </c>
      <c r="Q1473" s="54">
        <v>11811.681946877252</v>
      </c>
      <c r="R1473" s="54">
        <v>12147.860529827822</v>
      </c>
    </row>
    <row r="1474" spans="1:18" x14ac:dyDescent="0.25">
      <c r="A1474" s="52" t="s">
        <v>927</v>
      </c>
      <c r="B1474" s="53"/>
      <c r="C1474" s="50">
        <v>0</v>
      </c>
      <c r="D1474" s="54">
        <v>4262</v>
      </c>
      <c r="E1474" s="43">
        <v>103</v>
      </c>
      <c r="F1474" s="54"/>
      <c r="G1474" s="54">
        <v>0</v>
      </c>
      <c r="H1474" s="54">
        <v>5000</v>
      </c>
      <c r="I1474" s="54">
        <v>5117</v>
      </c>
      <c r="J1474" s="54">
        <v>5244.9329999999991</v>
      </c>
      <c r="K1474" s="54">
        <v>5378.1944669999993</v>
      </c>
      <c r="L1474" s="54">
        <v>5512.767154490999</v>
      </c>
      <c r="M1474" s="54">
        <v>5645.2810957265519</v>
      </c>
      <c r="N1474" s="54">
        <v>5783.2373262439296</v>
      </c>
      <c r="O1474" s="54">
        <v>5936.1764676751664</v>
      </c>
      <c r="P1474" s="54">
        <v>6095.6710277183993</v>
      </c>
      <c r="Q1474" s="54">
        <v>6254.7084806006424</v>
      </c>
      <c r="R1474" s="54">
        <v>6417.996038191437</v>
      </c>
    </row>
    <row r="1475" spans="1:18" x14ac:dyDescent="0.25">
      <c r="A1475" s="52" t="s">
        <v>928</v>
      </c>
      <c r="B1475" s="53"/>
      <c r="C1475" s="50">
        <v>119917</v>
      </c>
      <c r="D1475" s="50">
        <v>111184</v>
      </c>
      <c r="E1475" s="43">
        <f>112771+67540</f>
        <v>180311</v>
      </c>
      <c r="F1475" s="50">
        <v>112042</v>
      </c>
      <c r="G1475" s="50">
        <v>105649</v>
      </c>
      <c r="H1475" s="50">
        <v>96800</v>
      </c>
      <c r="I1475" s="54">
        <v>99043.999999999985</v>
      </c>
      <c r="J1475" s="54">
        <v>101466.156</v>
      </c>
      <c r="K1475" s="54">
        <v>103966.31480399999</v>
      </c>
      <c r="L1475" s="54">
        <v>106453.23313429199</v>
      </c>
      <c r="M1475" s="54">
        <v>108894.05522500981</v>
      </c>
      <c r="N1475" s="54">
        <v>111470.02842996293</v>
      </c>
      <c r="O1475" s="54">
        <v>114330.3313735332</v>
      </c>
      <c r="P1475" s="54">
        <v>117286.18296336345</v>
      </c>
      <c r="Q1475" s="54">
        <v>120213.17521879377</v>
      </c>
      <c r="R1475" s="54">
        <v>123214.22749974095</v>
      </c>
    </row>
    <row r="1476" spans="1:18" x14ac:dyDescent="0.25">
      <c r="A1476" s="52" t="s">
        <v>895</v>
      </c>
      <c r="B1476" s="53"/>
      <c r="C1476" s="50">
        <v>254771</v>
      </c>
      <c r="D1476" s="50">
        <v>239510</v>
      </c>
      <c r="E1476" s="50">
        <v>222473</v>
      </c>
      <c r="F1476" s="50">
        <v>225767</v>
      </c>
      <c r="G1476" s="50">
        <v>253484</v>
      </c>
      <c r="H1476" s="50">
        <v>262000</v>
      </c>
      <c r="I1476" s="54">
        <f t="shared" ref="I1476" si="847">H1476*1.023</f>
        <v>268026</v>
      </c>
      <c r="J1476" s="54">
        <f t="shared" ref="J1476:K1476" si="848">I1476*1.024</f>
        <v>274458.62400000001</v>
      </c>
      <c r="K1476" s="54">
        <f t="shared" si="848"/>
        <v>281045.63097600004</v>
      </c>
      <c r="L1476" s="54">
        <f t="shared" ref="L1476" si="849">K1476*1.023</f>
        <v>287509.68048844801</v>
      </c>
      <c r="M1476" s="54">
        <f t="shared" ref="M1476" si="850">L1476*1.022</f>
        <v>293834.89345919387</v>
      </c>
      <c r="N1476" s="54">
        <f t="shared" ref="N1476" si="851">M1476*1.023</f>
        <v>300593.09600875532</v>
      </c>
      <c r="O1476" s="54">
        <f t="shared" ref="O1476:P1476" si="852">N1476*1.025</f>
        <v>308107.92340897419</v>
      </c>
      <c r="P1476" s="54">
        <f t="shared" si="852"/>
        <v>315810.62149419851</v>
      </c>
      <c r="Q1476" s="54">
        <f t="shared" ref="Q1476:R1476" si="853">P1476*1.024</f>
        <v>323390.07641005929</v>
      </c>
      <c r="R1476" s="54">
        <f t="shared" si="853"/>
        <v>331151.43824390072</v>
      </c>
    </row>
    <row r="1477" spans="1:18" x14ac:dyDescent="0.25">
      <c r="A1477" s="52" t="s">
        <v>929</v>
      </c>
      <c r="B1477" s="53"/>
      <c r="C1477" s="50"/>
      <c r="D1477" s="50"/>
      <c r="E1477" s="43">
        <v>0</v>
      </c>
      <c r="F1477" s="50"/>
      <c r="G1477" s="50"/>
      <c r="H1477" s="50"/>
      <c r="I1477" s="50"/>
      <c r="J1477" s="50"/>
      <c r="K1477" s="50"/>
      <c r="L1477" s="50"/>
      <c r="M1477" s="50"/>
      <c r="N1477" s="50"/>
      <c r="O1477" s="50"/>
      <c r="P1477" s="50"/>
      <c r="Q1477" s="50"/>
      <c r="R1477" s="50"/>
    </row>
    <row r="1478" spans="1:18" x14ac:dyDescent="0.25">
      <c r="A1478" s="52" t="s">
        <v>930</v>
      </c>
      <c r="B1478" s="53"/>
      <c r="C1478" s="50">
        <f>520716-458225</f>
        <v>62491</v>
      </c>
      <c r="D1478" s="54">
        <v>90113</v>
      </c>
      <c r="E1478" s="52">
        <f>207127-111024</f>
        <v>96103</v>
      </c>
      <c r="F1478" s="50">
        <v>103968</v>
      </c>
      <c r="G1478" s="50">
        <v>110285</v>
      </c>
      <c r="H1478" s="50">
        <v>110600</v>
      </c>
      <c r="I1478" s="54">
        <v>113314.19999999998</v>
      </c>
      <c r="J1478" s="54">
        <v>116470.39079999998</v>
      </c>
      <c r="K1478" s="54">
        <v>119894.71816919997</v>
      </c>
      <c r="L1478" s="54">
        <v>123578.77978379156</v>
      </c>
      <c r="M1478" s="54">
        <v>127254.56997792608</v>
      </c>
      <c r="N1478" s="54">
        <v>130872.8030923133</v>
      </c>
      <c r="O1478" s="54">
        <v>134856.74251466291</v>
      </c>
      <c r="P1478" s="54">
        <v>139173.04171706495</v>
      </c>
      <c r="Q1478" s="54">
        <v>143598.757586363</v>
      </c>
      <c r="R1478" s="54">
        <v>148167.5997740392</v>
      </c>
    </row>
    <row r="1479" spans="1:18" x14ac:dyDescent="0.25">
      <c r="A1479" s="52" t="s">
        <v>931</v>
      </c>
      <c r="B1479" s="53"/>
      <c r="C1479" s="50">
        <v>458225</v>
      </c>
      <c r="D1479" s="54">
        <v>423680</v>
      </c>
      <c r="E1479" s="43">
        <v>111024</v>
      </c>
      <c r="F1479" s="54">
        <v>256200</v>
      </c>
      <c r="G1479" s="54">
        <v>144309</v>
      </c>
      <c r="H1479" s="54">
        <v>180000</v>
      </c>
      <c r="I1479" s="54">
        <f t="shared" ref="I1479" si="854">H1479*1.023</f>
        <v>184139.99999999997</v>
      </c>
      <c r="J1479" s="54">
        <f t="shared" ref="J1479:K1479" si="855">I1479*1.024</f>
        <v>188559.35999999999</v>
      </c>
      <c r="K1479" s="54">
        <f t="shared" si="855"/>
        <v>193084.78464</v>
      </c>
      <c r="L1479" s="54">
        <f t="shared" ref="L1479" si="856">K1479*1.023</f>
        <v>197525.73468671998</v>
      </c>
      <c r="M1479" s="54">
        <f t="shared" ref="M1479" si="857">L1479*1.022</f>
        <v>201871.30084982782</v>
      </c>
      <c r="N1479" s="54">
        <f t="shared" ref="N1479" si="858">M1479*1.023</f>
        <v>206514.34076937384</v>
      </c>
      <c r="O1479" s="54">
        <f t="shared" ref="O1479:P1479" si="859">N1479*1.025</f>
        <v>211677.19928860816</v>
      </c>
      <c r="P1479" s="54">
        <f t="shared" si="859"/>
        <v>216969.12927082335</v>
      </c>
      <c r="Q1479" s="54">
        <f t="shared" ref="Q1479" si="860">P1479*1.024</f>
        <v>222176.38837332311</v>
      </c>
      <c r="R1479" s="54">
        <v>227508.62169428286</v>
      </c>
    </row>
    <row r="1480" spans="1:18" x14ac:dyDescent="0.25">
      <c r="A1480" s="52" t="s">
        <v>932</v>
      </c>
      <c r="B1480" s="53"/>
      <c r="C1480" s="50"/>
      <c r="D1480" s="50"/>
      <c r="E1480" s="43">
        <v>0</v>
      </c>
      <c r="F1480" s="50"/>
      <c r="G1480" s="50"/>
      <c r="H1480" s="50"/>
      <c r="I1480" s="50"/>
      <c r="J1480" s="50"/>
      <c r="K1480" s="50"/>
      <c r="L1480" s="50"/>
      <c r="M1480" s="50"/>
      <c r="N1480" s="50"/>
      <c r="O1480" s="50"/>
      <c r="P1480" s="50"/>
      <c r="Q1480" s="50"/>
      <c r="R1480" s="50"/>
    </row>
    <row r="1481" spans="1:18" x14ac:dyDescent="0.25">
      <c r="A1481" s="52" t="s">
        <v>933</v>
      </c>
      <c r="B1481" s="53"/>
      <c r="C1481" s="50">
        <v>3540</v>
      </c>
      <c r="D1481" s="54">
        <v>24500</v>
      </c>
      <c r="E1481" s="43">
        <f>6893-1616</f>
        <v>5277</v>
      </c>
      <c r="F1481" s="54">
        <v>29919</v>
      </c>
      <c r="G1481" s="54">
        <v>1519</v>
      </c>
      <c r="H1481" s="54">
        <v>6500</v>
      </c>
      <c r="I1481" s="54">
        <v>6659.7000000000007</v>
      </c>
      <c r="J1481" s="54">
        <v>6832.7270999999982</v>
      </c>
      <c r="K1481" s="54">
        <v>7013.5693029000013</v>
      </c>
      <c r="L1481" s="54">
        <v>7197.4974754917002</v>
      </c>
      <c r="M1481" s="54">
        <v>7379.557195007641</v>
      </c>
      <c r="N1481" s="54">
        <v>7568.4101525075694</v>
      </c>
      <c r="O1481" s="54">
        <v>7776.9156296064029</v>
      </c>
      <c r="P1481" s="54">
        <v>7995.0695492907053</v>
      </c>
      <c r="Q1481" s="54">
        <v>8213.8118614066661</v>
      </c>
      <c r="R1481" s="54">
        <v>8438.8412288028521</v>
      </c>
    </row>
    <row r="1482" spans="1:18" x14ac:dyDescent="0.25">
      <c r="A1482" s="43" t="s">
        <v>934</v>
      </c>
      <c r="C1482" s="71">
        <v>1320</v>
      </c>
      <c r="D1482" s="71">
        <v>1408</v>
      </c>
      <c r="E1482" s="71">
        <v>1616</v>
      </c>
      <c r="F1482" s="105">
        <v>1791</v>
      </c>
      <c r="G1482" s="73">
        <v>1791</v>
      </c>
      <c r="H1482" s="73">
        <v>2630</v>
      </c>
      <c r="I1482" s="73">
        <v>2670</v>
      </c>
      <c r="J1482" s="73">
        <v>2720</v>
      </c>
      <c r="K1482" s="73">
        <v>2810</v>
      </c>
      <c r="L1482" s="73">
        <v>2850</v>
      </c>
      <c r="M1482" s="73">
        <v>2940</v>
      </c>
      <c r="N1482" s="73">
        <v>3000</v>
      </c>
      <c r="O1482" s="73">
        <v>3050</v>
      </c>
      <c r="P1482" s="73">
        <v>3150</v>
      </c>
      <c r="Q1482" s="73">
        <v>3200</v>
      </c>
      <c r="R1482" s="73">
        <v>3200</v>
      </c>
    </row>
    <row r="1483" spans="1:18" x14ac:dyDescent="0.25">
      <c r="C1483" s="50"/>
      <c r="D1483" s="50"/>
      <c r="E1483" s="50"/>
      <c r="F1483" s="50"/>
      <c r="G1483" s="50"/>
      <c r="H1483" s="50"/>
      <c r="I1483" s="50"/>
      <c r="J1483" s="50"/>
      <c r="K1483" s="50"/>
      <c r="L1483" s="50"/>
      <c r="M1483" s="50"/>
      <c r="N1483" s="50"/>
      <c r="O1483" s="50"/>
      <c r="P1483" s="50"/>
      <c r="Q1483" s="50"/>
      <c r="R1483" s="50"/>
    </row>
    <row r="1484" spans="1:18" x14ac:dyDescent="0.25">
      <c r="A1484" s="41" t="s">
        <v>230</v>
      </c>
      <c r="B1484" s="44"/>
      <c r="C1484" s="51">
        <f t="shared" ref="C1484:Q1484" si="861">SUM(C1438:C1483)</f>
        <v>3100277</v>
      </c>
      <c r="D1484" s="51">
        <f t="shared" si="861"/>
        <v>3169484</v>
      </c>
      <c r="E1484" s="51">
        <f t="shared" si="861"/>
        <v>3054354</v>
      </c>
      <c r="F1484" s="51">
        <f t="shared" ref="F1484:G1484" si="862">SUM(F1438:F1483)</f>
        <v>3415433</v>
      </c>
      <c r="G1484" s="51">
        <f t="shared" si="862"/>
        <v>3139179</v>
      </c>
      <c r="H1484" s="51">
        <f t="shared" si="861"/>
        <v>3308383</v>
      </c>
      <c r="I1484" s="51">
        <f t="shared" si="861"/>
        <v>3385917.1850000001</v>
      </c>
      <c r="J1484" s="51">
        <f t="shared" si="861"/>
        <v>3479047.55914</v>
      </c>
      <c r="K1484" s="51">
        <f t="shared" si="861"/>
        <v>3520440.59508686</v>
      </c>
      <c r="L1484" s="51">
        <f t="shared" si="861"/>
        <v>3606394.796380633</v>
      </c>
      <c r="M1484" s="51">
        <f t="shared" si="861"/>
        <v>3697192.2965648244</v>
      </c>
      <c r="N1484" s="51">
        <f t="shared" si="861"/>
        <v>3791942.9474234413</v>
      </c>
      <c r="O1484" s="51">
        <f t="shared" si="861"/>
        <v>3895733.8077036315</v>
      </c>
      <c r="P1484" s="51">
        <f t="shared" si="861"/>
        <v>4004963.029583971</v>
      </c>
      <c r="Q1484" s="51">
        <f t="shared" si="861"/>
        <v>4114678.878302115</v>
      </c>
      <c r="R1484" s="51">
        <f t="shared" ref="R1484" si="863">SUM(R1438:R1483)</f>
        <v>4213640.4646887388</v>
      </c>
    </row>
    <row r="1485" spans="1:18" x14ac:dyDescent="0.25">
      <c r="C1485" s="50"/>
      <c r="D1485" s="50"/>
      <c r="E1485" s="50"/>
      <c r="F1485" s="50"/>
      <c r="G1485" s="50"/>
      <c r="H1485" s="50"/>
      <c r="I1485" s="50"/>
      <c r="J1485" s="50"/>
      <c r="K1485" s="50"/>
      <c r="L1485" s="50"/>
      <c r="M1485" s="50"/>
      <c r="N1485" s="50"/>
      <c r="O1485" s="50"/>
      <c r="P1485" s="50"/>
      <c r="Q1485" s="50"/>
      <c r="R1485" s="50"/>
    </row>
    <row r="1486" spans="1:18" x14ac:dyDescent="0.25">
      <c r="A1486" s="41" t="s">
        <v>251</v>
      </c>
      <c r="B1486" s="44"/>
      <c r="C1486" s="50"/>
      <c r="D1486" s="50"/>
      <c r="E1486" s="50"/>
      <c r="F1486" s="50"/>
      <c r="G1486" s="50"/>
      <c r="H1486" s="50"/>
      <c r="I1486" s="50"/>
      <c r="J1486" s="50"/>
      <c r="K1486" s="50"/>
      <c r="L1486" s="50"/>
      <c r="M1486" s="50"/>
      <c r="N1486" s="50"/>
      <c r="O1486" s="50"/>
      <c r="P1486" s="50"/>
      <c r="Q1486" s="50"/>
      <c r="R1486" s="50"/>
    </row>
    <row r="1487" spans="1:18" x14ac:dyDescent="0.25">
      <c r="C1487" s="50"/>
      <c r="D1487" s="50"/>
      <c r="E1487" s="50"/>
      <c r="F1487" s="50"/>
      <c r="G1487" s="50"/>
      <c r="H1487" s="50"/>
      <c r="I1487" s="50"/>
      <c r="J1487" s="50"/>
      <c r="K1487" s="50"/>
      <c r="L1487" s="50"/>
      <c r="M1487" s="50"/>
      <c r="N1487" s="50"/>
      <c r="O1487" s="50"/>
      <c r="P1487" s="50"/>
      <c r="Q1487" s="50"/>
      <c r="R1487" s="50"/>
    </row>
    <row r="1488" spans="1:18" x14ac:dyDescent="0.25">
      <c r="A1488" s="43" t="s">
        <v>935</v>
      </c>
      <c r="C1488" s="50">
        <v>0</v>
      </c>
      <c r="D1488" s="54">
        <f>C1488*1.024</f>
        <v>0</v>
      </c>
      <c r="E1488" s="54">
        <f>D1488*1.024</f>
        <v>0</v>
      </c>
      <c r="F1488" s="54">
        <v>0</v>
      </c>
      <c r="G1488" s="54">
        <v>0</v>
      </c>
      <c r="H1488" s="54">
        <v>0</v>
      </c>
      <c r="I1488" s="54">
        <v>0</v>
      </c>
      <c r="J1488" s="54">
        <v>0</v>
      </c>
      <c r="K1488" s="54">
        <v>0</v>
      </c>
      <c r="L1488" s="54">
        <v>0</v>
      </c>
      <c r="M1488" s="54">
        <v>0</v>
      </c>
      <c r="N1488" s="54">
        <v>0</v>
      </c>
      <c r="O1488" s="54">
        <v>0</v>
      </c>
      <c r="P1488" s="54">
        <v>0</v>
      </c>
      <c r="Q1488" s="54">
        <f>P1488*1.028</f>
        <v>0</v>
      </c>
      <c r="R1488" s="54">
        <f>Q1488*1.028</f>
        <v>0</v>
      </c>
    </row>
    <row r="1489" spans="1:18" x14ac:dyDescent="0.25">
      <c r="A1489" s="64" t="s">
        <v>936</v>
      </c>
      <c r="B1489" s="164" t="s">
        <v>245</v>
      </c>
      <c r="C1489" s="50"/>
      <c r="D1489" s="63">
        <v>62487</v>
      </c>
      <c r="E1489" s="130">
        <v>119337</v>
      </c>
      <c r="F1489" s="130">
        <v>25497</v>
      </c>
      <c r="G1489" s="63">
        <v>0</v>
      </c>
      <c r="H1489" s="50"/>
      <c r="I1489" s="50"/>
      <c r="J1489" s="54"/>
      <c r="K1489" s="54"/>
      <c r="L1489" s="54"/>
      <c r="M1489" s="54"/>
      <c r="N1489" s="54"/>
      <c r="O1489" s="54"/>
      <c r="P1489" s="54"/>
      <c r="Q1489" s="54"/>
      <c r="R1489" s="54"/>
    </row>
    <row r="1490" spans="1:18" x14ac:dyDescent="0.25">
      <c r="A1490" s="202" t="s">
        <v>937</v>
      </c>
      <c r="B1490" s="164"/>
      <c r="C1490" s="50"/>
      <c r="D1490" s="50"/>
      <c r="E1490" s="50"/>
      <c r="F1490" s="50"/>
      <c r="G1490" s="63">
        <v>15979</v>
      </c>
      <c r="H1490" s="50"/>
      <c r="I1490" s="50"/>
      <c r="J1490" s="54"/>
      <c r="K1490" s="54"/>
      <c r="L1490" s="54"/>
      <c r="M1490" s="54"/>
      <c r="N1490" s="54"/>
      <c r="O1490" s="54"/>
      <c r="P1490" s="54"/>
      <c r="Q1490" s="54"/>
      <c r="R1490" s="54"/>
    </row>
    <row r="1491" spans="1:18" x14ac:dyDescent="0.25">
      <c r="A1491" s="146" t="s">
        <v>938</v>
      </c>
      <c r="B1491" s="164"/>
      <c r="C1491" s="50"/>
      <c r="D1491" s="50"/>
      <c r="E1491" s="50"/>
      <c r="F1491" s="50"/>
      <c r="G1491" s="63"/>
      <c r="H1491" s="50"/>
      <c r="I1491" s="50"/>
      <c r="J1491" s="54"/>
      <c r="K1491" s="54"/>
      <c r="L1491" s="54"/>
      <c r="M1491" s="54"/>
      <c r="N1491" s="54"/>
      <c r="O1491" s="54"/>
      <c r="P1491" s="54"/>
      <c r="Q1491" s="54"/>
      <c r="R1491" s="54"/>
    </row>
    <row r="1492" spans="1:18" x14ac:dyDescent="0.25">
      <c r="A1492" s="61" t="s">
        <v>933</v>
      </c>
      <c r="B1492" s="164"/>
      <c r="C1492" s="50"/>
      <c r="D1492" s="50"/>
      <c r="E1492" s="50"/>
      <c r="F1492" s="50"/>
      <c r="G1492" s="63"/>
      <c r="H1492" s="50"/>
      <c r="I1492" s="50"/>
      <c r="J1492" s="50"/>
      <c r="K1492" s="50"/>
      <c r="L1492" s="50"/>
      <c r="M1492" s="50"/>
      <c r="N1492" s="50"/>
      <c r="O1492" s="50"/>
      <c r="P1492" s="50"/>
      <c r="Q1492" s="50"/>
      <c r="R1492" s="50"/>
    </row>
    <row r="1493" spans="1:18" x14ac:dyDescent="0.25">
      <c r="A1493" s="41" t="s">
        <v>254</v>
      </c>
      <c r="B1493" s="44"/>
      <c r="C1493" s="51">
        <f t="shared" ref="C1493" si="864">SUM(C1488:C1492)</f>
        <v>0</v>
      </c>
      <c r="D1493" s="51">
        <f t="shared" ref="D1493:G1493" si="865">SUM(D1489:D1492)</f>
        <v>62487</v>
      </c>
      <c r="E1493" s="51">
        <f t="shared" si="865"/>
        <v>119337</v>
      </c>
      <c r="F1493" s="51">
        <f t="shared" si="865"/>
        <v>25497</v>
      </c>
      <c r="G1493" s="51">
        <f t="shared" si="865"/>
        <v>15979</v>
      </c>
      <c r="H1493" s="51">
        <f>SUM(H1489:H1492)</f>
        <v>0</v>
      </c>
      <c r="I1493" s="51">
        <f t="shared" ref="I1493:R1493" si="866">SUM(I1489:I1492)</f>
        <v>0</v>
      </c>
      <c r="J1493" s="51">
        <f t="shared" si="866"/>
        <v>0</v>
      </c>
      <c r="K1493" s="51">
        <f t="shared" si="866"/>
        <v>0</v>
      </c>
      <c r="L1493" s="51">
        <f t="shared" si="866"/>
        <v>0</v>
      </c>
      <c r="M1493" s="51">
        <f t="shared" si="866"/>
        <v>0</v>
      </c>
      <c r="N1493" s="51">
        <f t="shared" si="866"/>
        <v>0</v>
      </c>
      <c r="O1493" s="51">
        <f t="shared" si="866"/>
        <v>0</v>
      </c>
      <c r="P1493" s="51">
        <f t="shared" si="866"/>
        <v>0</v>
      </c>
      <c r="Q1493" s="51">
        <f t="shared" si="866"/>
        <v>0</v>
      </c>
      <c r="R1493" s="51">
        <f t="shared" si="866"/>
        <v>0</v>
      </c>
    </row>
    <row r="1494" spans="1:18" x14ac:dyDescent="0.25">
      <c r="C1494" s="50"/>
      <c r="D1494" s="50"/>
      <c r="E1494" s="50"/>
      <c r="F1494" s="50"/>
      <c r="G1494" s="50"/>
      <c r="H1494" s="50"/>
      <c r="I1494" s="50"/>
      <c r="J1494" s="50"/>
      <c r="K1494" s="50"/>
      <c r="L1494" s="50"/>
      <c r="M1494" s="50"/>
      <c r="N1494" s="50"/>
      <c r="O1494" s="50"/>
      <c r="P1494" s="50"/>
      <c r="Q1494" s="50"/>
      <c r="R1494" s="50"/>
    </row>
    <row r="1495" spans="1:18" x14ac:dyDescent="0.25">
      <c r="A1495" s="41" t="s">
        <v>171</v>
      </c>
      <c r="B1495" s="44"/>
      <c r="C1495" s="50"/>
      <c r="D1495" s="50"/>
      <c r="E1495" s="50"/>
      <c r="F1495" s="50"/>
      <c r="G1495" s="50"/>
      <c r="H1495" s="50"/>
      <c r="I1495" s="50"/>
      <c r="J1495" s="50"/>
      <c r="K1495" s="50"/>
      <c r="L1495" s="50"/>
      <c r="M1495" s="50"/>
      <c r="N1495" s="50"/>
      <c r="O1495" s="50"/>
      <c r="P1495" s="50"/>
      <c r="Q1495" s="50"/>
      <c r="R1495" s="50"/>
    </row>
    <row r="1496" spans="1:18" x14ac:dyDescent="0.25">
      <c r="C1496" s="50"/>
      <c r="D1496" s="50"/>
      <c r="E1496" s="50"/>
      <c r="F1496" s="50"/>
      <c r="G1496" s="50"/>
      <c r="H1496" s="50"/>
      <c r="I1496" s="50"/>
      <c r="J1496" s="50"/>
      <c r="K1496" s="50"/>
      <c r="L1496" s="50"/>
      <c r="M1496" s="50"/>
      <c r="N1496" s="50"/>
      <c r="O1496" s="50"/>
      <c r="P1496" s="50"/>
      <c r="Q1496" s="50"/>
      <c r="R1496" s="50"/>
    </row>
    <row r="1497" spans="1:18" x14ac:dyDescent="0.25">
      <c r="A1497" s="41" t="s">
        <v>939</v>
      </c>
      <c r="B1497" s="44"/>
      <c r="C1497" s="50"/>
      <c r="D1497" s="50"/>
      <c r="E1497" s="50"/>
      <c r="F1497" s="50"/>
      <c r="G1497" s="50"/>
      <c r="H1497" s="50"/>
      <c r="I1497" s="50"/>
      <c r="J1497" s="50"/>
      <c r="K1497" s="50"/>
      <c r="L1497" s="50"/>
      <c r="M1497" s="50"/>
      <c r="N1497" s="50"/>
      <c r="O1497" s="50"/>
      <c r="P1497" s="50"/>
      <c r="Q1497" s="50"/>
      <c r="R1497" s="50"/>
    </row>
    <row r="1498" spans="1:18" x14ac:dyDescent="0.25">
      <c r="A1498" s="43" t="s">
        <v>940</v>
      </c>
      <c r="C1498" s="54">
        <v>1587</v>
      </c>
      <c r="D1498" s="50">
        <v>2541</v>
      </c>
      <c r="E1498" s="43">
        <v>5384</v>
      </c>
      <c r="F1498" s="50">
        <v>5050</v>
      </c>
      <c r="G1498" s="50">
        <v>3292</v>
      </c>
      <c r="H1498" s="50">
        <v>5000</v>
      </c>
      <c r="I1498" s="54">
        <f>H1498*1.023</f>
        <v>5115</v>
      </c>
      <c r="J1498" s="54">
        <f>I1498*1.024</f>
        <v>5237.76</v>
      </c>
      <c r="K1498" s="54">
        <f>J1498*1.024</f>
        <v>5363.4662400000007</v>
      </c>
      <c r="L1498" s="54">
        <f>K1498*1.023</f>
        <v>5486.8259635200002</v>
      </c>
      <c r="M1498" s="54">
        <f>L1498*1.022</f>
        <v>5607.5361347174403</v>
      </c>
      <c r="N1498" s="54">
        <f>M1498*1.023</f>
        <v>5736.5094658159405</v>
      </c>
      <c r="O1498" s="54">
        <f>N1498*1.025</f>
        <v>5879.9222024613382</v>
      </c>
      <c r="P1498" s="54">
        <f>O1498*1.025</f>
        <v>6026.920257522871</v>
      </c>
      <c r="Q1498" s="54">
        <f>P1498*1.024</f>
        <v>6171.56634370342</v>
      </c>
      <c r="R1498" s="54">
        <f>Q1498*1.024</f>
        <v>6319.6839359523019</v>
      </c>
    </row>
    <row r="1499" spans="1:18" x14ac:dyDescent="0.25">
      <c r="A1499" s="43" t="s">
        <v>941</v>
      </c>
      <c r="C1499" s="54">
        <v>0</v>
      </c>
      <c r="D1499">
        <v>0</v>
      </c>
      <c r="E1499" s="43">
        <v>60226</v>
      </c>
      <c r="F1499">
        <v>0</v>
      </c>
      <c r="G1499" s="43">
        <v>23240</v>
      </c>
      <c r="H1499" s="43">
        <v>195000</v>
      </c>
      <c r="I1499" s="43">
        <v>178000</v>
      </c>
      <c r="J1499" s="43">
        <v>66000</v>
      </c>
      <c r="K1499" s="43">
        <v>30000</v>
      </c>
      <c r="L1499" s="43">
        <v>45000</v>
      </c>
      <c r="M1499" s="43">
        <v>142000</v>
      </c>
      <c r="N1499" s="43">
        <v>156000</v>
      </c>
      <c r="O1499" s="43">
        <v>69000</v>
      </c>
      <c r="P1499" s="43">
        <v>180000</v>
      </c>
      <c r="Q1499" s="43">
        <v>31000</v>
      </c>
      <c r="R1499" s="43">
        <v>31000</v>
      </c>
    </row>
    <row r="1500" spans="1:18" x14ac:dyDescent="0.25">
      <c r="A1500" s="43" t="s">
        <v>942</v>
      </c>
      <c r="C1500" s="54">
        <v>150464</v>
      </c>
      <c r="D1500" s="50">
        <v>143872</v>
      </c>
      <c r="E1500" s="43">
        <v>132231</v>
      </c>
      <c r="F1500">
        <v>163357</v>
      </c>
      <c r="G1500" s="50">
        <v>147041</v>
      </c>
      <c r="H1500" s="43">
        <v>253900</v>
      </c>
      <c r="I1500" s="50">
        <v>50200</v>
      </c>
      <c r="J1500" s="50">
        <v>237500</v>
      </c>
      <c r="K1500" s="50">
        <v>211025</v>
      </c>
      <c r="L1500" s="50">
        <v>178860</v>
      </c>
      <c r="M1500" s="50">
        <v>178900</v>
      </c>
      <c r="N1500" s="50">
        <v>284200</v>
      </c>
      <c r="O1500" s="50">
        <v>70400</v>
      </c>
      <c r="P1500" s="50">
        <v>229950</v>
      </c>
      <c r="Q1500" s="50">
        <v>328475</v>
      </c>
      <c r="R1500" s="50">
        <v>328475</v>
      </c>
    </row>
    <row r="1501" spans="1:18" x14ac:dyDescent="0.25">
      <c r="A1501" s="203" t="s">
        <v>943</v>
      </c>
      <c r="B1501" s="175" t="s">
        <v>691</v>
      </c>
      <c r="C1501" s="54"/>
      <c r="D1501" s="50"/>
      <c r="F1501" s="50"/>
      <c r="G1501" s="50"/>
      <c r="H1501" s="50"/>
      <c r="I1501" s="176">
        <v>217500</v>
      </c>
      <c r="J1501" s="176">
        <v>225000</v>
      </c>
      <c r="K1501" s="176">
        <v>187500</v>
      </c>
      <c r="L1501" s="176">
        <v>157500</v>
      </c>
      <c r="M1501" s="176">
        <v>135000</v>
      </c>
      <c r="N1501" s="176">
        <v>247500</v>
      </c>
      <c r="O1501" s="176">
        <v>247500</v>
      </c>
      <c r="P1501" s="176">
        <v>247500</v>
      </c>
      <c r="Q1501" s="176">
        <v>247500</v>
      </c>
      <c r="R1501" s="176">
        <v>247500</v>
      </c>
    </row>
    <row r="1502" spans="1:18" x14ac:dyDescent="0.25">
      <c r="A1502" s="203" t="s">
        <v>944</v>
      </c>
      <c r="B1502" s="175"/>
      <c r="C1502" s="54"/>
      <c r="D1502" s="50"/>
      <c r="E1502" s="177">
        <v>114165</v>
      </c>
      <c r="F1502" s="50"/>
      <c r="G1502" s="50"/>
      <c r="I1502" s="50"/>
      <c r="J1502" s="50"/>
      <c r="K1502" s="50"/>
      <c r="L1502" s="50"/>
      <c r="M1502" s="50"/>
      <c r="N1502" s="50"/>
      <c r="O1502" s="50"/>
      <c r="P1502" s="50"/>
      <c r="Q1502" s="50"/>
      <c r="R1502" s="50"/>
    </row>
    <row r="1503" spans="1:18" x14ac:dyDescent="0.25">
      <c r="A1503" s="203" t="s">
        <v>945</v>
      </c>
      <c r="B1503" s="175"/>
      <c r="C1503" s="54"/>
      <c r="D1503" s="50"/>
      <c r="E1503" s="177">
        <v>115599</v>
      </c>
      <c r="F1503" s="50"/>
      <c r="G1503" s="50"/>
      <c r="H1503" s="50"/>
      <c r="I1503" s="50"/>
      <c r="J1503" s="50"/>
      <c r="K1503" s="50"/>
      <c r="L1503" s="50"/>
      <c r="M1503" s="50"/>
      <c r="N1503" s="50"/>
      <c r="O1503" s="50"/>
      <c r="P1503" s="50"/>
      <c r="Q1503" s="50"/>
      <c r="R1503" s="50"/>
    </row>
    <row r="1504" spans="1:18" x14ac:dyDescent="0.25">
      <c r="A1504" s="203" t="s">
        <v>946</v>
      </c>
      <c r="B1504" s="175"/>
      <c r="C1504" s="54"/>
      <c r="D1504" s="50"/>
      <c r="E1504" s="177">
        <v>41530</v>
      </c>
      <c r="F1504" s="50"/>
      <c r="G1504" s="50"/>
      <c r="H1504" s="50"/>
      <c r="I1504" s="50"/>
      <c r="J1504" s="50"/>
      <c r="K1504" s="50"/>
      <c r="L1504" s="50"/>
      <c r="M1504" s="50"/>
      <c r="N1504" s="50"/>
      <c r="O1504" s="50"/>
      <c r="P1504" s="50"/>
      <c r="Q1504" s="50"/>
      <c r="R1504" s="50"/>
    </row>
    <row r="1505" spans="1:18" x14ac:dyDescent="0.25">
      <c r="A1505" s="203" t="s">
        <v>947</v>
      </c>
      <c r="B1505" s="175"/>
      <c r="C1505" s="54"/>
      <c r="D1505" s="50"/>
      <c r="E1505" s="177">
        <v>56312</v>
      </c>
      <c r="F1505" s="50"/>
      <c r="G1505" s="50"/>
      <c r="H1505" s="50"/>
      <c r="I1505" s="50"/>
      <c r="J1505" s="50"/>
      <c r="K1505" s="50"/>
      <c r="L1505" s="50"/>
      <c r="M1505" s="50"/>
      <c r="N1505" s="50"/>
      <c r="O1505" s="50"/>
      <c r="P1505" s="50"/>
      <c r="Q1505" s="50"/>
      <c r="R1505" s="50"/>
    </row>
    <row r="1506" spans="1:18" x14ac:dyDescent="0.25">
      <c r="A1506" s="61" t="s">
        <v>948</v>
      </c>
      <c r="B1506" s="164" t="s">
        <v>245</v>
      </c>
      <c r="C1506" s="67"/>
      <c r="D1506" s="63">
        <v>21012</v>
      </c>
      <c r="E1506" s="63">
        <v>10476</v>
      </c>
      <c r="F1506" s="50"/>
      <c r="G1506" s="50"/>
      <c r="H1506" s="50"/>
      <c r="I1506" s="50"/>
      <c r="J1506" s="50"/>
      <c r="K1506" s="50"/>
      <c r="L1506" s="50"/>
      <c r="M1506" s="50"/>
      <c r="N1506" s="50"/>
      <c r="O1506" s="50"/>
    </row>
    <row r="1507" spans="1:18" x14ac:dyDescent="0.25">
      <c r="A1507" s="43" t="s">
        <v>949</v>
      </c>
      <c r="B1507" s="204" t="s">
        <v>950</v>
      </c>
      <c r="C1507" s="205">
        <v>50000</v>
      </c>
      <c r="D1507" s="206"/>
      <c r="E1507" s="205">
        <v>0</v>
      </c>
      <c r="F1507" s="205">
        <v>47803</v>
      </c>
      <c r="G1507" s="205">
        <v>50000</v>
      </c>
      <c r="H1507" s="205">
        <v>50000</v>
      </c>
      <c r="I1507" s="205">
        <v>50000</v>
      </c>
      <c r="J1507" s="205">
        <v>50000</v>
      </c>
      <c r="K1507" s="205">
        <v>50000</v>
      </c>
      <c r="L1507" s="207">
        <v>50000</v>
      </c>
      <c r="M1507" s="207">
        <v>50000</v>
      </c>
      <c r="N1507" s="207">
        <v>50000</v>
      </c>
      <c r="O1507" s="207">
        <v>50000</v>
      </c>
      <c r="P1507" s="207">
        <v>50000</v>
      </c>
      <c r="Q1507" s="207">
        <v>50000</v>
      </c>
      <c r="R1507" s="207">
        <v>50000</v>
      </c>
    </row>
    <row r="1508" spans="1:18" x14ac:dyDescent="0.25">
      <c r="A1508" s="43" t="s">
        <v>951</v>
      </c>
      <c r="C1508" s="50">
        <v>0</v>
      </c>
      <c r="D1508" s="50">
        <v>399292</v>
      </c>
      <c r="E1508" s="50">
        <v>236119</v>
      </c>
      <c r="F1508" s="50">
        <v>0</v>
      </c>
      <c r="G1508" s="50">
        <v>0</v>
      </c>
      <c r="H1508" s="50">
        <v>0</v>
      </c>
      <c r="I1508" s="50">
        <v>0</v>
      </c>
      <c r="J1508" s="50">
        <v>0</v>
      </c>
      <c r="K1508" s="50">
        <v>0</v>
      </c>
      <c r="L1508" s="50">
        <v>0</v>
      </c>
      <c r="M1508" s="50">
        <v>0</v>
      </c>
      <c r="N1508" s="50">
        <v>0</v>
      </c>
      <c r="O1508" s="50">
        <v>0</v>
      </c>
      <c r="P1508" s="50">
        <v>0</v>
      </c>
      <c r="Q1508" s="50">
        <v>0</v>
      </c>
      <c r="R1508" s="50">
        <v>0</v>
      </c>
    </row>
    <row r="1509" spans="1:18" x14ac:dyDescent="0.25">
      <c r="A1509" s="52" t="s">
        <v>952</v>
      </c>
      <c r="C1509" s="50"/>
      <c r="D1509" s="50"/>
      <c r="E1509" s="50"/>
      <c r="F1509" s="50">
        <v>13760</v>
      </c>
      <c r="G1509" s="50"/>
      <c r="H1509" s="50"/>
      <c r="I1509" s="50"/>
      <c r="J1509" s="50"/>
      <c r="K1509" s="50"/>
      <c r="L1509" s="50"/>
      <c r="M1509" s="50"/>
      <c r="N1509" s="50"/>
      <c r="O1509" s="50"/>
      <c r="P1509" s="50"/>
      <c r="Q1509" s="50"/>
      <c r="R1509" s="50"/>
    </row>
    <row r="1510" spans="1:18" x14ac:dyDescent="0.25">
      <c r="A1510" s="52" t="s">
        <v>953</v>
      </c>
      <c r="C1510" s="50"/>
      <c r="D1510" s="50"/>
      <c r="E1510" s="50"/>
      <c r="F1510" s="50">
        <v>32772</v>
      </c>
      <c r="G1510" s="50"/>
      <c r="H1510" s="50"/>
      <c r="I1510" s="50"/>
      <c r="J1510" s="50"/>
      <c r="K1510" s="50"/>
      <c r="L1510" s="50"/>
      <c r="M1510" s="50"/>
      <c r="N1510" s="50"/>
      <c r="O1510" s="50"/>
      <c r="P1510" s="50"/>
      <c r="Q1510" s="50"/>
      <c r="R1510" s="50"/>
    </row>
    <row r="1511" spans="1:18" x14ac:dyDescent="0.25">
      <c r="A1511" s="43" t="s">
        <v>883</v>
      </c>
      <c r="C1511" s="50">
        <v>15000</v>
      </c>
      <c r="D1511" s="50">
        <v>15000</v>
      </c>
      <c r="E1511" s="50">
        <v>15000</v>
      </c>
      <c r="F1511" s="50">
        <v>14621</v>
      </c>
      <c r="G1511" s="50">
        <v>15000</v>
      </c>
      <c r="H1511" s="50">
        <v>15000</v>
      </c>
      <c r="I1511" s="50">
        <v>15000</v>
      </c>
      <c r="J1511" s="50">
        <v>15000</v>
      </c>
      <c r="K1511" s="50">
        <v>15000</v>
      </c>
      <c r="L1511" s="50">
        <v>15000</v>
      </c>
      <c r="M1511" s="50">
        <v>15000</v>
      </c>
      <c r="N1511" s="50">
        <v>15000</v>
      </c>
      <c r="O1511" s="50">
        <v>15000</v>
      </c>
      <c r="P1511" s="50">
        <v>15000</v>
      </c>
      <c r="Q1511" s="50">
        <v>15000</v>
      </c>
      <c r="R1511" s="50">
        <v>15000</v>
      </c>
    </row>
    <row r="1512" spans="1:18" x14ac:dyDescent="0.25">
      <c r="A1512" s="43" t="s">
        <v>954</v>
      </c>
      <c r="B1512" s="204" t="s">
        <v>950</v>
      </c>
      <c r="C1512" s="205">
        <v>145000</v>
      </c>
      <c r="D1512" s="206">
        <v>134572</v>
      </c>
      <c r="E1512" s="206">
        <v>0</v>
      </c>
      <c r="F1512" s="205">
        <v>136428</v>
      </c>
      <c r="G1512" s="205">
        <v>145000</v>
      </c>
      <c r="H1512" s="205">
        <v>145000</v>
      </c>
      <c r="I1512" s="205">
        <v>145000</v>
      </c>
      <c r="J1512" s="205">
        <v>145000</v>
      </c>
      <c r="K1512" s="205">
        <v>145000</v>
      </c>
      <c r="L1512" s="207">
        <v>145000</v>
      </c>
      <c r="M1512" s="207">
        <v>145000</v>
      </c>
      <c r="N1512" s="207">
        <v>145000</v>
      </c>
      <c r="O1512" s="207">
        <v>145000</v>
      </c>
      <c r="P1512" s="207">
        <v>145000</v>
      </c>
      <c r="Q1512" s="207">
        <v>145000</v>
      </c>
      <c r="R1512" s="207">
        <v>145000</v>
      </c>
    </row>
    <row r="1513" spans="1:18" x14ac:dyDescent="0.25">
      <c r="A1513" s="208" t="s">
        <v>955</v>
      </c>
      <c r="B1513" s="204" t="s">
        <v>950</v>
      </c>
      <c r="C1513" s="205">
        <f>529242-145000-50000</f>
        <v>334242</v>
      </c>
      <c r="D1513" s="206">
        <v>229862</v>
      </c>
      <c r="E1513" s="209">
        <f>84905+1400+37378+5100+75389+103450</f>
        <v>307622</v>
      </c>
      <c r="F1513" s="205">
        <v>306646</v>
      </c>
      <c r="G1513" s="205">
        <v>189016</v>
      </c>
      <c r="H1513" s="205">
        <f>516000-195000</f>
        <v>321000</v>
      </c>
      <c r="I1513" s="205">
        <f>527000-195000</f>
        <v>332000</v>
      </c>
      <c r="J1513" s="205">
        <f>546000-195000</f>
        <v>351000</v>
      </c>
      <c r="K1513" s="205">
        <f>513000-195000</f>
        <v>318000</v>
      </c>
      <c r="L1513" s="207">
        <f>541000-195000</f>
        <v>346000</v>
      </c>
      <c r="M1513" s="207">
        <f>550000-195000</f>
        <v>355000</v>
      </c>
      <c r="N1513" s="207">
        <f t="shared" ref="N1513:R1513" si="867">550000-195000</f>
        <v>355000</v>
      </c>
      <c r="O1513" s="207">
        <f t="shared" si="867"/>
        <v>355000</v>
      </c>
      <c r="P1513" s="207">
        <f t="shared" si="867"/>
        <v>355000</v>
      </c>
      <c r="Q1513" s="207">
        <f t="shared" si="867"/>
        <v>355000</v>
      </c>
      <c r="R1513" s="207">
        <f t="shared" si="867"/>
        <v>355000</v>
      </c>
    </row>
    <row r="1514" spans="1:18" x14ac:dyDescent="0.25">
      <c r="A1514" s="210" t="s">
        <v>956</v>
      </c>
      <c r="B1514" s="204"/>
      <c r="C1514" s="205"/>
      <c r="D1514" s="206">
        <v>0</v>
      </c>
      <c r="E1514" s="50"/>
      <c r="F1514" s="50"/>
      <c r="G1514" s="50"/>
      <c r="H1514" s="50"/>
      <c r="I1514" s="50"/>
      <c r="J1514" s="50"/>
      <c r="K1514" s="50"/>
      <c r="L1514" s="50"/>
      <c r="M1514" s="50"/>
      <c r="N1514" s="50"/>
      <c r="O1514" s="50"/>
    </row>
    <row r="1515" spans="1:18" x14ac:dyDescent="0.25">
      <c r="A1515" s="210" t="s">
        <v>957</v>
      </c>
      <c r="B1515" s="204"/>
      <c r="C1515" s="205"/>
      <c r="D1515" s="206">
        <v>36122</v>
      </c>
      <c r="E1515" s="50"/>
      <c r="F1515" s="50"/>
      <c r="G1515" s="50"/>
      <c r="H1515" s="50"/>
      <c r="I1515" s="50"/>
      <c r="J1515" s="50"/>
      <c r="K1515" s="50"/>
      <c r="L1515" s="50"/>
      <c r="M1515" s="50"/>
      <c r="N1515" s="50"/>
      <c r="O1515" s="50"/>
    </row>
    <row r="1516" spans="1:18" s="43" customFormat="1" x14ac:dyDescent="0.25">
      <c r="A1516" s="210" t="s">
        <v>958</v>
      </c>
      <c r="B1516" s="42"/>
      <c r="C1516" s="50"/>
      <c r="D1516" s="50"/>
      <c r="E1516" s="206">
        <v>78471</v>
      </c>
      <c r="F1516" s="50"/>
      <c r="G1516" s="50"/>
      <c r="H1516" s="50"/>
      <c r="I1516" s="50"/>
      <c r="J1516" s="50"/>
      <c r="K1516" s="50"/>
      <c r="L1516" s="50"/>
      <c r="M1516" s="50"/>
      <c r="N1516" s="50"/>
      <c r="O1516" s="50"/>
    </row>
    <row r="1517" spans="1:18" s="43" customFormat="1" x14ac:dyDescent="0.25">
      <c r="A1517" s="210" t="s">
        <v>959</v>
      </c>
      <c r="B1517" s="42"/>
      <c r="C1517" s="50"/>
      <c r="D1517" s="50"/>
      <c r="E1517" s="206">
        <v>83030</v>
      </c>
      <c r="F1517" s="50"/>
      <c r="G1517" s="50"/>
      <c r="H1517" s="50"/>
      <c r="I1517" s="50"/>
      <c r="J1517" s="50"/>
      <c r="K1517" s="50"/>
      <c r="L1517" s="50"/>
      <c r="M1517" s="50"/>
      <c r="N1517" s="50"/>
      <c r="O1517" s="50"/>
    </row>
    <row r="1518" spans="1:18" x14ac:dyDescent="0.25">
      <c r="A1518" s="146" t="s">
        <v>937</v>
      </c>
      <c r="B1518" s="164" t="s">
        <v>245</v>
      </c>
      <c r="C1518" s="50"/>
      <c r="D1518" s="130"/>
      <c r="E1518" s="63">
        <v>0</v>
      </c>
      <c r="G1518" s="50"/>
      <c r="H1518" s="50"/>
      <c r="I1518" s="50"/>
      <c r="J1518" s="50"/>
      <c r="K1518" s="50"/>
      <c r="L1518" s="50"/>
      <c r="M1518" s="50"/>
      <c r="N1518" s="50"/>
      <c r="O1518" s="50"/>
    </row>
    <row r="1519" spans="1:18" x14ac:dyDescent="0.25">
      <c r="A1519" s="146" t="s">
        <v>938</v>
      </c>
      <c r="B1519" s="164" t="s">
        <v>245</v>
      </c>
      <c r="C1519" s="50"/>
      <c r="D1519" s="50"/>
      <c r="E1519" s="130">
        <v>33110</v>
      </c>
      <c r="F1519" s="130">
        <v>8006</v>
      </c>
      <c r="G1519" s="50"/>
      <c r="H1519" s="50"/>
      <c r="I1519" s="50"/>
      <c r="J1519" s="50"/>
      <c r="K1519" s="50"/>
      <c r="L1519" s="50"/>
      <c r="M1519" s="50"/>
      <c r="N1519" s="50"/>
      <c r="O1519" s="50"/>
    </row>
    <row r="1520" spans="1:18" x14ac:dyDescent="0.25">
      <c r="A1520" s="146" t="s">
        <v>960</v>
      </c>
      <c r="B1520" s="164"/>
      <c r="C1520" s="50"/>
      <c r="D1520" s="50"/>
      <c r="E1520" s="130">
        <v>59000</v>
      </c>
      <c r="F1520" s="50"/>
      <c r="G1520" s="50"/>
      <c r="H1520" s="50"/>
      <c r="I1520" s="50"/>
      <c r="J1520" s="50"/>
      <c r="K1520" s="50"/>
      <c r="L1520" s="50"/>
      <c r="M1520" s="50"/>
      <c r="N1520" s="50"/>
      <c r="O1520" s="50"/>
    </row>
    <row r="1521" spans="1:18" x14ac:dyDescent="0.25">
      <c r="A1521" s="211" t="s">
        <v>961</v>
      </c>
      <c r="B1521" s="212" t="s">
        <v>590</v>
      </c>
      <c r="C1521" s="54">
        <v>1908</v>
      </c>
      <c r="D1521" s="160">
        <v>112808</v>
      </c>
      <c r="E1521" s="160">
        <v>34385</v>
      </c>
      <c r="F1521" s="160">
        <v>0</v>
      </c>
      <c r="G1521" s="160">
        <v>96681</v>
      </c>
      <c r="H1521" s="160">
        <v>161655</v>
      </c>
      <c r="I1521" s="160">
        <v>103050</v>
      </c>
      <c r="J1521" s="160">
        <v>112620</v>
      </c>
      <c r="K1521" s="160">
        <v>118850</v>
      </c>
      <c r="L1521" s="160">
        <v>125200</v>
      </c>
      <c r="M1521" s="161">
        <v>127720</v>
      </c>
      <c r="N1521" s="162">
        <v>120650</v>
      </c>
      <c r="O1521" s="162">
        <v>130000</v>
      </c>
      <c r="P1521" s="162">
        <v>130000</v>
      </c>
      <c r="Q1521" s="162">
        <v>130000</v>
      </c>
      <c r="R1521" s="162">
        <v>130000</v>
      </c>
    </row>
    <row r="1522" spans="1:18" s="43" customFormat="1" x14ac:dyDescent="0.25">
      <c r="A1522" s="211" t="s">
        <v>962</v>
      </c>
      <c r="B1522" s="212" t="s">
        <v>590</v>
      </c>
      <c r="C1522" s="50"/>
      <c r="D1522" s="50"/>
      <c r="E1522" s="160">
        <v>1190</v>
      </c>
      <c r="F1522" s="160">
        <v>10308</v>
      </c>
      <c r="G1522" s="50"/>
      <c r="H1522" s="50"/>
      <c r="I1522" s="50"/>
      <c r="J1522" s="50"/>
      <c r="K1522" s="50"/>
      <c r="L1522" s="50"/>
      <c r="M1522" s="50"/>
      <c r="N1522" s="50"/>
      <c r="O1522" s="50"/>
    </row>
    <row r="1523" spans="1:18" s="43" customFormat="1" x14ac:dyDescent="0.25">
      <c r="A1523" s="211" t="s">
        <v>963</v>
      </c>
      <c r="B1523" s="212"/>
      <c r="C1523" s="50"/>
      <c r="D1523" s="50"/>
      <c r="E1523" s="160"/>
      <c r="F1523" s="50"/>
      <c r="G1523" s="50"/>
      <c r="H1523" s="50"/>
      <c r="I1523" s="50"/>
      <c r="J1523" s="50"/>
      <c r="K1523" s="50"/>
      <c r="L1523" s="50"/>
      <c r="M1523" s="50"/>
      <c r="N1523" s="50"/>
      <c r="O1523" s="50"/>
    </row>
    <row r="1524" spans="1:18" s="43" customFormat="1" x14ac:dyDescent="0.25">
      <c r="A1524" s="211" t="s">
        <v>964</v>
      </c>
      <c r="B1524" s="212" t="s">
        <v>590</v>
      </c>
      <c r="C1524" s="50"/>
      <c r="D1524" s="50"/>
      <c r="E1524" s="160">
        <v>27200</v>
      </c>
      <c r="F1524" s="50"/>
      <c r="G1524" s="50"/>
      <c r="H1524" s="50"/>
      <c r="I1524" s="50"/>
      <c r="J1524" s="50"/>
      <c r="K1524" s="50"/>
      <c r="L1524" s="50"/>
      <c r="M1524" s="50"/>
      <c r="N1524" s="50"/>
      <c r="O1524" s="50"/>
    </row>
    <row r="1525" spans="1:18" s="43" customFormat="1" x14ac:dyDescent="0.25">
      <c r="A1525" s="211" t="s">
        <v>965</v>
      </c>
      <c r="B1525" s="212" t="s">
        <v>590</v>
      </c>
      <c r="C1525" s="50"/>
      <c r="D1525" s="50"/>
      <c r="E1525" s="160">
        <v>4480</v>
      </c>
      <c r="F1525" s="50"/>
      <c r="G1525" s="50"/>
      <c r="H1525" s="50"/>
      <c r="I1525" s="50"/>
      <c r="J1525" s="50"/>
      <c r="K1525" s="50"/>
      <c r="L1525" s="50"/>
      <c r="M1525" s="50"/>
      <c r="N1525" s="50"/>
      <c r="O1525" s="50"/>
    </row>
    <row r="1526" spans="1:18" s="43" customFormat="1" x14ac:dyDescent="0.25">
      <c r="A1526" s="211" t="s">
        <v>966</v>
      </c>
      <c r="B1526" s="212" t="s">
        <v>590</v>
      </c>
      <c r="C1526" s="50"/>
      <c r="D1526" s="50"/>
      <c r="E1526" s="160">
        <v>46040</v>
      </c>
      <c r="F1526" s="160">
        <v>53414</v>
      </c>
      <c r="G1526" s="50"/>
      <c r="H1526" s="50"/>
      <c r="I1526" s="50"/>
      <c r="J1526" s="50"/>
      <c r="K1526" s="50"/>
      <c r="L1526" s="50"/>
      <c r="M1526" s="50"/>
      <c r="N1526" s="50"/>
      <c r="O1526" s="50"/>
    </row>
    <row r="1527" spans="1:18" s="43" customFormat="1" x14ac:dyDescent="0.25">
      <c r="A1527" s="52" t="s">
        <v>966</v>
      </c>
      <c r="B1527" s="53"/>
      <c r="C1527" s="50"/>
      <c r="D1527" s="50"/>
      <c r="E1527" s="50"/>
      <c r="F1527" s="50">
        <v>18366</v>
      </c>
      <c r="G1527" s="50"/>
      <c r="H1527" s="50"/>
      <c r="I1527" s="50"/>
      <c r="J1527" s="50"/>
      <c r="K1527" s="50"/>
      <c r="L1527" s="50"/>
      <c r="M1527" s="50"/>
      <c r="N1527" s="50"/>
      <c r="O1527" s="50"/>
    </row>
    <row r="1528" spans="1:18" x14ac:dyDescent="0.25">
      <c r="A1528" s="213" t="s">
        <v>967</v>
      </c>
      <c r="B1528" s="212" t="s">
        <v>590</v>
      </c>
      <c r="C1528" s="54">
        <v>77639</v>
      </c>
      <c r="D1528" s="160">
        <v>2568</v>
      </c>
      <c r="E1528" s="160">
        <v>68787</v>
      </c>
      <c r="F1528" s="160">
        <v>36133</v>
      </c>
      <c r="G1528" s="160">
        <v>100270</v>
      </c>
      <c r="H1528" s="160">
        <v>98416</v>
      </c>
      <c r="I1528" s="160">
        <v>89325</v>
      </c>
      <c r="J1528" s="160">
        <v>98000</v>
      </c>
      <c r="K1528" s="160">
        <v>81550</v>
      </c>
      <c r="L1528" s="160">
        <v>96000</v>
      </c>
      <c r="M1528" s="161">
        <v>92627</v>
      </c>
      <c r="N1528" s="162">
        <v>111087</v>
      </c>
      <c r="O1528" s="162">
        <v>111087</v>
      </c>
      <c r="P1528" s="162">
        <v>111087</v>
      </c>
      <c r="Q1528" s="162">
        <v>111087</v>
      </c>
      <c r="R1528" s="162">
        <v>111087</v>
      </c>
    </row>
    <row r="1529" spans="1:18" x14ac:dyDescent="0.25">
      <c r="A1529" s="213" t="s">
        <v>968</v>
      </c>
      <c r="B1529" s="212"/>
      <c r="C1529" s="54"/>
      <c r="D1529" s="50"/>
      <c r="E1529" s="50"/>
      <c r="F1529" s="50"/>
      <c r="G1529" s="160"/>
      <c r="H1529" s="50"/>
      <c r="I1529" s="50"/>
      <c r="J1529" s="50"/>
      <c r="K1529" s="50"/>
      <c r="L1529" s="50"/>
      <c r="M1529" s="50"/>
    </row>
    <row r="1530" spans="1:18" x14ac:dyDescent="0.25">
      <c r="A1530" s="213" t="s">
        <v>969</v>
      </c>
      <c r="B1530" s="212"/>
      <c r="C1530" s="54"/>
      <c r="D1530" s="50"/>
      <c r="E1530" s="50"/>
      <c r="F1530" s="50"/>
      <c r="G1530" s="160"/>
      <c r="H1530" s="50"/>
      <c r="I1530" s="50"/>
      <c r="J1530" s="50"/>
      <c r="K1530" s="50"/>
      <c r="L1530" s="50"/>
      <c r="M1530" s="50"/>
    </row>
    <row r="1531" spans="1:18" x14ac:dyDescent="0.25">
      <c r="A1531" s="213" t="s">
        <v>970</v>
      </c>
      <c r="B1531" s="212"/>
      <c r="C1531" s="54"/>
      <c r="D1531" s="50"/>
      <c r="E1531" s="50"/>
      <c r="F1531" s="50"/>
      <c r="G1531" s="160"/>
      <c r="H1531" s="50"/>
      <c r="I1531" s="50"/>
      <c r="J1531" s="50"/>
      <c r="K1531" s="50"/>
      <c r="L1531" s="50"/>
      <c r="M1531" s="50"/>
    </row>
    <row r="1532" spans="1:18" s="43" customFormat="1" x14ac:dyDescent="0.25">
      <c r="A1532" s="213" t="s">
        <v>971</v>
      </c>
      <c r="B1532" s="212" t="s">
        <v>590</v>
      </c>
      <c r="C1532" s="50"/>
      <c r="D1532" s="50"/>
      <c r="E1532" s="160">
        <v>56107</v>
      </c>
      <c r="F1532" s="50"/>
      <c r="G1532" s="50"/>
      <c r="H1532" s="50"/>
      <c r="I1532" s="50"/>
      <c r="J1532" s="50"/>
      <c r="K1532" s="50"/>
      <c r="L1532" s="50"/>
      <c r="M1532" s="50"/>
      <c r="N1532" s="50"/>
      <c r="O1532" s="50"/>
    </row>
    <row r="1533" spans="1:18" s="43" customFormat="1" x14ac:dyDescent="0.25">
      <c r="A1533" s="213" t="s">
        <v>972</v>
      </c>
      <c r="B1533" s="212" t="s">
        <v>590</v>
      </c>
      <c r="C1533" s="50"/>
      <c r="D1533" s="50"/>
      <c r="E1533" s="160">
        <v>0</v>
      </c>
      <c r="F1533" s="50"/>
      <c r="G1533" s="50"/>
      <c r="H1533" s="50"/>
      <c r="I1533" s="50"/>
      <c r="J1533" s="50"/>
      <c r="K1533" s="50"/>
      <c r="L1533" s="50"/>
      <c r="M1533" s="50"/>
      <c r="N1533" s="50"/>
      <c r="O1533" s="50"/>
    </row>
    <row r="1534" spans="1:18" s="43" customFormat="1" x14ac:dyDescent="0.25">
      <c r="A1534" s="213" t="s">
        <v>973</v>
      </c>
      <c r="B1534" s="212" t="s">
        <v>590</v>
      </c>
      <c r="C1534" s="50"/>
      <c r="D1534" s="50"/>
      <c r="E1534" s="160">
        <v>35910</v>
      </c>
      <c r="F1534" s="50"/>
      <c r="G1534" s="50"/>
      <c r="H1534" s="50"/>
      <c r="I1534" s="50"/>
      <c r="J1534" s="50"/>
      <c r="K1534" s="50"/>
      <c r="L1534" s="50"/>
      <c r="M1534" s="50"/>
      <c r="N1534" s="50"/>
      <c r="O1534" s="50"/>
    </row>
    <row r="1535" spans="1:18" x14ac:dyDescent="0.25">
      <c r="A1535" s="43" t="s">
        <v>974</v>
      </c>
      <c r="C1535" s="50">
        <v>0</v>
      </c>
      <c r="D1535" s="50">
        <v>0</v>
      </c>
      <c r="E1535" s="50">
        <v>0</v>
      </c>
      <c r="F1535" s="50">
        <v>0</v>
      </c>
      <c r="G1535" s="50">
        <v>0</v>
      </c>
      <c r="H1535" s="50">
        <v>0</v>
      </c>
      <c r="I1535" s="50">
        <v>0</v>
      </c>
      <c r="J1535" s="50">
        <v>0</v>
      </c>
      <c r="K1535" s="50">
        <v>0</v>
      </c>
      <c r="L1535" s="50">
        <v>0</v>
      </c>
      <c r="M1535" s="50">
        <v>0</v>
      </c>
      <c r="N1535" s="50">
        <v>0</v>
      </c>
      <c r="O1535" s="50">
        <v>0</v>
      </c>
    </row>
    <row r="1536" spans="1:18" x14ac:dyDescent="0.25">
      <c r="A1536" s="61" t="s">
        <v>933</v>
      </c>
      <c r="B1536" s="129" t="s">
        <v>245</v>
      </c>
      <c r="C1536" s="50"/>
      <c r="D1536" s="63">
        <v>16165</v>
      </c>
      <c r="E1536" s="63">
        <v>16751</v>
      </c>
      <c r="F1536" s="63">
        <v>17491</v>
      </c>
      <c r="G1536" s="63">
        <v>0</v>
      </c>
      <c r="H1536" s="50"/>
      <c r="I1536" s="50"/>
      <c r="J1536" s="50"/>
      <c r="K1536" s="50"/>
      <c r="L1536" s="50"/>
      <c r="M1536" s="50"/>
      <c r="N1536" s="50"/>
      <c r="O1536" s="50"/>
    </row>
    <row r="1537" spans="1:18" x14ac:dyDescent="0.25">
      <c r="A1537" s="41" t="s">
        <v>975</v>
      </c>
      <c r="B1537" s="44"/>
      <c r="C1537" s="50"/>
      <c r="D1537" s="50"/>
      <c r="E1537" s="50"/>
      <c r="F1537" s="50"/>
      <c r="G1537" s="50"/>
      <c r="H1537" s="50"/>
      <c r="I1537" s="50"/>
      <c r="J1537" s="50"/>
      <c r="K1537" s="50"/>
      <c r="L1537" s="50"/>
      <c r="M1537" s="50"/>
      <c r="N1537" s="50"/>
      <c r="O1537" s="50"/>
    </row>
    <row r="1538" spans="1:18" x14ac:dyDescent="0.25">
      <c r="A1538" s="214" t="s">
        <v>976</v>
      </c>
      <c r="B1538" s="84" t="s">
        <v>317</v>
      </c>
      <c r="C1538" s="50"/>
      <c r="D1538" s="85"/>
      <c r="E1538" s="85">
        <v>0</v>
      </c>
      <c r="F1538" s="50"/>
      <c r="G1538" s="50"/>
      <c r="H1538" s="50"/>
      <c r="I1538" s="50"/>
      <c r="J1538" s="50"/>
      <c r="K1538" s="89">
        <v>30000</v>
      </c>
      <c r="L1538" s="50"/>
      <c r="M1538" s="50"/>
      <c r="N1538" s="50"/>
    </row>
    <row r="1539" spans="1:18" x14ac:dyDescent="0.25">
      <c r="C1539" s="50"/>
      <c r="D1539" s="50"/>
      <c r="E1539" s="50"/>
      <c r="F1539" s="50"/>
      <c r="G1539" s="50"/>
      <c r="H1539" s="50"/>
      <c r="I1539" s="50"/>
      <c r="J1539" s="50"/>
      <c r="K1539" s="50"/>
      <c r="L1539" s="50"/>
      <c r="M1539" s="50"/>
      <c r="N1539" s="50"/>
      <c r="O1539" s="50"/>
      <c r="P1539" s="50"/>
      <c r="Q1539" s="50"/>
      <c r="R1539" s="50"/>
    </row>
    <row r="1540" spans="1:18" x14ac:dyDescent="0.25">
      <c r="A1540" s="41" t="s">
        <v>107</v>
      </c>
      <c r="B1540" s="44"/>
      <c r="C1540" s="51">
        <f t="shared" ref="C1540:Q1540" si="868">SUM(C1498:C1539)</f>
        <v>775840</v>
      </c>
      <c r="D1540" s="51">
        <f t="shared" si="868"/>
        <v>1113814</v>
      </c>
      <c r="E1540" s="51">
        <f t="shared" si="868"/>
        <v>1639125</v>
      </c>
      <c r="F1540" s="51">
        <f t="shared" si="868"/>
        <v>864155</v>
      </c>
      <c r="G1540" s="51">
        <f t="shared" ref="G1540" si="869">SUM(G1498:G1539)</f>
        <v>769540</v>
      </c>
      <c r="H1540" s="51">
        <f t="shared" si="868"/>
        <v>1244971</v>
      </c>
      <c r="I1540" s="51">
        <f t="shared" si="868"/>
        <v>1185190</v>
      </c>
      <c r="J1540" s="51">
        <f t="shared" si="868"/>
        <v>1305357.76</v>
      </c>
      <c r="K1540" s="51">
        <f t="shared" si="868"/>
        <v>1192288.46624</v>
      </c>
      <c r="L1540" s="51">
        <f>SUM(L1498:L1539)</f>
        <v>1164046.82596352</v>
      </c>
      <c r="M1540" s="51">
        <f t="shared" si="868"/>
        <v>1246854.5361347175</v>
      </c>
      <c r="N1540" s="51">
        <f t="shared" si="868"/>
        <v>1490173.509465816</v>
      </c>
      <c r="O1540" s="51">
        <f t="shared" si="868"/>
        <v>1198866.9222024614</v>
      </c>
      <c r="P1540" s="51">
        <f t="shared" si="868"/>
        <v>1469563.9202575227</v>
      </c>
      <c r="Q1540" s="51">
        <f t="shared" si="868"/>
        <v>1419233.5663437033</v>
      </c>
      <c r="R1540" s="51">
        <f t="shared" ref="R1540" si="870">SUM(R1498:R1539)</f>
        <v>1419381.6839359524</v>
      </c>
    </row>
    <row r="1541" spans="1:18" x14ac:dyDescent="0.25">
      <c r="C1541" s="50"/>
      <c r="D1541" s="50"/>
      <c r="E1541" s="50"/>
      <c r="F1541" s="50"/>
      <c r="G1541" s="50"/>
      <c r="H1541" s="50"/>
      <c r="I1541" s="50"/>
      <c r="J1541" s="50"/>
      <c r="K1541" s="50"/>
      <c r="L1541" s="50"/>
      <c r="M1541" s="50"/>
      <c r="N1541" s="50"/>
      <c r="O1541" s="50"/>
      <c r="P1541" s="50"/>
      <c r="Q1541" s="50"/>
      <c r="R1541" s="50"/>
    </row>
    <row r="1542" spans="1:18" x14ac:dyDescent="0.25">
      <c r="A1542" s="41" t="s">
        <v>851</v>
      </c>
      <c r="B1542" s="44"/>
      <c r="C1542" s="51">
        <f t="shared" ref="C1542:R1542" si="871">C1540+C1484-C1433-C1493</f>
        <v>3030760</v>
      </c>
      <c r="D1542" s="51">
        <f t="shared" si="871"/>
        <v>3014111</v>
      </c>
      <c r="E1542" s="51">
        <f t="shared" si="871"/>
        <v>3828819</v>
      </c>
      <c r="F1542" s="51">
        <f t="shared" si="871"/>
        <v>3481402</v>
      </c>
      <c r="G1542" s="51">
        <f t="shared" si="871"/>
        <v>3112100</v>
      </c>
      <c r="H1542" s="51">
        <f t="shared" si="871"/>
        <v>2833954</v>
      </c>
      <c r="I1542" s="51">
        <f t="shared" si="871"/>
        <v>3724633.9850000003</v>
      </c>
      <c r="J1542" s="51">
        <f t="shared" si="871"/>
        <v>3917976.7623400004</v>
      </c>
      <c r="K1542" s="51">
        <f t="shared" si="871"/>
        <v>3825866.21916366</v>
      </c>
      <c r="L1542" s="51">
        <f t="shared" si="871"/>
        <v>3863525.9348111995</v>
      </c>
      <c r="M1542" s="51">
        <f t="shared" si="871"/>
        <v>4017509.0000408636</v>
      </c>
      <c r="N1542" s="51">
        <f t="shared" si="871"/>
        <v>4334613.2540794285</v>
      </c>
      <c r="O1542" s="51">
        <f t="shared" si="871"/>
        <v>4123784.9470260199</v>
      </c>
      <c r="P1542" s="51">
        <f t="shared" si="871"/>
        <v>4479815.7723894184</v>
      </c>
      <c r="Q1542" s="51">
        <f t="shared" si="871"/>
        <v>4515688.1989348931</v>
      </c>
      <c r="R1542" s="51">
        <f t="shared" si="871"/>
        <v>4590720.5210167039</v>
      </c>
    </row>
    <row r="1543" spans="1:18" x14ac:dyDescent="0.25">
      <c r="C1543" s="50"/>
      <c r="D1543" s="50"/>
      <c r="E1543" s="50"/>
      <c r="F1543" s="50"/>
      <c r="G1543" s="50"/>
      <c r="H1543" s="50"/>
      <c r="I1543" s="50"/>
      <c r="J1543" s="50"/>
      <c r="K1543" s="50"/>
      <c r="L1543" s="50"/>
      <c r="M1543" s="50"/>
      <c r="N1543" s="50"/>
      <c r="O1543" s="50"/>
      <c r="P1543" s="50"/>
      <c r="Q1543" s="50"/>
      <c r="R1543" s="50"/>
    </row>
    <row r="1544" spans="1:18" x14ac:dyDescent="0.25">
      <c r="A1544" s="41" t="s">
        <v>977</v>
      </c>
      <c r="B1544" s="44"/>
      <c r="C1544" s="50"/>
      <c r="D1544" s="50"/>
      <c r="E1544" s="50"/>
      <c r="F1544" s="50"/>
      <c r="G1544" s="50"/>
      <c r="H1544" s="50"/>
      <c r="I1544" s="50"/>
      <c r="J1544" s="50"/>
      <c r="K1544" s="50"/>
      <c r="L1544" s="50"/>
      <c r="M1544" s="50"/>
      <c r="N1544" s="50"/>
      <c r="O1544" s="50"/>
      <c r="P1544" s="50"/>
      <c r="Q1544" s="50"/>
      <c r="R1544" s="50"/>
    </row>
    <row r="1545" spans="1:18" x14ac:dyDescent="0.25">
      <c r="A1545" s="41"/>
      <c r="B1545" s="44"/>
      <c r="C1545" s="50"/>
      <c r="D1545" s="50"/>
      <c r="E1545" s="50"/>
      <c r="F1545" s="50"/>
      <c r="G1545" s="50"/>
      <c r="H1545" s="50"/>
      <c r="I1545" s="50"/>
      <c r="J1545" s="50"/>
      <c r="K1545" s="50"/>
      <c r="L1545" s="50"/>
      <c r="M1545" s="50"/>
      <c r="N1545" s="50"/>
      <c r="O1545" s="50"/>
      <c r="P1545" s="50"/>
      <c r="Q1545" s="50"/>
      <c r="R1545" s="50"/>
    </row>
    <row r="1546" spans="1:18" x14ac:dyDescent="0.25">
      <c r="A1546" s="41" t="s">
        <v>202</v>
      </c>
      <c r="B1546" s="44"/>
      <c r="C1546" s="50"/>
      <c r="D1546" s="50"/>
      <c r="E1546" s="50"/>
      <c r="F1546" s="50"/>
      <c r="G1546" s="50"/>
      <c r="H1546" s="50"/>
      <c r="I1546" s="50"/>
      <c r="J1546" s="50"/>
      <c r="K1546" s="50"/>
      <c r="L1546" s="50"/>
      <c r="M1546" s="50"/>
      <c r="N1546" s="50"/>
      <c r="O1546" s="50"/>
      <c r="P1546" s="50"/>
      <c r="Q1546" s="50"/>
      <c r="R1546" s="50"/>
    </row>
    <row r="1547" spans="1:18" x14ac:dyDescent="0.25">
      <c r="A1547" s="41"/>
      <c r="B1547" s="44"/>
      <c r="C1547" s="50"/>
      <c r="D1547" s="50"/>
      <c r="E1547" s="50"/>
      <c r="F1547" s="50"/>
      <c r="G1547" s="50"/>
      <c r="H1547" s="50"/>
      <c r="I1547" s="50"/>
      <c r="J1547" s="50"/>
      <c r="K1547" s="50"/>
      <c r="L1547" s="50"/>
      <c r="M1547" s="50"/>
      <c r="N1547" s="50"/>
      <c r="O1547" s="50"/>
      <c r="P1547" s="50"/>
      <c r="Q1547" s="50"/>
      <c r="R1547" s="50"/>
    </row>
    <row r="1548" spans="1:18" x14ac:dyDescent="0.25">
      <c r="A1548" s="52" t="s">
        <v>978</v>
      </c>
      <c r="B1548" s="53"/>
      <c r="C1548" s="54">
        <v>231191</v>
      </c>
      <c r="D1548" s="50">
        <v>218266</v>
      </c>
      <c r="E1548">
        <v>259705</v>
      </c>
      <c r="F1548" s="50">
        <v>207092</v>
      </c>
      <c r="G1548" s="50">
        <v>219917</v>
      </c>
      <c r="H1548" s="50">
        <v>235000</v>
      </c>
      <c r="I1548" s="54">
        <f t="shared" ref="I1548:I1553" si="872">H1548*1.023</f>
        <v>240404.99999999997</v>
      </c>
      <c r="J1548" s="54">
        <f t="shared" ref="J1548:K1553" si="873">I1548*1.024</f>
        <v>246174.71999999997</v>
      </c>
      <c r="K1548" s="54">
        <f t="shared" si="873"/>
        <v>252082.91327999998</v>
      </c>
      <c r="L1548" s="54">
        <f t="shared" ref="L1548:L1553" si="874">K1548*1.023</f>
        <v>257880.82028543996</v>
      </c>
      <c r="M1548" s="54">
        <f t="shared" ref="M1548:M1553" si="875">L1548*1.022</f>
        <v>263554.19833171961</v>
      </c>
      <c r="N1548" s="54">
        <f t="shared" ref="N1548:N1553" si="876">M1548*1.023</f>
        <v>269615.94489334914</v>
      </c>
      <c r="O1548" s="54">
        <f t="shared" ref="O1548:P1553" si="877">N1548*1.025</f>
        <v>276356.34351568285</v>
      </c>
      <c r="P1548" s="54">
        <f t="shared" si="877"/>
        <v>283265.25210357492</v>
      </c>
      <c r="Q1548" s="54">
        <f t="shared" ref="Q1548:R1553" si="878">P1548*1.024</f>
        <v>290063.61815406074</v>
      </c>
      <c r="R1548" s="54">
        <f t="shared" si="878"/>
        <v>297025.14498975821</v>
      </c>
    </row>
    <row r="1549" spans="1:18" x14ac:dyDescent="0.25">
      <c r="A1549" s="52" t="s">
        <v>979</v>
      </c>
      <c r="B1549" s="53"/>
      <c r="C1549" s="54">
        <v>0</v>
      </c>
      <c r="D1549" s="54">
        <v>73736</v>
      </c>
      <c r="E1549" s="50">
        <f>132527+1182</f>
        <v>133709</v>
      </c>
      <c r="F1549" s="54">
        <v>134910</v>
      </c>
      <c r="G1549" s="54">
        <v>143979</v>
      </c>
      <c r="H1549" s="54">
        <v>150000</v>
      </c>
      <c r="I1549" s="54">
        <f t="shared" si="872"/>
        <v>153450</v>
      </c>
      <c r="J1549" s="54">
        <f t="shared" si="873"/>
        <v>157132.80000000002</v>
      </c>
      <c r="K1549" s="54">
        <f t="shared" si="873"/>
        <v>160903.98720000003</v>
      </c>
      <c r="L1549" s="54">
        <f t="shared" si="874"/>
        <v>164604.77890560002</v>
      </c>
      <c r="M1549" s="54">
        <f t="shared" si="875"/>
        <v>168226.08404152322</v>
      </c>
      <c r="N1549" s="54">
        <f t="shared" si="876"/>
        <v>172095.28397447825</v>
      </c>
      <c r="O1549" s="54">
        <f t="shared" si="877"/>
        <v>176397.6660738402</v>
      </c>
      <c r="P1549" s="54">
        <f t="shared" si="877"/>
        <v>180807.60772568619</v>
      </c>
      <c r="Q1549" s="54">
        <f t="shared" si="878"/>
        <v>185146.99031110265</v>
      </c>
      <c r="R1549" s="54">
        <f t="shared" si="878"/>
        <v>189590.51807856912</v>
      </c>
    </row>
    <row r="1550" spans="1:18" x14ac:dyDescent="0.25">
      <c r="A1550" s="52" t="s">
        <v>980</v>
      </c>
      <c r="B1550" s="53"/>
      <c r="C1550" s="54"/>
      <c r="D1550" s="54">
        <v>15191</v>
      </c>
      <c r="E1550" s="54">
        <v>48744</v>
      </c>
      <c r="F1550" s="54">
        <v>23201</v>
      </c>
      <c r="G1550" s="50">
        <v>30454</v>
      </c>
      <c r="H1550" s="50">
        <v>30000</v>
      </c>
      <c r="I1550" s="54">
        <f t="shared" si="872"/>
        <v>30689.999999999996</v>
      </c>
      <c r="J1550" s="54">
        <f t="shared" si="873"/>
        <v>31426.559999999998</v>
      </c>
      <c r="K1550" s="54">
        <f t="shared" si="873"/>
        <v>32180.797439999998</v>
      </c>
      <c r="L1550" s="54">
        <f t="shared" si="874"/>
        <v>32920.955781119992</v>
      </c>
      <c r="M1550" s="54">
        <f t="shared" si="875"/>
        <v>33645.216808304634</v>
      </c>
      <c r="N1550" s="54">
        <f t="shared" si="876"/>
        <v>34419.056794895638</v>
      </c>
      <c r="O1550" s="54">
        <f t="shared" si="877"/>
        <v>35279.533214768024</v>
      </c>
      <c r="P1550" s="54">
        <f t="shared" si="877"/>
        <v>36161.521545137221</v>
      </c>
      <c r="Q1550" s="54">
        <f t="shared" si="878"/>
        <v>37029.398062220513</v>
      </c>
      <c r="R1550" s="54">
        <f t="shared" si="878"/>
        <v>37918.103615713808</v>
      </c>
    </row>
    <row r="1551" spans="1:18" x14ac:dyDescent="0.25">
      <c r="A1551" s="52" t="s">
        <v>981</v>
      </c>
      <c r="B1551" s="53"/>
      <c r="C1551" s="54"/>
      <c r="D1551" s="54"/>
      <c r="E1551" s="54"/>
      <c r="F1551" s="54"/>
      <c r="G1551" s="50">
        <v>0</v>
      </c>
      <c r="H1551" s="50">
        <v>150000</v>
      </c>
      <c r="I1551" s="54">
        <f t="shared" si="872"/>
        <v>153450</v>
      </c>
      <c r="J1551" s="54">
        <f t="shared" si="873"/>
        <v>157132.80000000002</v>
      </c>
      <c r="K1551" s="54">
        <f t="shared" si="873"/>
        <v>160903.98720000003</v>
      </c>
      <c r="L1551" s="54">
        <f t="shared" si="874"/>
        <v>164604.77890560002</v>
      </c>
      <c r="M1551" s="54">
        <f t="shared" si="875"/>
        <v>168226.08404152322</v>
      </c>
      <c r="N1551" s="54">
        <f t="shared" si="876"/>
        <v>172095.28397447825</v>
      </c>
      <c r="O1551" s="54">
        <f t="shared" si="877"/>
        <v>176397.6660738402</v>
      </c>
      <c r="P1551" s="54">
        <f t="shared" si="877"/>
        <v>180807.60772568619</v>
      </c>
      <c r="Q1551" s="54">
        <f t="shared" si="878"/>
        <v>185146.99031110265</v>
      </c>
      <c r="R1551" s="54">
        <f t="shared" si="878"/>
        <v>189590.51807856912</v>
      </c>
    </row>
    <row r="1552" spans="1:18" x14ac:dyDescent="0.25">
      <c r="A1552" s="59" t="s">
        <v>982</v>
      </c>
      <c r="B1552" s="53"/>
      <c r="C1552" s="54"/>
      <c r="D1552" s="54">
        <v>954</v>
      </c>
      <c r="E1552">
        <v>0</v>
      </c>
      <c r="F1552" s="54">
        <v>1045</v>
      </c>
      <c r="G1552" s="54">
        <v>1182</v>
      </c>
      <c r="H1552" s="54">
        <v>1200</v>
      </c>
      <c r="I1552" s="54">
        <f t="shared" si="872"/>
        <v>1227.5999999999999</v>
      </c>
      <c r="J1552" s="54">
        <f t="shared" si="873"/>
        <v>1257.0624</v>
      </c>
      <c r="K1552" s="54">
        <f t="shared" si="873"/>
        <v>1287.2318976000001</v>
      </c>
      <c r="L1552" s="54">
        <f t="shared" si="874"/>
        <v>1316.8382312448</v>
      </c>
      <c r="M1552" s="54">
        <f t="shared" si="875"/>
        <v>1345.8086723321856</v>
      </c>
      <c r="N1552" s="54">
        <f t="shared" si="876"/>
        <v>1376.7622717958257</v>
      </c>
      <c r="O1552" s="54">
        <f t="shared" si="877"/>
        <v>1411.1813285907213</v>
      </c>
      <c r="P1552" s="54">
        <f t="shared" si="877"/>
        <v>1446.4608618054892</v>
      </c>
      <c r="Q1552" s="54">
        <f t="shared" si="878"/>
        <v>1481.175922488821</v>
      </c>
      <c r="R1552" s="54">
        <f t="shared" si="878"/>
        <v>1516.7241446285527</v>
      </c>
    </row>
    <row r="1553" spans="1:18" x14ac:dyDescent="0.25">
      <c r="A1553" s="43" t="s">
        <v>983</v>
      </c>
      <c r="C1553" s="54">
        <v>1639</v>
      </c>
      <c r="D1553" s="54">
        <v>1712</v>
      </c>
      <c r="E1553">
        <f>1760-320</f>
        <v>1440</v>
      </c>
      <c r="F1553" s="50">
        <v>1473</v>
      </c>
      <c r="G1553" s="50">
        <v>0</v>
      </c>
      <c r="H1553" s="50">
        <v>35000</v>
      </c>
      <c r="I1553" s="54">
        <f t="shared" si="872"/>
        <v>35805</v>
      </c>
      <c r="J1553" s="54">
        <f t="shared" si="873"/>
        <v>36664.32</v>
      </c>
      <c r="K1553" s="54">
        <f t="shared" si="873"/>
        <v>37544.263680000004</v>
      </c>
      <c r="L1553" s="54">
        <f t="shared" si="874"/>
        <v>38407.78174464</v>
      </c>
      <c r="M1553" s="54">
        <f t="shared" si="875"/>
        <v>39252.752943022082</v>
      </c>
      <c r="N1553" s="54">
        <f t="shared" si="876"/>
        <v>40155.566260711588</v>
      </c>
      <c r="O1553" s="54">
        <f t="shared" si="877"/>
        <v>41159.455417229372</v>
      </c>
      <c r="P1553" s="54">
        <f t="shared" si="877"/>
        <v>42188.441802660105</v>
      </c>
      <c r="Q1553" s="54">
        <f t="shared" si="878"/>
        <v>43200.964405923951</v>
      </c>
      <c r="R1553" s="54">
        <f t="shared" si="878"/>
        <v>44237.78755166613</v>
      </c>
    </row>
    <row r="1554" spans="1:18" x14ac:dyDescent="0.25">
      <c r="A1554" s="43" t="s">
        <v>984</v>
      </c>
      <c r="C1554" s="54"/>
      <c r="D1554" s="50"/>
      <c r="E1554" s="50"/>
      <c r="F1554" s="50"/>
      <c r="G1554" s="50">
        <v>34319</v>
      </c>
      <c r="H1554" s="50"/>
      <c r="I1554" s="50"/>
      <c r="J1554" s="50"/>
      <c r="K1554" s="50"/>
      <c r="L1554" s="50"/>
      <c r="M1554" s="50"/>
      <c r="N1554" s="50"/>
      <c r="O1554" s="50"/>
      <c r="P1554" s="50"/>
      <c r="Q1554" s="50"/>
      <c r="R1554" s="50"/>
    </row>
    <row r="1555" spans="1:18" x14ac:dyDescent="0.25">
      <c r="A1555" s="52" t="s">
        <v>985</v>
      </c>
      <c r="B1555" s="53"/>
      <c r="C1555" s="54">
        <v>12470</v>
      </c>
      <c r="D1555" s="54">
        <v>10647</v>
      </c>
      <c r="E1555" s="54">
        <v>13007</v>
      </c>
      <c r="F1555" s="54">
        <v>13167</v>
      </c>
      <c r="G1555" s="54">
        <v>21948</v>
      </c>
      <c r="H1555" s="54">
        <v>22300</v>
      </c>
      <c r="I1555" s="54">
        <f t="shared" ref="I1555" si="879">H1555*1.023</f>
        <v>22812.899999999998</v>
      </c>
      <c r="J1555" s="54">
        <f t="shared" ref="J1555:K1555" si="880">I1555*1.024</f>
        <v>23360.409599999999</v>
      </c>
      <c r="K1555" s="54">
        <f t="shared" si="880"/>
        <v>23921.059430400001</v>
      </c>
      <c r="L1555" s="54">
        <f t="shared" ref="L1555" si="881">K1555*1.023</f>
        <v>24471.243797299197</v>
      </c>
      <c r="M1555" s="54">
        <f t="shared" ref="M1555" si="882">L1555*1.022</f>
        <v>25009.61116083978</v>
      </c>
      <c r="N1555" s="54">
        <f t="shared" ref="N1555" si="883">M1555*1.023</f>
        <v>25584.832217539093</v>
      </c>
      <c r="O1555" s="54">
        <f t="shared" ref="O1555:P1555" si="884">N1555*1.025</f>
        <v>26224.453022977566</v>
      </c>
      <c r="P1555" s="54">
        <f t="shared" si="884"/>
        <v>26880.064348552005</v>
      </c>
      <c r="Q1555" s="54">
        <f t="shared" ref="Q1555:R1555" si="885">P1555*1.024</f>
        <v>27525.185892917252</v>
      </c>
      <c r="R1555" s="54">
        <f t="shared" si="885"/>
        <v>28185.790354347268</v>
      </c>
    </row>
    <row r="1556" spans="1:18" x14ac:dyDescent="0.25">
      <c r="A1556" s="52" t="s">
        <v>986</v>
      </c>
      <c r="C1556" s="50">
        <v>0</v>
      </c>
      <c r="D1556" s="54">
        <f>C1556*1.025</f>
        <v>0</v>
      </c>
      <c r="E1556" s="54">
        <f>D1556*1.025</f>
        <v>0</v>
      </c>
      <c r="F1556" s="54">
        <v>-4436</v>
      </c>
      <c r="G1556" s="54">
        <v>0</v>
      </c>
      <c r="H1556" s="54">
        <v>0</v>
      </c>
      <c r="I1556" s="54">
        <v>0</v>
      </c>
      <c r="J1556" s="54">
        <v>0</v>
      </c>
      <c r="K1556" s="54">
        <v>0</v>
      </c>
      <c r="L1556" s="54">
        <v>0</v>
      </c>
      <c r="M1556" s="54">
        <v>0</v>
      </c>
      <c r="N1556" s="54">
        <v>0</v>
      </c>
      <c r="O1556" s="54">
        <v>0</v>
      </c>
      <c r="P1556" s="54">
        <v>0</v>
      </c>
      <c r="Q1556" s="54">
        <f t="shared" ref="Q1556:R1556" si="886">P1556*1.02</f>
        <v>0</v>
      </c>
      <c r="R1556" s="54">
        <f t="shared" si="886"/>
        <v>0</v>
      </c>
    </row>
    <row r="1557" spans="1:18" x14ac:dyDescent="0.25">
      <c r="A1557" s="52" t="s">
        <v>987</v>
      </c>
      <c r="C1557" s="54">
        <v>76424</v>
      </c>
      <c r="D1557" s="54"/>
      <c r="E1557" s="54"/>
      <c r="F1557" s="54"/>
      <c r="G1557" s="54"/>
      <c r="H1557" s="54"/>
      <c r="I1557" s="54"/>
      <c r="J1557" s="54"/>
      <c r="K1557" s="54"/>
      <c r="L1557" s="54"/>
      <c r="M1557" s="54"/>
      <c r="N1557" s="54"/>
      <c r="O1557" s="54"/>
      <c r="P1557" s="54"/>
      <c r="Q1557" s="54"/>
      <c r="R1557" s="54"/>
    </row>
    <row r="1558" spans="1:18" x14ac:dyDescent="0.25">
      <c r="A1558" s="43" t="s">
        <v>988</v>
      </c>
      <c r="C1558" s="50"/>
      <c r="D1558" s="54"/>
      <c r="E1558" s="54"/>
      <c r="F1558" s="54"/>
      <c r="G1558" s="54"/>
      <c r="H1558" s="54"/>
      <c r="I1558" s="54"/>
      <c r="J1558" s="54"/>
      <c r="K1558" s="54"/>
      <c r="L1558" s="54"/>
      <c r="M1558" s="54"/>
      <c r="N1558" s="54"/>
      <c r="O1558" s="54"/>
      <c r="P1558" s="54"/>
      <c r="Q1558" s="54"/>
      <c r="R1558" s="54"/>
    </row>
    <row r="1559" spans="1:18" x14ac:dyDescent="0.25">
      <c r="A1559" s="43" t="s">
        <v>989</v>
      </c>
      <c r="C1559" s="54">
        <v>433273</v>
      </c>
      <c r="D1559" s="54"/>
      <c r="E1559" s="54"/>
      <c r="F1559" s="54"/>
      <c r="G1559" s="54"/>
      <c r="H1559" s="54"/>
      <c r="I1559" s="54"/>
      <c r="J1559" s="54"/>
      <c r="K1559" s="54"/>
      <c r="L1559" s="54"/>
      <c r="M1559" s="54"/>
      <c r="N1559" s="54"/>
      <c r="O1559" s="54"/>
      <c r="P1559" s="54"/>
      <c r="Q1559" s="54"/>
      <c r="R1559" s="54"/>
    </row>
    <row r="1560" spans="1:18" x14ac:dyDescent="0.25">
      <c r="A1560" s="52" t="s">
        <v>990</v>
      </c>
      <c r="C1560" s="52"/>
      <c r="D1560" s="54"/>
      <c r="E1560" s="54"/>
      <c r="F1560" s="54"/>
      <c r="G1560" s="54"/>
      <c r="H1560" s="54"/>
      <c r="I1560" s="54"/>
      <c r="J1560" s="54"/>
      <c r="K1560" s="54"/>
      <c r="L1560" s="54"/>
      <c r="M1560" s="54"/>
      <c r="N1560" s="54"/>
      <c r="O1560" s="54"/>
      <c r="P1560" s="54"/>
      <c r="Q1560" s="54"/>
      <c r="R1560" s="54"/>
    </row>
    <row r="1561" spans="1:18" x14ac:dyDescent="0.25">
      <c r="A1561" s="52" t="s">
        <v>991</v>
      </c>
      <c r="C1561" s="50">
        <v>11250</v>
      </c>
      <c r="D1561" s="54">
        <v>5500</v>
      </c>
      <c r="E1561" s="54"/>
      <c r="F1561" s="54"/>
      <c r="G1561" s="54"/>
      <c r="H1561" s="54"/>
      <c r="I1561" s="54"/>
      <c r="J1561" s="54"/>
      <c r="K1561" s="54"/>
      <c r="L1561" s="54"/>
      <c r="M1561" s="54"/>
      <c r="N1561" s="54"/>
      <c r="O1561" s="54"/>
      <c r="P1561" s="54"/>
      <c r="Q1561" s="54"/>
      <c r="R1561" s="54"/>
    </row>
    <row r="1562" spans="1:18" x14ac:dyDescent="0.25">
      <c r="A1562" s="52" t="s">
        <v>992</v>
      </c>
      <c r="C1562" s="50"/>
      <c r="D1562" s="54">
        <v>179508</v>
      </c>
      <c r="E1562" s="54">
        <v>70492</v>
      </c>
      <c r="F1562" s="54"/>
      <c r="G1562" s="54"/>
      <c r="H1562" s="54"/>
      <c r="I1562" s="54"/>
      <c r="J1562" s="54"/>
      <c r="K1562" s="54"/>
      <c r="L1562" s="54"/>
      <c r="M1562" s="54"/>
      <c r="N1562" s="54"/>
      <c r="O1562" s="54"/>
      <c r="P1562" s="54"/>
      <c r="Q1562" s="54"/>
      <c r="R1562" s="54"/>
    </row>
    <row r="1563" spans="1:18" x14ac:dyDescent="0.25">
      <c r="A1563" s="52" t="s">
        <v>993</v>
      </c>
      <c r="C1563" s="50"/>
      <c r="D1563" s="54">
        <v>157700</v>
      </c>
      <c r="E1563" s="54"/>
      <c r="F1563" s="54"/>
      <c r="G1563" s="54"/>
      <c r="H1563" s="54"/>
      <c r="I1563" s="54"/>
      <c r="J1563" s="54"/>
      <c r="K1563" s="54"/>
      <c r="L1563" s="54"/>
      <c r="M1563" s="54"/>
      <c r="N1563" s="54"/>
      <c r="O1563" s="54"/>
      <c r="P1563" s="54"/>
      <c r="Q1563" s="54"/>
      <c r="R1563" s="54"/>
    </row>
    <row r="1564" spans="1:18" x14ac:dyDescent="0.25">
      <c r="C1564" s="50"/>
      <c r="D1564" s="50"/>
      <c r="E1564" s="50"/>
      <c r="F1564" s="50"/>
      <c r="G1564" s="50"/>
      <c r="H1564" s="50"/>
      <c r="I1564" s="50"/>
      <c r="J1564" s="50"/>
      <c r="K1564" s="50"/>
      <c r="L1564" s="50"/>
      <c r="M1564" s="50"/>
      <c r="N1564" s="50"/>
      <c r="O1564" s="50"/>
      <c r="P1564" s="50"/>
      <c r="Q1564" s="50"/>
      <c r="R1564" s="50"/>
    </row>
    <row r="1565" spans="1:18" x14ac:dyDescent="0.25">
      <c r="A1565" s="41" t="s">
        <v>216</v>
      </c>
      <c r="B1565" s="44"/>
      <c r="C1565" s="51">
        <f t="shared" ref="C1565:Q1565" si="887">SUM(C1548:C1564)</f>
        <v>766247</v>
      </c>
      <c r="D1565" s="51">
        <f t="shared" si="887"/>
        <v>663214</v>
      </c>
      <c r="E1565" s="51">
        <f t="shared" si="887"/>
        <v>527097</v>
      </c>
      <c r="F1565" s="51">
        <f t="shared" ref="F1565:G1565" si="888">SUM(F1548:F1564)</f>
        <v>376452</v>
      </c>
      <c r="G1565" s="51">
        <f t="shared" si="888"/>
        <v>451799</v>
      </c>
      <c r="H1565" s="51">
        <f t="shared" si="887"/>
        <v>623500</v>
      </c>
      <c r="I1565" s="51">
        <f t="shared" si="887"/>
        <v>637840.5</v>
      </c>
      <c r="J1565" s="51">
        <f t="shared" si="887"/>
        <v>653148.67200000002</v>
      </c>
      <c r="K1565" s="51">
        <f t="shared" si="887"/>
        <v>668824.24012800003</v>
      </c>
      <c r="L1565" s="51">
        <f t="shared" si="887"/>
        <v>684207.197650944</v>
      </c>
      <c r="M1565" s="51">
        <f t="shared" si="887"/>
        <v>699259.75599926477</v>
      </c>
      <c r="N1565" s="51">
        <f t="shared" si="887"/>
        <v>715342.73038724775</v>
      </c>
      <c r="O1565" s="51">
        <f t="shared" si="887"/>
        <v>733226.29864692898</v>
      </c>
      <c r="P1565" s="51">
        <f t="shared" si="887"/>
        <v>751556.95611310215</v>
      </c>
      <c r="Q1565" s="51">
        <f t="shared" si="887"/>
        <v>769594.3230598165</v>
      </c>
      <c r="R1565" s="51">
        <f t="shared" ref="R1565" si="889">SUM(R1548:R1564)</f>
        <v>788064.58681325219</v>
      </c>
    </row>
    <row r="1566" spans="1:18" x14ac:dyDescent="0.25">
      <c r="C1566" s="50"/>
      <c r="D1566" s="50"/>
      <c r="E1566" s="50"/>
      <c r="F1566" s="50"/>
      <c r="G1566" s="50"/>
      <c r="H1566" s="50"/>
      <c r="I1566" s="50"/>
      <c r="J1566" s="50"/>
      <c r="K1566" s="50"/>
      <c r="L1566" s="50"/>
      <c r="M1566" s="50"/>
      <c r="N1566" s="50"/>
      <c r="O1566" s="50"/>
      <c r="P1566" s="50"/>
      <c r="Q1566" s="50"/>
      <c r="R1566" s="50"/>
    </row>
    <row r="1567" spans="1:18" x14ac:dyDescent="0.25">
      <c r="A1567" s="41" t="s">
        <v>165</v>
      </c>
      <c r="B1567" s="44"/>
      <c r="C1567" s="50"/>
      <c r="D1567" s="50"/>
      <c r="E1567" s="50"/>
      <c r="F1567" s="50"/>
      <c r="G1567" s="50"/>
      <c r="H1567" s="50"/>
      <c r="I1567" s="50"/>
      <c r="J1567" s="50"/>
      <c r="K1567" s="50"/>
      <c r="L1567" s="50"/>
      <c r="M1567" s="50"/>
      <c r="N1567" s="50"/>
      <c r="O1567" s="50"/>
      <c r="P1567" s="50"/>
      <c r="Q1567" s="50"/>
      <c r="R1567" s="50"/>
    </row>
    <row r="1568" spans="1:18" x14ac:dyDescent="0.25">
      <c r="C1568" s="50"/>
      <c r="D1568" s="50"/>
      <c r="E1568" s="50"/>
      <c r="F1568" s="50"/>
      <c r="G1568" s="50"/>
      <c r="H1568" s="50"/>
      <c r="I1568" s="50"/>
      <c r="J1568" s="50"/>
      <c r="K1568" s="50"/>
      <c r="L1568" s="50"/>
      <c r="M1568" s="50"/>
      <c r="N1568" s="50"/>
      <c r="O1568" s="50"/>
      <c r="P1568" s="50"/>
      <c r="Q1568" s="50"/>
      <c r="R1568" s="50"/>
    </row>
    <row r="1569" spans="1:18" x14ac:dyDescent="0.25">
      <c r="A1569" s="52" t="s">
        <v>994</v>
      </c>
      <c r="B1569" s="53"/>
      <c r="C1569" s="50"/>
      <c r="D1569" s="50"/>
      <c r="E1569" s="50"/>
      <c r="F1569" s="50"/>
      <c r="G1569" s="50"/>
      <c r="H1569" s="50"/>
      <c r="I1569" s="50"/>
      <c r="J1569" s="50"/>
      <c r="K1569" s="50"/>
      <c r="L1569" s="50"/>
      <c r="M1569" s="50"/>
      <c r="N1569" s="50"/>
      <c r="O1569" s="50"/>
      <c r="P1569" s="50"/>
      <c r="Q1569" s="50"/>
      <c r="R1569" s="50"/>
    </row>
    <row r="1570" spans="1:18" x14ac:dyDescent="0.25">
      <c r="A1570" s="52" t="s">
        <v>995</v>
      </c>
      <c r="B1570" s="53"/>
      <c r="C1570" s="54">
        <f>6736</f>
        <v>6736</v>
      </c>
      <c r="D1570" s="50">
        <v>4271</v>
      </c>
      <c r="E1570" s="43">
        <f>21672-9655</f>
        <v>12017</v>
      </c>
      <c r="F1570" s="50">
        <v>7039</v>
      </c>
      <c r="G1570" s="50">
        <v>7268</v>
      </c>
      <c r="H1570" s="50">
        <v>9800</v>
      </c>
      <c r="I1570" s="50">
        <v>10026.799999999999</v>
      </c>
      <c r="J1570" s="50">
        <v>10271.030700000001</v>
      </c>
      <c r="K1570" s="50">
        <v>10522.703589300001</v>
      </c>
      <c r="L1570" s="50">
        <v>10772.3377221789</v>
      </c>
      <c r="M1570" s="50">
        <v>11017.192296752561</v>
      </c>
      <c r="N1570" s="50">
        <v>11276.268055298835</v>
      </c>
      <c r="O1570" s="50">
        <v>11564.025502473902</v>
      </c>
      <c r="P1570" s="50">
        <v>11860.889243881698</v>
      </c>
      <c r="Q1570" s="50">
        <v>12154.46952948676</v>
      </c>
      <c r="R1570" s="50">
        <v>12455.398986033908</v>
      </c>
    </row>
    <row r="1571" spans="1:18" x14ac:dyDescent="0.25">
      <c r="A1571" s="52" t="s">
        <v>996</v>
      </c>
      <c r="B1571" s="53"/>
      <c r="C1571" s="54">
        <v>0</v>
      </c>
      <c r="D1571" s="50">
        <v>46184</v>
      </c>
      <c r="E1571" s="50">
        <v>34091</v>
      </c>
      <c r="F1571" s="50">
        <v>35598</v>
      </c>
      <c r="G1571" s="50">
        <v>34016</v>
      </c>
      <c r="H1571" s="50">
        <v>50500</v>
      </c>
      <c r="I1571" s="50">
        <v>51665.499999999993</v>
      </c>
      <c r="J1571" s="50">
        <v>52915.722000000002</v>
      </c>
      <c r="K1571" s="50">
        <v>54200.465478000006</v>
      </c>
      <c r="L1571" s="50">
        <v>55468.824613493991</v>
      </c>
      <c r="M1571" s="50">
        <v>56711.604882664367</v>
      </c>
      <c r="N1571" s="50">
        <v>58032.201325596972</v>
      </c>
      <c r="O1571" s="50">
        <v>59499.722775287177</v>
      </c>
      <c r="P1571" s="50">
        <v>61009.396141372054</v>
      </c>
      <c r="Q1571" s="50">
        <v>62499.10434519899</v>
      </c>
      <c r="R1571" s="50">
        <v>64025.431957596527</v>
      </c>
    </row>
    <row r="1572" spans="1:18" x14ac:dyDescent="0.25">
      <c r="A1572" s="52" t="s">
        <v>997</v>
      </c>
      <c r="B1572" s="53"/>
      <c r="C1572" s="54"/>
      <c r="D1572" s="50">
        <v>6035</v>
      </c>
      <c r="E1572" s="50">
        <v>8684</v>
      </c>
      <c r="F1572" s="50">
        <v>8592</v>
      </c>
      <c r="G1572" s="50">
        <v>9172</v>
      </c>
      <c r="H1572" s="50">
        <v>7000</v>
      </c>
      <c r="I1572" s="54">
        <f t="shared" ref="I1572" si="890">H1572*1.023</f>
        <v>7160.9999999999991</v>
      </c>
      <c r="J1572" s="54">
        <f t="shared" ref="J1572:K1572" si="891">I1572*1.024</f>
        <v>7332.8639999999996</v>
      </c>
      <c r="K1572" s="54">
        <f t="shared" si="891"/>
        <v>7508.8527359999998</v>
      </c>
      <c r="L1572" s="54">
        <f t="shared" ref="L1572" si="892">K1572*1.023</f>
        <v>7681.5563489279994</v>
      </c>
      <c r="M1572" s="54">
        <f t="shared" ref="M1572" si="893">L1572*1.022</f>
        <v>7850.5505886044157</v>
      </c>
      <c r="N1572" s="54">
        <f t="shared" ref="N1572" si="894">M1572*1.023</f>
        <v>8031.1132521423169</v>
      </c>
      <c r="O1572" s="54">
        <f t="shared" ref="O1572:P1572" si="895">N1572*1.025</f>
        <v>8231.8910834458748</v>
      </c>
      <c r="P1572" s="54">
        <f t="shared" si="895"/>
        <v>8437.6883605320218</v>
      </c>
      <c r="Q1572" s="54">
        <f t="shared" ref="Q1572:R1572" si="896">P1572*1.024</f>
        <v>8640.1928811847902</v>
      </c>
      <c r="R1572" s="54">
        <f t="shared" si="896"/>
        <v>8847.5575103332249</v>
      </c>
    </row>
    <row r="1573" spans="1:18" x14ac:dyDescent="0.25">
      <c r="A1573" s="43" t="s">
        <v>998</v>
      </c>
      <c r="C1573" s="215">
        <v>10985</v>
      </c>
      <c r="D1573" s="199">
        <v>11046</v>
      </c>
      <c r="E1573" s="199">
        <v>9655</v>
      </c>
      <c r="F1573" s="199">
        <v>9945</v>
      </c>
      <c r="G1573" s="199">
        <v>9945</v>
      </c>
      <c r="H1573" s="199">
        <v>10200</v>
      </c>
      <c r="I1573" s="199">
        <v>10400</v>
      </c>
      <c r="J1573" s="199">
        <v>10700</v>
      </c>
      <c r="K1573" s="199">
        <v>10900</v>
      </c>
      <c r="L1573" s="199">
        <v>11200</v>
      </c>
      <c r="M1573" s="199">
        <v>11400</v>
      </c>
      <c r="N1573" s="199">
        <v>11700</v>
      </c>
      <c r="O1573" s="199">
        <v>12000</v>
      </c>
      <c r="P1573" s="199">
        <v>12300</v>
      </c>
      <c r="Q1573" s="199">
        <v>12600</v>
      </c>
      <c r="R1573" s="199">
        <v>12600</v>
      </c>
    </row>
    <row r="1574" spans="1:18" x14ac:dyDescent="0.25">
      <c r="A1574" s="43" t="s">
        <v>999</v>
      </c>
      <c r="C1574" s="54">
        <v>24298</v>
      </c>
      <c r="D1574" s="59">
        <v>0</v>
      </c>
      <c r="E1574" s="59">
        <v>0</v>
      </c>
      <c r="F1574" s="59">
        <v>0</v>
      </c>
      <c r="G1574" s="59">
        <v>0</v>
      </c>
      <c r="H1574" s="59">
        <v>0</v>
      </c>
      <c r="I1574" s="59">
        <v>0</v>
      </c>
      <c r="J1574" s="59">
        <v>0</v>
      </c>
      <c r="K1574" s="59">
        <v>0</v>
      </c>
      <c r="L1574" s="59">
        <v>0</v>
      </c>
      <c r="M1574" s="59">
        <v>0</v>
      </c>
      <c r="N1574" s="59">
        <v>0</v>
      </c>
      <c r="O1574" s="59">
        <v>0</v>
      </c>
      <c r="P1574" s="59">
        <v>0</v>
      </c>
      <c r="Q1574" s="59">
        <v>0</v>
      </c>
      <c r="R1574" s="59">
        <v>0</v>
      </c>
    </row>
    <row r="1575" spans="1:18" x14ac:dyDescent="0.25">
      <c r="A1575" s="52" t="s">
        <v>1000</v>
      </c>
      <c r="C1575" s="50">
        <v>11250</v>
      </c>
      <c r="D1575" s="50">
        <v>5500</v>
      </c>
      <c r="E1575" s="59"/>
      <c r="F1575" s="59"/>
      <c r="G1575" s="59"/>
      <c r="H1575" s="59"/>
      <c r="I1575" s="59"/>
      <c r="J1575" s="59"/>
      <c r="K1575" s="59"/>
      <c r="L1575" s="59"/>
      <c r="M1575" s="59"/>
      <c r="N1575" s="59"/>
      <c r="O1575" s="59"/>
      <c r="P1575" s="59"/>
      <c r="Q1575" s="59"/>
      <c r="R1575" s="59"/>
    </row>
    <row r="1576" spans="1:18" x14ac:dyDescent="0.25">
      <c r="A1576" s="52" t="s">
        <v>1001</v>
      </c>
      <c r="B1576" s="53"/>
      <c r="C1576" s="50"/>
      <c r="D1576" s="50"/>
      <c r="E1576" s="50"/>
      <c r="F1576" s="50"/>
      <c r="G1576" s="50"/>
      <c r="H1576" s="50"/>
      <c r="I1576" s="50"/>
      <c r="J1576" s="50"/>
      <c r="K1576" s="50"/>
      <c r="L1576" s="50"/>
      <c r="M1576" s="50"/>
      <c r="N1576" s="50"/>
      <c r="O1576" s="50"/>
      <c r="P1576" s="50"/>
      <c r="Q1576" s="50"/>
      <c r="R1576" s="50"/>
    </row>
    <row r="1577" spans="1:18" x14ac:dyDescent="0.25">
      <c r="A1577" s="52" t="s">
        <v>1002</v>
      </c>
      <c r="B1577" s="53"/>
      <c r="C1577" s="54">
        <v>5946</v>
      </c>
      <c r="D1577" s="50">
        <v>15132</v>
      </c>
      <c r="E1577" s="43">
        <v>14808</v>
      </c>
      <c r="F1577" s="50">
        <v>5557</v>
      </c>
      <c r="G1577" s="50">
        <v>6547</v>
      </c>
      <c r="H1577" s="50">
        <v>15950</v>
      </c>
      <c r="I1577" s="50">
        <v>16426.149999999998</v>
      </c>
      <c r="J1577" s="50">
        <v>16903.645850000001</v>
      </c>
      <c r="K1577" s="50">
        <v>17396.748356650005</v>
      </c>
      <c r="L1577" s="50">
        <v>17892.844874165447</v>
      </c>
      <c r="M1577" s="50">
        <v>18391.617586033812</v>
      </c>
      <c r="N1577" s="50">
        <v>18920.360531808092</v>
      </c>
      <c r="O1577" s="50">
        <v>19494.738208204857</v>
      </c>
      <c r="P1577" s="50">
        <v>20088.54375966662</v>
      </c>
      <c r="Q1577" s="50">
        <v>20687.690080894256</v>
      </c>
      <c r="R1577" s="50">
        <v>21307.047178334044</v>
      </c>
    </row>
    <row r="1578" spans="1:18" x14ac:dyDescent="0.25">
      <c r="A1578" s="43" t="s">
        <v>304</v>
      </c>
      <c r="C1578" s="100">
        <v>28221</v>
      </c>
      <c r="D1578" s="100">
        <v>28221</v>
      </c>
      <c r="E1578" s="72">
        <v>28221</v>
      </c>
      <c r="F1578" s="105">
        <v>26781</v>
      </c>
      <c r="G1578" s="105">
        <v>26781</v>
      </c>
      <c r="H1578" s="73">
        <v>2730</v>
      </c>
      <c r="I1578" s="73">
        <v>2790</v>
      </c>
      <c r="J1578" s="73">
        <v>2870</v>
      </c>
      <c r="K1578" s="73">
        <v>2930</v>
      </c>
      <c r="L1578" s="73">
        <v>3000</v>
      </c>
      <c r="M1578" s="73">
        <v>3070</v>
      </c>
      <c r="N1578" s="73">
        <v>3130</v>
      </c>
      <c r="O1578" s="73">
        <v>3220</v>
      </c>
      <c r="P1578" s="73">
        <v>3310</v>
      </c>
      <c r="Q1578" s="73">
        <v>3380</v>
      </c>
      <c r="R1578" s="73">
        <v>3380</v>
      </c>
    </row>
    <row r="1579" spans="1:18" x14ac:dyDescent="0.25">
      <c r="A1579" s="59" t="s">
        <v>1003</v>
      </c>
      <c r="C1579" s="117">
        <v>40625</v>
      </c>
      <c r="D1579" s="117">
        <v>40625</v>
      </c>
      <c r="E1579" s="111">
        <v>46165</v>
      </c>
      <c r="F1579" s="171">
        <v>46695</v>
      </c>
      <c r="G1579" s="171">
        <v>46695</v>
      </c>
      <c r="H1579" s="171">
        <v>47810</v>
      </c>
      <c r="I1579" s="171">
        <v>48920</v>
      </c>
      <c r="J1579" s="171">
        <v>50110</v>
      </c>
      <c r="K1579" s="171">
        <v>51290</v>
      </c>
      <c r="L1579" s="171">
        <v>52480</v>
      </c>
      <c r="M1579" s="171">
        <v>53630</v>
      </c>
      <c r="N1579" s="171">
        <v>54850</v>
      </c>
      <c r="O1579" s="171">
        <v>56240</v>
      </c>
      <c r="P1579" s="171">
        <v>57640</v>
      </c>
      <c r="Q1579" s="171">
        <v>59020</v>
      </c>
      <c r="R1579" s="171">
        <v>59020</v>
      </c>
    </row>
    <row r="1580" spans="1:18" x14ac:dyDescent="0.25">
      <c r="A1580" s="43" t="s">
        <v>1004</v>
      </c>
      <c r="C1580" s="50">
        <v>0</v>
      </c>
      <c r="D1580" s="50">
        <v>500</v>
      </c>
      <c r="E1580" s="50">
        <v>0</v>
      </c>
      <c r="F1580" s="50">
        <v>940</v>
      </c>
      <c r="G1580" s="50">
        <v>1991</v>
      </c>
      <c r="H1580" s="50">
        <v>4100</v>
      </c>
      <c r="I1580" s="50">
        <v>4194.3</v>
      </c>
      <c r="J1580" s="50">
        <v>4294.9631999999992</v>
      </c>
      <c r="K1580" s="50">
        <v>4398.0423167999998</v>
      </c>
      <c r="L1580" s="50">
        <v>4499.1972900863993</v>
      </c>
      <c r="M1580" s="50">
        <v>4598.1796304682994</v>
      </c>
      <c r="N1580" s="50">
        <v>4703.9377619690695</v>
      </c>
      <c r="O1580" s="50">
        <v>4821.5362060182961</v>
      </c>
      <c r="P1580" s="50">
        <v>4942.0746111687531</v>
      </c>
      <c r="Q1580" s="50">
        <v>5060.6844018368047</v>
      </c>
      <c r="R1580" s="50">
        <v>5182.1408274808873</v>
      </c>
    </row>
    <row r="1581" spans="1:18" x14ac:dyDescent="0.25">
      <c r="A1581" s="59" t="s">
        <v>1003</v>
      </c>
      <c r="B1581" s="103"/>
      <c r="C1581" s="216">
        <v>702</v>
      </c>
      <c r="D1581" s="216">
        <v>702</v>
      </c>
      <c r="E1581" s="113">
        <v>282</v>
      </c>
      <c r="F1581" s="216">
        <v>282</v>
      </c>
      <c r="G1581" s="216">
        <v>282</v>
      </c>
      <c r="H1581" s="216">
        <v>290</v>
      </c>
      <c r="I1581" s="216">
        <v>300</v>
      </c>
      <c r="J1581" s="216">
        <v>300</v>
      </c>
      <c r="K1581" s="216">
        <v>310</v>
      </c>
      <c r="L1581" s="216">
        <v>320</v>
      </c>
      <c r="M1581" s="216">
        <v>320</v>
      </c>
      <c r="N1581" s="216">
        <v>330</v>
      </c>
      <c r="O1581" s="216">
        <v>340</v>
      </c>
      <c r="P1581" s="216">
        <v>350</v>
      </c>
      <c r="Q1581" s="216">
        <v>360</v>
      </c>
      <c r="R1581" s="216">
        <v>360</v>
      </c>
    </row>
    <row r="1582" spans="1:18" x14ac:dyDescent="0.25">
      <c r="A1582" s="52" t="s">
        <v>1005</v>
      </c>
      <c r="B1582" s="103"/>
      <c r="C1582" s="50"/>
      <c r="D1582" s="50"/>
      <c r="E1582" s="50"/>
      <c r="F1582" s="50"/>
      <c r="G1582" s="50"/>
      <c r="H1582" s="50"/>
      <c r="I1582" s="50"/>
      <c r="J1582" s="50"/>
      <c r="K1582" s="50"/>
      <c r="L1582" s="50"/>
      <c r="M1582" s="50"/>
      <c r="N1582" s="50"/>
      <c r="O1582" s="50"/>
      <c r="P1582" s="50"/>
      <c r="Q1582" s="50"/>
      <c r="R1582" s="50"/>
    </row>
    <row r="1583" spans="1:18" x14ac:dyDescent="0.25">
      <c r="A1583" s="52" t="s">
        <v>1006</v>
      </c>
      <c r="B1583" s="103"/>
      <c r="C1583" s="50">
        <v>0</v>
      </c>
      <c r="D1583" s="54">
        <f>C1583*1.025</f>
        <v>0</v>
      </c>
      <c r="E1583" s="54">
        <f>D1583*1.025</f>
        <v>0</v>
      </c>
      <c r="F1583" s="54">
        <v>0</v>
      </c>
      <c r="G1583" s="54">
        <v>0</v>
      </c>
      <c r="H1583" s="54">
        <v>0</v>
      </c>
      <c r="I1583" s="54">
        <v>0</v>
      </c>
      <c r="J1583" s="54">
        <v>0</v>
      </c>
      <c r="K1583" s="54">
        <v>0</v>
      </c>
      <c r="L1583" s="54">
        <v>0</v>
      </c>
      <c r="M1583" s="50">
        <v>0</v>
      </c>
      <c r="N1583" s="50">
        <v>0</v>
      </c>
      <c r="O1583" s="50">
        <v>0</v>
      </c>
      <c r="P1583" s="50">
        <v>0</v>
      </c>
      <c r="Q1583" s="50">
        <f>P1583*1.025</f>
        <v>0</v>
      </c>
      <c r="R1583" s="50">
        <f>Q1583*1.025</f>
        <v>0</v>
      </c>
    </row>
    <row r="1584" spans="1:18" x14ac:dyDescent="0.25">
      <c r="C1584" s="50"/>
      <c r="D1584" s="50"/>
      <c r="E1584" s="50"/>
      <c r="F1584" s="50"/>
      <c r="G1584" s="50"/>
      <c r="H1584" s="50"/>
      <c r="I1584" s="50"/>
      <c r="J1584" s="50"/>
      <c r="K1584" s="50"/>
      <c r="L1584" s="50"/>
      <c r="M1584" s="50"/>
      <c r="N1584" s="50"/>
      <c r="O1584" s="50"/>
      <c r="P1584" s="50"/>
      <c r="Q1584" s="50"/>
      <c r="R1584" s="50"/>
    </row>
    <row r="1585" spans="1:18" x14ac:dyDescent="0.25">
      <c r="A1585" s="41" t="s">
        <v>230</v>
      </c>
      <c r="B1585" s="44"/>
      <c r="C1585" s="51">
        <f t="shared" ref="C1585:Q1585" si="897">SUM(C1570:C1584)</f>
        <v>128763</v>
      </c>
      <c r="D1585" s="51">
        <f t="shared" si="897"/>
        <v>158216</v>
      </c>
      <c r="E1585" s="51">
        <f t="shared" ref="E1585:G1585" si="898">SUM(E1570:E1584)</f>
        <v>153923</v>
      </c>
      <c r="F1585" s="51">
        <f t="shared" si="898"/>
        <v>141429</v>
      </c>
      <c r="G1585" s="51">
        <f t="shared" si="898"/>
        <v>142697</v>
      </c>
      <c r="H1585" s="51">
        <f t="shared" si="897"/>
        <v>148380</v>
      </c>
      <c r="I1585" s="51">
        <f t="shared" si="897"/>
        <v>151883.74999999997</v>
      </c>
      <c r="J1585" s="51">
        <f t="shared" si="897"/>
        <v>155698.22574999998</v>
      </c>
      <c r="K1585" s="51">
        <f t="shared" si="897"/>
        <v>159456.81247675003</v>
      </c>
      <c r="L1585" s="51">
        <f t="shared" si="897"/>
        <v>163314.76084885272</v>
      </c>
      <c r="M1585" s="51">
        <f t="shared" si="897"/>
        <v>166989.14498452347</v>
      </c>
      <c r="N1585" s="51">
        <f t="shared" si="897"/>
        <v>170973.8809268153</v>
      </c>
      <c r="O1585" s="51">
        <f t="shared" si="897"/>
        <v>175411.91377543012</v>
      </c>
      <c r="P1585" s="51">
        <f t="shared" si="897"/>
        <v>179938.59211662115</v>
      </c>
      <c r="Q1585" s="51">
        <f t="shared" si="897"/>
        <v>184402.14123860162</v>
      </c>
      <c r="R1585" s="51">
        <f t="shared" ref="R1585" si="899">SUM(R1570:R1584)</f>
        <v>187177.57645977859</v>
      </c>
    </row>
    <row r="1586" spans="1:18" x14ac:dyDescent="0.25">
      <c r="A1586" s="41"/>
      <c r="B1586" s="44"/>
      <c r="C1586" s="50"/>
      <c r="D1586" s="50"/>
      <c r="E1586" s="50"/>
      <c r="F1586" s="50"/>
      <c r="G1586" s="50"/>
      <c r="H1586" s="50"/>
      <c r="I1586" s="50"/>
      <c r="J1586" s="50"/>
      <c r="K1586" s="50"/>
      <c r="L1586" s="50"/>
      <c r="M1586" s="50"/>
      <c r="N1586" s="50"/>
      <c r="O1586" s="50"/>
      <c r="P1586" s="50"/>
      <c r="Q1586" s="50"/>
      <c r="R1586" s="50"/>
    </row>
    <row r="1587" spans="1:18" x14ac:dyDescent="0.25">
      <c r="A1587" s="41" t="s">
        <v>251</v>
      </c>
      <c r="B1587" s="44"/>
      <c r="C1587" s="50"/>
      <c r="D1587" s="50"/>
      <c r="E1587" s="50"/>
      <c r="F1587" s="50"/>
      <c r="G1587" s="50"/>
      <c r="H1587" s="50"/>
      <c r="I1587" s="50"/>
      <c r="J1587" s="50"/>
      <c r="K1587" s="50"/>
      <c r="L1587" s="50"/>
      <c r="M1587" s="50"/>
      <c r="N1587" s="50"/>
      <c r="O1587" s="50"/>
      <c r="P1587" s="50"/>
      <c r="Q1587" s="50"/>
      <c r="R1587" s="50"/>
    </row>
    <row r="1588" spans="1:18" x14ac:dyDescent="0.25">
      <c r="C1588" s="50"/>
      <c r="D1588" s="50"/>
      <c r="E1588" s="50"/>
      <c r="F1588" s="50"/>
      <c r="G1588" s="50"/>
      <c r="H1588" s="50"/>
      <c r="I1588" s="50"/>
      <c r="J1588" s="50"/>
      <c r="K1588" s="50"/>
      <c r="L1588" s="50"/>
      <c r="M1588" s="50"/>
      <c r="N1588" s="50"/>
      <c r="O1588" s="50"/>
      <c r="P1588" s="50"/>
      <c r="Q1588" s="50"/>
      <c r="R1588" s="50"/>
    </row>
    <row r="1589" spans="1:18" x14ac:dyDescent="0.25">
      <c r="A1589" s="43" t="s">
        <v>1007</v>
      </c>
      <c r="C1589" s="50"/>
      <c r="D1589" s="50"/>
      <c r="E1589" s="50"/>
      <c r="F1589" s="50"/>
      <c r="G1589" s="50"/>
      <c r="H1589" s="50"/>
      <c r="I1589" s="50"/>
      <c r="J1589" s="50"/>
      <c r="K1589" s="50"/>
      <c r="L1589" s="50"/>
      <c r="M1589" s="50"/>
      <c r="N1589" s="50"/>
      <c r="O1589" s="50"/>
      <c r="P1589" s="50"/>
      <c r="Q1589" s="50"/>
      <c r="R1589" s="50"/>
    </row>
    <row r="1590" spans="1:18" x14ac:dyDescent="0.25">
      <c r="A1590" s="128" t="s">
        <v>1008</v>
      </c>
      <c r="B1590" s="129" t="s">
        <v>245</v>
      </c>
      <c r="C1590" s="50">
        <v>0</v>
      </c>
      <c r="D1590" s="50"/>
      <c r="E1590" s="50"/>
      <c r="F1590" s="50"/>
      <c r="G1590" s="50"/>
      <c r="H1590" s="50"/>
      <c r="I1590" s="50"/>
      <c r="J1590" s="50"/>
      <c r="K1590" s="50"/>
      <c r="L1590" s="50"/>
      <c r="M1590" s="50"/>
      <c r="N1590" s="50"/>
      <c r="O1590" s="50"/>
      <c r="P1590" s="50"/>
      <c r="Q1590" s="50"/>
      <c r="R1590" s="50"/>
    </row>
    <row r="1591" spans="1:18" x14ac:dyDescent="0.25">
      <c r="A1591" s="43" t="s">
        <v>1009</v>
      </c>
      <c r="C1591" s="50"/>
      <c r="D1591" s="50"/>
      <c r="E1591" s="50"/>
      <c r="F1591" s="50"/>
      <c r="G1591" s="50"/>
      <c r="H1591" s="50"/>
      <c r="I1591" s="50"/>
      <c r="J1591" s="50"/>
      <c r="K1591" s="50"/>
      <c r="L1591" s="50"/>
      <c r="M1591" s="50"/>
      <c r="N1591" s="50"/>
      <c r="O1591" s="50"/>
      <c r="P1591" s="50"/>
      <c r="Q1591" s="50"/>
      <c r="R1591" s="50"/>
    </row>
    <row r="1592" spans="1:18" x14ac:dyDescent="0.25">
      <c r="A1592" s="41" t="s">
        <v>254</v>
      </c>
      <c r="B1592" s="44"/>
      <c r="C1592" s="51">
        <f t="shared" ref="C1592:R1592" si="900">SUM(C1589:C1591)</f>
        <v>0</v>
      </c>
      <c r="D1592" s="51">
        <f t="shared" si="900"/>
        <v>0</v>
      </c>
      <c r="E1592" s="51">
        <f t="shared" si="900"/>
        <v>0</v>
      </c>
      <c r="F1592" s="51">
        <v>0</v>
      </c>
      <c r="G1592" s="51">
        <v>0</v>
      </c>
      <c r="H1592" s="51">
        <v>0</v>
      </c>
      <c r="I1592" s="51">
        <v>0</v>
      </c>
      <c r="J1592" s="51">
        <v>0</v>
      </c>
      <c r="K1592" s="51">
        <v>0</v>
      </c>
      <c r="L1592" s="51">
        <v>0</v>
      </c>
      <c r="M1592" s="51">
        <v>0</v>
      </c>
      <c r="N1592" s="51">
        <v>0</v>
      </c>
      <c r="O1592" s="51">
        <v>0</v>
      </c>
      <c r="P1592" s="51">
        <v>0</v>
      </c>
      <c r="Q1592" s="51">
        <f t="shared" si="900"/>
        <v>0</v>
      </c>
      <c r="R1592" s="51">
        <f t="shared" si="900"/>
        <v>0</v>
      </c>
    </row>
    <row r="1593" spans="1:18" x14ac:dyDescent="0.25">
      <c r="A1593" s="41"/>
      <c r="B1593" s="44"/>
      <c r="C1593" s="50"/>
      <c r="D1593" s="50"/>
      <c r="E1593" s="50"/>
      <c r="F1593" s="50"/>
      <c r="G1593" s="50"/>
      <c r="H1593" s="50"/>
      <c r="I1593" s="50"/>
      <c r="J1593" s="50"/>
      <c r="K1593" s="50"/>
      <c r="L1593" s="50"/>
      <c r="M1593" s="50"/>
      <c r="N1593" s="50"/>
      <c r="O1593" s="50"/>
      <c r="P1593" s="50"/>
      <c r="Q1593" s="50"/>
      <c r="R1593" s="50"/>
    </row>
    <row r="1594" spans="1:18" x14ac:dyDescent="0.25">
      <c r="A1594" s="41" t="s">
        <v>171</v>
      </c>
      <c r="B1594" s="44"/>
      <c r="C1594" s="50"/>
      <c r="D1594" s="50"/>
      <c r="E1594" s="50"/>
      <c r="F1594" s="50"/>
      <c r="G1594" s="50"/>
      <c r="H1594" s="50"/>
      <c r="I1594" s="50"/>
      <c r="J1594" s="50"/>
      <c r="K1594" s="50"/>
      <c r="L1594" s="50"/>
      <c r="M1594" s="50"/>
      <c r="N1594" s="50"/>
      <c r="O1594" s="50"/>
      <c r="P1594" s="50"/>
      <c r="Q1594" s="50"/>
      <c r="R1594" s="50"/>
    </row>
    <row r="1595" spans="1:18" x14ac:dyDescent="0.25">
      <c r="C1595" s="50"/>
      <c r="D1595" s="50"/>
      <c r="E1595" s="50"/>
      <c r="F1595" s="50"/>
      <c r="G1595" s="50"/>
      <c r="H1595" s="50"/>
      <c r="I1595" s="50"/>
      <c r="J1595" s="50"/>
      <c r="K1595" s="50"/>
      <c r="L1595" s="50"/>
      <c r="M1595" s="50"/>
      <c r="N1595" s="50"/>
      <c r="O1595" s="50"/>
      <c r="P1595" s="50"/>
      <c r="Q1595" s="50"/>
      <c r="R1595" s="50"/>
    </row>
    <row r="1596" spans="1:18" x14ac:dyDescent="0.25">
      <c r="A1596" s="52" t="s">
        <v>987</v>
      </c>
      <c r="C1596" s="50">
        <v>76424</v>
      </c>
      <c r="D1596" s="50">
        <v>0</v>
      </c>
      <c r="E1596" s="50">
        <v>0</v>
      </c>
      <c r="F1596" s="50">
        <v>0</v>
      </c>
      <c r="G1596" s="50">
        <v>0</v>
      </c>
      <c r="H1596" s="50">
        <v>0</v>
      </c>
      <c r="I1596" s="50">
        <v>0</v>
      </c>
      <c r="J1596" s="50">
        <v>0</v>
      </c>
      <c r="K1596" s="50">
        <v>0</v>
      </c>
      <c r="L1596" s="50">
        <v>0</v>
      </c>
      <c r="M1596" s="50">
        <v>0</v>
      </c>
      <c r="N1596" s="50">
        <v>0</v>
      </c>
      <c r="O1596" s="50">
        <v>0</v>
      </c>
      <c r="P1596" s="50">
        <v>0</v>
      </c>
      <c r="Q1596" s="50">
        <v>0</v>
      </c>
      <c r="R1596" s="50">
        <v>0</v>
      </c>
    </row>
    <row r="1597" spans="1:18" x14ac:dyDescent="0.25">
      <c r="A1597" s="52" t="s">
        <v>986</v>
      </c>
      <c r="B1597" s="53"/>
      <c r="C1597" s="50">
        <v>0</v>
      </c>
      <c r="D1597" s="50">
        <v>0</v>
      </c>
      <c r="E1597" s="50">
        <v>0</v>
      </c>
      <c r="F1597" s="50">
        <v>0</v>
      </c>
      <c r="G1597" s="50">
        <v>0</v>
      </c>
      <c r="H1597" s="50">
        <v>0</v>
      </c>
      <c r="I1597" s="50">
        <v>0</v>
      </c>
      <c r="J1597" s="50">
        <v>0</v>
      </c>
      <c r="K1597" s="50">
        <v>0</v>
      </c>
      <c r="L1597" s="50">
        <v>0</v>
      </c>
      <c r="M1597" s="50">
        <v>0</v>
      </c>
      <c r="N1597" s="50">
        <v>0</v>
      </c>
      <c r="O1597" s="50">
        <v>0</v>
      </c>
      <c r="P1597" s="50">
        <v>0</v>
      </c>
      <c r="Q1597" s="50">
        <v>0</v>
      </c>
      <c r="R1597" s="50">
        <v>0</v>
      </c>
    </row>
    <row r="1598" spans="1:18" x14ac:dyDescent="0.25">
      <c r="A1598" s="59" t="s">
        <v>1010</v>
      </c>
      <c r="B1598" s="53"/>
      <c r="C1598" s="50"/>
      <c r="D1598" s="50"/>
      <c r="E1598" s="50"/>
      <c r="F1598" s="50"/>
      <c r="G1598" s="50"/>
      <c r="H1598" s="50"/>
      <c r="I1598" s="50"/>
      <c r="J1598" s="50"/>
      <c r="K1598" s="50"/>
      <c r="L1598" s="50"/>
      <c r="M1598" s="50"/>
      <c r="N1598" s="50"/>
      <c r="O1598" s="50"/>
      <c r="P1598" s="50"/>
      <c r="Q1598" s="50"/>
      <c r="R1598" s="50"/>
    </row>
    <row r="1599" spans="1:18" x14ac:dyDescent="0.25">
      <c r="A1599" s="52" t="s">
        <v>1011</v>
      </c>
      <c r="B1599" s="53"/>
      <c r="C1599" s="52"/>
      <c r="D1599" s="50"/>
      <c r="E1599" s="50"/>
      <c r="F1599" s="50"/>
      <c r="G1599" s="50"/>
      <c r="H1599" s="50">
        <v>20000</v>
      </c>
      <c r="I1599" s="50"/>
      <c r="J1599" s="50"/>
      <c r="K1599" s="50"/>
      <c r="L1599" s="50"/>
      <c r="M1599" s="50"/>
      <c r="N1599" s="50"/>
      <c r="O1599" s="50"/>
      <c r="P1599" s="50"/>
      <c r="Q1599" s="50"/>
      <c r="R1599" s="50"/>
    </row>
    <row r="1600" spans="1:18" x14ac:dyDescent="0.25">
      <c r="A1600" s="43" t="s">
        <v>989</v>
      </c>
      <c r="B1600" s="53"/>
      <c r="C1600" s="54">
        <v>12482</v>
      </c>
      <c r="D1600" s="50">
        <v>6133</v>
      </c>
      <c r="E1600" s="50"/>
      <c r="F1600" s="50"/>
      <c r="G1600" s="50"/>
      <c r="H1600" s="50"/>
      <c r="I1600" s="50"/>
      <c r="J1600" s="50"/>
      <c r="K1600" s="50"/>
      <c r="L1600" s="50"/>
      <c r="M1600" s="50"/>
      <c r="N1600" s="50"/>
      <c r="O1600" s="50"/>
      <c r="P1600" s="50"/>
      <c r="Q1600" s="50"/>
      <c r="R1600" s="50"/>
    </row>
    <row r="1601" spans="1:18" x14ac:dyDescent="0.25">
      <c r="A1601" s="52" t="s">
        <v>1012</v>
      </c>
      <c r="B1601" s="53"/>
      <c r="C1601" s="54">
        <v>380781</v>
      </c>
      <c r="D1601" s="50"/>
      <c r="E1601" s="50"/>
      <c r="F1601" s="50"/>
      <c r="G1601" s="50"/>
      <c r="H1601" s="50"/>
      <c r="I1601" s="50"/>
      <c r="J1601" s="50"/>
      <c r="K1601" s="50"/>
      <c r="L1601" s="50"/>
      <c r="M1601" s="50"/>
      <c r="N1601" s="50"/>
      <c r="O1601" s="50"/>
      <c r="P1601" s="50"/>
      <c r="Q1601" s="50"/>
      <c r="R1601" s="50"/>
    </row>
    <row r="1602" spans="1:18" x14ac:dyDescent="0.25">
      <c r="A1602" s="52" t="s">
        <v>1013</v>
      </c>
      <c r="B1602" s="53"/>
      <c r="C1602" s="68"/>
      <c r="D1602" s="50"/>
      <c r="E1602" s="50"/>
      <c r="F1602" s="50"/>
      <c r="G1602" s="50"/>
      <c r="H1602" s="50"/>
      <c r="I1602" s="50"/>
      <c r="J1602" s="50"/>
      <c r="K1602" s="50"/>
      <c r="L1602" s="50"/>
      <c r="M1602" s="50"/>
      <c r="N1602" s="50"/>
      <c r="O1602" s="50"/>
      <c r="P1602" s="50"/>
      <c r="Q1602" s="50"/>
      <c r="R1602" s="50"/>
    </row>
    <row r="1603" spans="1:18" x14ac:dyDescent="0.25">
      <c r="A1603" s="52" t="s">
        <v>992</v>
      </c>
      <c r="B1603" s="53"/>
      <c r="C1603" s="68"/>
      <c r="D1603" s="50">
        <v>179508</v>
      </c>
      <c r="E1603" s="43">
        <v>47091</v>
      </c>
      <c r="F1603" s="50"/>
      <c r="G1603" s="50"/>
      <c r="H1603" s="50"/>
      <c r="I1603" s="50"/>
      <c r="J1603" s="50"/>
      <c r="K1603" s="50"/>
      <c r="L1603" s="50"/>
      <c r="M1603" s="50"/>
      <c r="N1603" s="50"/>
      <c r="O1603" s="50"/>
      <c r="P1603" s="50"/>
      <c r="Q1603" s="50"/>
      <c r="R1603" s="50"/>
    </row>
    <row r="1604" spans="1:18" x14ac:dyDescent="0.25">
      <c r="A1604" s="52" t="s">
        <v>993</v>
      </c>
      <c r="B1604" s="53"/>
      <c r="C1604" s="68"/>
      <c r="D1604" s="50">
        <v>160545</v>
      </c>
      <c r="E1604" s="50"/>
      <c r="F1604" s="50"/>
      <c r="G1604" s="50"/>
      <c r="H1604" s="50"/>
      <c r="I1604" s="50"/>
      <c r="J1604" s="50"/>
      <c r="K1604" s="50"/>
      <c r="L1604" s="50"/>
      <c r="M1604" s="50"/>
      <c r="N1604" s="50"/>
      <c r="O1604" s="50"/>
      <c r="P1604" s="50"/>
      <c r="Q1604" s="50"/>
      <c r="R1604" s="50"/>
    </row>
    <row r="1605" spans="1:18" x14ac:dyDescent="0.25">
      <c r="A1605" s="91" t="s">
        <v>1014</v>
      </c>
      <c r="B1605" s="163" t="s">
        <v>317</v>
      </c>
      <c r="C1605" s="50"/>
      <c r="D1605" s="50"/>
      <c r="E1605" s="50"/>
      <c r="F1605" s="50"/>
      <c r="G1605" s="50"/>
      <c r="H1605" s="50"/>
      <c r="I1605" s="50"/>
      <c r="J1605" s="50"/>
      <c r="K1605" s="50"/>
      <c r="L1605" s="50"/>
      <c r="M1605" s="50"/>
      <c r="N1605" s="50"/>
      <c r="O1605" s="50"/>
      <c r="P1605" s="50"/>
      <c r="Q1605" s="50"/>
      <c r="R1605" s="50"/>
    </row>
    <row r="1606" spans="1:18" x14ac:dyDescent="0.25">
      <c r="A1606" s="91" t="s">
        <v>1015</v>
      </c>
      <c r="B1606" s="163" t="s">
        <v>317</v>
      </c>
      <c r="C1606" s="50"/>
      <c r="D1606" s="50"/>
      <c r="E1606" s="50"/>
      <c r="F1606" s="85"/>
      <c r="G1606" s="85">
        <v>1825</v>
      </c>
      <c r="H1606" s="50"/>
      <c r="I1606" s="50"/>
      <c r="J1606" s="50"/>
      <c r="K1606" s="50"/>
      <c r="L1606" s="50"/>
      <c r="M1606" s="50"/>
      <c r="N1606" s="50"/>
      <c r="O1606" s="50"/>
      <c r="P1606" s="50"/>
      <c r="Q1606" s="50"/>
      <c r="R1606" s="50"/>
    </row>
    <row r="1607" spans="1:18" x14ac:dyDescent="0.25">
      <c r="A1607" s="217" t="s">
        <v>1016</v>
      </c>
      <c r="B1607" s="212" t="s">
        <v>590</v>
      </c>
      <c r="C1607" s="54">
        <v>1252</v>
      </c>
      <c r="D1607" s="160">
        <v>22366</v>
      </c>
      <c r="E1607" s="160">
        <v>6630</v>
      </c>
      <c r="F1607" s="160"/>
      <c r="G1607" s="160"/>
      <c r="H1607" s="160">
        <v>28285</v>
      </c>
      <c r="I1607" s="160">
        <v>28965</v>
      </c>
      <c r="J1607" s="160">
        <v>29775</v>
      </c>
      <c r="K1607" s="160">
        <v>30549</v>
      </c>
      <c r="L1607" s="160">
        <v>31343</v>
      </c>
      <c r="M1607" s="161">
        <v>26931</v>
      </c>
      <c r="N1607" s="161">
        <v>26286</v>
      </c>
      <c r="O1607" s="161">
        <v>26286</v>
      </c>
      <c r="P1607" s="161">
        <v>26286</v>
      </c>
      <c r="Q1607" s="161">
        <v>26286</v>
      </c>
      <c r="R1607" s="161">
        <v>26286</v>
      </c>
    </row>
    <row r="1608" spans="1:18" x14ac:dyDescent="0.25">
      <c r="A1608" s="217" t="s">
        <v>1017</v>
      </c>
      <c r="B1608" s="212" t="s">
        <v>590</v>
      </c>
      <c r="C1608" s="54"/>
      <c r="D1608" s="160"/>
      <c r="E1608" s="160">
        <v>47395</v>
      </c>
      <c r="F1608" s="160"/>
      <c r="G1608" s="50"/>
      <c r="H1608" s="50"/>
      <c r="I1608" s="50"/>
      <c r="J1608" s="50"/>
      <c r="K1608" s="50"/>
      <c r="L1608" s="50"/>
      <c r="M1608" s="50"/>
      <c r="N1608" s="50"/>
      <c r="O1608" s="50"/>
      <c r="P1608" s="50"/>
      <c r="Q1608" s="50"/>
      <c r="R1608" s="50"/>
    </row>
    <row r="1609" spans="1:18" s="43" customFormat="1" x14ac:dyDescent="0.25">
      <c r="A1609" s="217" t="s">
        <v>1018</v>
      </c>
      <c r="B1609" s="212" t="s">
        <v>590</v>
      </c>
      <c r="C1609" s="50"/>
      <c r="D1609" s="50"/>
      <c r="E1609" s="160">
        <v>14200</v>
      </c>
      <c r="F1609" s="160">
        <v>15274</v>
      </c>
      <c r="G1609" s="50">
        <v>6970</v>
      </c>
      <c r="H1609" s="50"/>
      <c r="I1609" s="50"/>
      <c r="J1609" s="50"/>
      <c r="K1609" s="50"/>
      <c r="L1609" s="50"/>
      <c r="M1609" s="50"/>
      <c r="N1609" s="50"/>
      <c r="O1609" s="50"/>
      <c r="P1609" s="50"/>
      <c r="Q1609" s="50"/>
      <c r="R1609" s="50"/>
    </row>
    <row r="1610" spans="1:18" s="43" customFormat="1" x14ac:dyDescent="0.25">
      <c r="A1610" s="217" t="s">
        <v>1019</v>
      </c>
      <c r="B1610" s="212" t="s">
        <v>590</v>
      </c>
      <c r="C1610" s="50"/>
      <c r="D1610" s="50"/>
      <c r="E1610" s="160"/>
      <c r="F1610" s="160">
        <v>17643</v>
      </c>
      <c r="G1610" s="50">
        <v>8499</v>
      </c>
      <c r="H1610" s="50"/>
      <c r="I1610" s="50"/>
      <c r="J1610" s="50"/>
      <c r="K1610" s="50"/>
      <c r="L1610" s="50"/>
      <c r="M1610" s="50"/>
      <c r="N1610" s="50"/>
      <c r="O1610" s="50"/>
      <c r="P1610" s="50"/>
      <c r="Q1610" s="50"/>
      <c r="R1610" s="50"/>
    </row>
    <row r="1611" spans="1:18" s="43" customFormat="1" x14ac:dyDescent="0.25">
      <c r="A1611" s="217" t="s">
        <v>1020</v>
      </c>
      <c r="B1611" s="212" t="s">
        <v>590</v>
      </c>
      <c r="C1611" s="50"/>
      <c r="D1611" s="50"/>
      <c r="E1611" s="160">
        <v>10260</v>
      </c>
      <c r="F1611" s="50"/>
      <c r="G1611" s="50">
        <v>4958</v>
      </c>
      <c r="H1611" s="50"/>
      <c r="I1611" s="50"/>
      <c r="J1611" s="50"/>
      <c r="K1611" s="50"/>
      <c r="L1611" s="50"/>
      <c r="M1611" s="50"/>
      <c r="N1611" s="50"/>
      <c r="O1611" s="50"/>
      <c r="P1611" s="50"/>
      <c r="Q1611" s="50"/>
      <c r="R1611" s="50"/>
    </row>
    <row r="1612" spans="1:18" x14ac:dyDescent="0.25">
      <c r="A1612" s="52"/>
      <c r="C1612" s="50"/>
      <c r="D1612" s="50"/>
      <c r="E1612" s="50"/>
      <c r="F1612" s="50"/>
      <c r="G1612" s="50"/>
      <c r="H1612" s="50"/>
      <c r="I1612" s="50"/>
      <c r="J1612" s="50"/>
      <c r="K1612" s="50"/>
      <c r="L1612" s="50"/>
      <c r="M1612" s="50"/>
      <c r="N1612" s="50"/>
      <c r="O1612" s="50"/>
      <c r="P1612" s="50"/>
      <c r="Q1612" s="50"/>
      <c r="R1612" s="50"/>
    </row>
    <row r="1613" spans="1:18" x14ac:dyDescent="0.25">
      <c r="A1613" s="41" t="s">
        <v>107</v>
      </c>
      <c r="B1613" s="44"/>
      <c r="C1613" s="51">
        <f t="shared" ref="C1613:R1613" si="901">SUM(C1596:C1612)</f>
        <v>470939</v>
      </c>
      <c r="D1613" s="51">
        <f t="shared" si="901"/>
        <v>368552</v>
      </c>
      <c r="E1613" s="51">
        <f t="shared" si="901"/>
        <v>125576</v>
      </c>
      <c r="F1613" s="51">
        <f t="shared" si="901"/>
        <v>32917</v>
      </c>
      <c r="G1613" s="51">
        <f t="shared" si="901"/>
        <v>22252</v>
      </c>
      <c r="H1613" s="51">
        <f t="shared" si="901"/>
        <v>48285</v>
      </c>
      <c r="I1613" s="51">
        <f t="shared" si="901"/>
        <v>28965</v>
      </c>
      <c r="J1613" s="51">
        <f t="shared" si="901"/>
        <v>29775</v>
      </c>
      <c r="K1613" s="51">
        <f t="shared" si="901"/>
        <v>30549</v>
      </c>
      <c r="L1613" s="51">
        <f t="shared" si="901"/>
        <v>31343</v>
      </c>
      <c r="M1613" s="51">
        <f t="shared" si="901"/>
        <v>26931</v>
      </c>
      <c r="N1613" s="51">
        <f t="shared" si="901"/>
        <v>26286</v>
      </c>
      <c r="O1613" s="51">
        <f t="shared" si="901"/>
        <v>26286</v>
      </c>
      <c r="P1613" s="51">
        <f t="shared" si="901"/>
        <v>26286</v>
      </c>
      <c r="Q1613" s="51">
        <f t="shared" si="901"/>
        <v>26286</v>
      </c>
      <c r="R1613" s="51">
        <f t="shared" si="901"/>
        <v>26286</v>
      </c>
    </row>
    <row r="1614" spans="1:18" x14ac:dyDescent="0.25">
      <c r="C1614" s="50"/>
      <c r="D1614" s="50"/>
      <c r="E1614" s="50"/>
      <c r="F1614" s="50"/>
      <c r="G1614" s="50"/>
      <c r="H1614" s="50"/>
      <c r="I1614" s="50"/>
      <c r="J1614" s="50"/>
      <c r="K1614" s="50"/>
      <c r="L1614" s="50"/>
      <c r="M1614" s="50"/>
      <c r="N1614" s="50"/>
      <c r="O1614" s="50"/>
      <c r="P1614" s="50"/>
      <c r="Q1614" s="50"/>
      <c r="R1614" s="50"/>
    </row>
    <row r="1615" spans="1:18" x14ac:dyDescent="0.25">
      <c r="A1615" s="41" t="s">
        <v>1021</v>
      </c>
      <c r="B1615" s="44"/>
      <c r="C1615" s="51">
        <f t="shared" ref="C1615:R1615" si="902">C1613+C1585-C1565-C1592</f>
        <v>-166545</v>
      </c>
      <c r="D1615" s="51">
        <f t="shared" si="902"/>
        <v>-136446</v>
      </c>
      <c r="E1615" s="51">
        <f t="shared" si="902"/>
        <v>-247598</v>
      </c>
      <c r="F1615" s="51">
        <f t="shared" si="902"/>
        <v>-202106</v>
      </c>
      <c r="G1615" s="51">
        <f t="shared" si="902"/>
        <v>-286850</v>
      </c>
      <c r="H1615" s="51">
        <f t="shared" si="902"/>
        <v>-426835</v>
      </c>
      <c r="I1615" s="51">
        <f t="shared" si="902"/>
        <v>-456991.75</v>
      </c>
      <c r="J1615" s="51">
        <f t="shared" si="902"/>
        <v>-467675.44625000004</v>
      </c>
      <c r="K1615" s="51">
        <f t="shared" si="902"/>
        <v>-478818.42765125004</v>
      </c>
      <c r="L1615" s="51">
        <f t="shared" si="902"/>
        <v>-489549.43680209131</v>
      </c>
      <c r="M1615" s="51">
        <f t="shared" si="902"/>
        <v>-505339.6110147413</v>
      </c>
      <c r="N1615" s="51">
        <f t="shared" si="902"/>
        <v>-518082.84946043242</v>
      </c>
      <c r="O1615" s="51">
        <f t="shared" si="902"/>
        <v>-531528.38487149891</v>
      </c>
      <c r="P1615" s="51">
        <f t="shared" si="902"/>
        <v>-545332.36399648106</v>
      </c>
      <c r="Q1615" s="51">
        <f t="shared" si="902"/>
        <v>-558906.18182121485</v>
      </c>
      <c r="R1615" s="51">
        <f t="shared" si="902"/>
        <v>-574601.0103534736</v>
      </c>
    </row>
    <row r="1616" spans="1:18" x14ac:dyDescent="0.25">
      <c r="C1616" s="50"/>
      <c r="D1616" s="50"/>
      <c r="E1616" s="50"/>
      <c r="F1616" s="50"/>
      <c r="G1616" s="50"/>
      <c r="H1616" s="50"/>
      <c r="I1616" s="50"/>
      <c r="J1616" s="50"/>
      <c r="K1616" s="50"/>
      <c r="L1616" s="50"/>
      <c r="M1616" s="50"/>
      <c r="N1616" s="50"/>
      <c r="O1616" s="50"/>
      <c r="P1616" s="50"/>
      <c r="Q1616" s="50"/>
      <c r="R1616" s="50"/>
    </row>
    <row r="1617" spans="1:18" x14ac:dyDescent="0.25">
      <c r="A1617" s="41" t="s">
        <v>1022</v>
      </c>
      <c r="B1617" s="44"/>
      <c r="C1617" s="51">
        <f t="shared" ref="C1617:R1617" si="903">+C1615+C1542</f>
        <v>2864215</v>
      </c>
      <c r="D1617" s="51">
        <f t="shared" si="903"/>
        <v>2877665</v>
      </c>
      <c r="E1617" s="51">
        <f t="shared" si="903"/>
        <v>3581221</v>
      </c>
      <c r="F1617" s="51">
        <f t="shared" si="903"/>
        <v>3279296</v>
      </c>
      <c r="G1617" s="51">
        <f t="shared" si="903"/>
        <v>2825250</v>
      </c>
      <c r="H1617" s="51">
        <f t="shared" si="903"/>
        <v>2407119</v>
      </c>
      <c r="I1617" s="51">
        <f t="shared" si="903"/>
        <v>3267642.2350000003</v>
      </c>
      <c r="J1617" s="51">
        <f t="shared" si="903"/>
        <v>3450301.3160900003</v>
      </c>
      <c r="K1617" s="51">
        <f t="shared" si="903"/>
        <v>3347047.7915124102</v>
      </c>
      <c r="L1617" s="51">
        <f t="shared" si="903"/>
        <v>3373976.498009108</v>
      </c>
      <c r="M1617" s="51">
        <f t="shared" si="903"/>
        <v>3512169.3890261222</v>
      </c>
      <c r="N1617" s="51">
        <f t="shared" si="903"/>
        <v>3816530.4046189962</v>
      </c>
      <c r="O1617" s="51">
        <f t="shared" si="903"/>
        <v>3592256.5621545212</v>
      </c>
      <c r="P1617" s="51">
        <f t="shared" si="903"/>
        <v>3934483.4083929374</v>
      </c>
      <c r="Q1617" s="51">
        <f t="shared" si="903"/>
        <v>3956782.0171136782</v>
      </c>
      <c r="R1617" s="51">
        <f t="shared" si="903"/>
        <v>4016119.5106632304</v>
      </c>
    </row>
    <row r="1618" spans="1:18" x14ac:dyDescent="0.25">
      <c r="C1618" s="50"/>
      <c r="D1618" s="50"/>
      <c r="E1618" s="50"/>
      <c r="F1618" s="50"/>
      <c r="G1618" s="50"/>
      <c r="H1618" s="50"/>
      <c r="I1618" s="50"/>
      <c r="J1618" s="50"/>
      <c r="K1618" s="50"/>
      <c r="L1618" s="50"/>
      <c r="M1618" s="50"/>
      <c r="N1618" s="50"/>
      <c r="O1618" s="50"/>
      <c r="P1618" s="50"/>
      <c r="Q1618" s="50"/>
      <c r="R1618" s="50"/>
    </row>
    <row r="1619" spans="1:18" x14ac:dyDescent="0.25">
      <c r="C1619" s="50"/>
      <c r="D1619" s="50"/>
      <c r="E1619" s="50"/>
      <c r="F1619" s="50"/>
      <c r="G1619" s="50"/>
      <c r="H1619" s="50"/>
      <c r="I1619" s="50"/>
      <c r="J1619" s="50"/>
      <c r="K1619" s="50"/>
      <c r="L1619" s="50"/>
      <c r="M1619" s="50"/>
      <c r="N1619" s="50"/>
      <c r="O1619" s="50"/>
      <c r="P1619" s="50"/>
      <c r="Q1619" s="50"/>
      <c r="R1619" s="50"/>
    </row>
    <row r="1620" spans="1:18" x14ac:dyDescent="0.25">
      <c r="C1620" s="50"/>
      <c r="D1620" s="50"/>
      <c r="E1620" s="50"/>
      <c r="F1620" s="50"/>
      <c r="G1620" s="50"/>
      <c r="H1620" s="50"/>
      <c r="I1620" s="50"/>
      <c r="J1620" s="50"/>
      <c r="K1620" s="50"/>
      <c r="L1620" s="50"/>
      <c r="M1620" s="50"/>
      <c r="N1620" s="50"/>
      <c r="O1620" s="50"/>
      <c r="P1620" s="50"/>
      <c r="Q1620" s="50"/>
      <c r="R1620" s="50"/>
    </row>
    <row r="1621" spans="1:18" x14ac:dyDescent="0.25">
      <c r="A1621" s="41" t="s">
        <v>163</v>
      </c>
      <c r="B1621" s="44"/>
      <c r="C1621" s="50"/>
      <c r="D1621" s="50"/>
      <c r="E1621" s="50"/>
      <c r="F1621" s="50"/>
      <c r="G1621" s="50"/>
      <c r="H1621" s="50"/>
      <c r="I1621" s="50"/>
      <c r="J1621" s="50"/>
      <c r="K1621" s="50"/>
      <c r="L1621" s="50"/>
      <c r="M1621" s="50"/>
      <c r="N1621" s="50"/>
      <c r="O1621" s="50"/>
      <c r="P1621" s="50"/>
      <c r="Q1621" s="50"/>
      <c r="R1621" s="50"/>
    </row>
    <row r="1622" spans="1:18" x14ac:dyDescent="0.25">
      <c r="A1622" s="41"/>
      <c r="B1622" s="44"/>
      <c r="C1622" s="50"/>
      <c r="D1622" s="50"/>
      <c r="E1622" s="50"/>
      <c r="F1622" s="50"/>
      <c r="G1622" s="50"/>
      <c r="H1622" s="50"/>
      <c r="I1622" s="50"/>
      <c r="J1622" s="50"/>
      <c r="K1622" s="50"/>
      <c r="L1622" s="50"/>
      <c r="M1622" s="50"/>
      <c r="N1622" s="50"/>
      <c r="O1622" s="50"/>
      <c r="P1622" s="50"/>
      <c r="Q1622" s="50"/>
      <c r="R1622" s="50"/>
    </row>
    <row r="1623" spans="1:18" x14ac:dyDescent="0.25">
      <c r="C1623" s="50"/>
      <c r="D1623" s="50"/>
      <c r="E1623" s="50"/>
      <c r="F1623" s="50"/>
      <c r="G1623" s="50"/>
      <c r="H1623" s="50"/>
      <c r="I1623" s="50"/>
      <c r="J1623" s="50"/>
      <c r="K1623" s="50"/>
      <c r="L1623" s="50"/>
      <c r="M1623" s="50"/>
      <c r="N1623" s="50"/>
      <c r="O1623" s="50"/>
      <c r="P1623" s="50"/>
      <c r="Q1623" s="50"/>
      <c r="R1623" s="50"/>
    </row>
    <row r="1624" spans="1:18" x14ac:dyDescent="0.25">
      <c r="A1624" s="41" t="s">
        <v>1023</v>
      </c>
      <c r="B1624" s="44"/>
      <c r="C1624" s="50"/>
      <c r="D1624" s="50"/>
      <c r="E1624" s="50"/>
      <c r="F1624" s="50"/>
      <c r="G1624" s="50"/>
      <c r="H1624" s="50"/>
      <c r="I1624" s="50"/>
      <c r="J1624" s="50"/>
      <c r="K1624" s="50"/>
      <c r="L1624" s="50"/>
      <c r="M1624" s="50"/>
      <c r="N1624" s="50"/>
      <c r="O1624" s="50"/>
      <c r="P1624" s="50"/>
      <c r="Q1624" s="50"/>
      <c r="R1624" s="50"/>
    </row>
    <row r="1625" spans="1:18" x14ac:dyDescent="0.25">
      <c r="A1625" s="41"/>
      <c r="B1625" s="44"/>
      <c r="C1625" s="50"/>
      <c r="D1625" s="50"/>
      <c r="E1625" s="50"/>
      <c r="F1625" s="50"/>
      <c r="G1625" s="50"/>
      <c r="H1625" s="50"/>
      <c r="I1625" s="50"/>
      <c r="J1625" s="50"/>
      <c r="K1625" s="50"/>
      <c r="L1625" s="50"/>
      <c r="M1625" s="50"/>
      <c r="N1625" s="50"/>
      <c r="O1625" s="50"/>
      <c r="P1625" s="50"/>
      <c r="Q1625" s="50"/>
      <c r="R1625" s="50"/>
    </row>
    <row r="1626" spans="1:18" x14ac:dyDescent="0.25">
      <c r="A1626" s="41" t="s">
        <v>202</v>
      </c>
      <c r="B1626" s="44"/>
      <c r="C1626" s="50"/>
      <c r="D1626" s="50"/>
      <c r="E1626" s="50"/>
      <c r="F1626" s="50"/>
      <c r="G1626" s="50"/>
      <c r="H1626" s="50"/>
      <c r="I1626" s="50"/>
      <c r="J1626" s="50"/>
      <c r="K1626" s="50"/>
      <c r="L1626" s="50"/>
      <c r="M1626" s="50"/>
      <c r="N1626" s="50"/>
      <c r="O1626" s="50"/>
      <c r="P1626" s="50"/>
      <c r="Q1626" s="50"/>
      <c r="R1626" s="50"/>
    </row>
    <row r="1627" spans="1:18" x14ac:dyDescent="0.25">
      <c r="A1627" s="41"/>
      <c r="B1627" s="44"/>
      <c r="C1627" s="50"/>
      <c r="D1627" s="50"/>
      <c r="E1627" s="50"/>
      <c r="F1627" s="50"/>
      <c r="G1627" s="50"/>
      <c r="H1627" s="50"/>
      <c r="I1627" s="50"/>
      <c r="J1627" s="50"/>
      <c r="K1627" s="50"/>
      <c r="L1627" s="50"/>
      <c r="M1627" s="50"/>
      <c r="N1627" s="50"/>
      <c r="O1627" s="50"/>
      <c r="P1627" s="50"/>
      <c r="Q1627" s="50"/>
      <c r="R1627" s="50"/>
    </row>
    <row r="1628" spans="1:18" x14ac:dyDescent="0.25">
      <c r="A1628" s="59" t="s">
        <v>1024</v>
      </c>
      <c r="B1628" s="53"/>
      <c r="C1628" s="50">
        <v>0</v>
      </c>
      <c r="D1628" s="50">
        <f>C1628*1.027</f>
        <v>0</v>
      </c>
      <c r="E1628" s="50">
        <f>D1628*1.027</f>
        <v>0</v>
      </c>
      <c r="F1628" s="50">
        <v>0</v>
      </c>
      <c r="G1628" s="50">
        <v>0</v>
      </c>
      <c r="H1628" s="50">
        <v>0</v>
      </c>
      <c r="I1628" s="50">
        <v>0</v>
      </c>
      <c r="J1628" s="50">
        <v>0</v>
      </c>
      <c r="K1628" s="50">
        <v>0</v>
      </c>
      <c r="L1628" s="50">
        <v>0</v>
      </c>
      <c r="M1628" s="50">
        <v>0</v>
      </c>
      <c r="N1628" s="50">
        <v>0</v>
      </c>
      <c r="O1628" s="50">
        <v>0</v>
      </c>
      <c r="P1628" s="50">
        <v>0</v>
      </c>
      <c r="Q1628" s="50">
        <f t="shared" ref="Q1628:R1628" si="904">P1628*1.027</f>
        <v>0</v>
      </c>
      <c r="R1628" s="50">
        <f t="shared" si="904"/>
        <v>0</v>
      </c>
    </row>
    <row r="1629" spans="1:18" x14ac:dyDescent="0.25">
      <c r="A1629" s="59" t="s">
        <v>1025</v>
      </c>
      <c r="B1629" s="53"/>
      <c r="C1629" s="59">
        <v>0</v>
      </c>
      <c r="D1629" s="50"/>
      <c r="E1629" s="50"/>
      <c r="F1629" s="50"/>
      <c r="G1629" s="50"/>
      <c r="H1629" s="50"/>
      <c r="I1629" s="50"/>
      <c r="J1629" s="50"/>
      <c r="K1629" s="50"/>
      <c r="L1629" s="50"/>
      <c r="M1629" s="50"/>
      <c r="N1629" s="50"/>
      <c r="O1629" s="50"/>
      <c r="P1629" s="50"/>
      <c r="Q1629" s="50"/>
      <c r="R1629" s="50"/>
    </row>
    <row r="1630" spans="1:18" x14ac:dyDescent="0.25">
      <c r="A1630" s="52" t="s">
        <v>1026</v>
      </c>
      <c r="B1630" s="53"/>
      <c r="C1630" s="59"/>
      <c r="D1630" s="50"/>
      <c r="E1630" s="50"/>
      <c r="F1630" s="50">
        <v>57182</v>
      </c>
      <c r="G1630" s="50">
        <v>71690</v>
      </c>
      <c r="H1630" s="50">
        <v>6000</v>
      </c>
      <c r="I1630" s="50"/>
      <c r="J1630" s="50"/>
      <c r="K1630" s="50"/>
      <c r="L1630" s="50"/>
      <c r="M1630" s="50"/>
      <c r="N1630" s="50"/>
      <c r="O1630" s="50"/>
      <c r="P1630" s="50"/>
      <c r="Q1630" s="50"/>
      <c r="R1630" s="50"/>
    </row>
    <row r="1631" spans="1:18" x14ac:dyDescent="0.25">
      <c r="A1631" s="52" t="s">
        <v>1027</v>
      </c>
      <c r="B1631" s="53"/>
      <c r="C1631" s="50">
        <v>1000</v>
      </c>
      <c r="D1631" s="50">
        <v>250</v>
      </c>
      <c r="E1631" s="50"/>
      <c r="F1631" s="50">
        <v>9091</v>
      </c>
      <c r="G1631" s="50"/>
      <c r="H1631" s="50"/>
      <c r="I1631" s="50"/>
      <c r="J1631" s="50"/>
      <c r="K1631" s="50"/>
      <c r="L1631" s="50"/>
      <c r="M1631" s="50"/>
      <c r="N1631" s="50"/>
      <c r="O1631" s="50"/>
      <c r="P1631" s="50"/>
      <c r="Q1631" s="50"/>
      <c r="R1631" s="50"/>
    </row>
    <row r="1632" spans="1:18" x14ac:dyDescent="0.25">
      <c r="A1632" s="52" t="s">
        <v>1028</v>
      </c>
      <c r="B1632" s="53"/>
      <c r="C1632" s="50">
        <v>0</v>
      </c>
      <c r="D1632" s="50">
        <v>18182</v>
      </c>
      <c r="E1632" s="50">
        <v>0</v>
      </c>
      <c r="F1632" s="50"/>
      <c r="G1632" s="50"/>
      <c r="H1632" s="50"/>
      <c r="I1632" s="50"/>
      <c r="J1632" s="50"/>
      <c r="K1632" s="50"/>
      <c r="L1632" s="50"/>
      <c r="M1632" s="50"/>
      <c r="N1632" s="50"/>
      <c r="O1632" s="50"/>
      <c r="P1632" s="50"/>
      <c r="Q1632" s="50"/>
      <c r="R1632" s="50"/>
    </row>
    <row r="1633" spans="1:18" x14ac:dyDescent="0.25">
      <c r="A1633" s="52" t="s">
        <v>1029</v>
      </c>
      <c r="B1633" s="44"/>
      <c r="C1633" s="50"/>
      <c r="D1633" s="50"/>
      <c r="E1633" s="50"/>
      <c r="F1633" s="50">
        <v>182</v>
      </c>
      <c r="G1633" s="50"/>
      <c r="H1633" s="50"/>
      <c r="I1633" s="50"/>
      <c r="J1633" s="50"/>
      <c r="K1633" s="50"/>
      <c r="L1633" s="50"/>
      <c r="M1633" s="50"/>
      <c r="N1633" s="50"/>
      <c r="O1633" s="50"/>
      <c r="P1633" s="50"/>
      <c r="Q1633" s="50"/>
      <c r="R1633" s="50"/>
    </row>
    <row r="1634" spans="1:18" x14ac:dyDescent="0.25">
      <c r="A1634" s="52" t="s">
        <v>1030</v>
      </c>
      <c r="B1634" s="44"/>
      <c r="C1634" s="50"/>
      <c r="D1634" s="50"/>
      <c r="E1634" s="50"/>
      <c r="F1634" s="50"/>
      <c r="G1634" s="50"/>
      <c r="H1634" s="50">
        <v>266500</v>
      </c>
      <c r="I1634" s="50"/>
      <c r="J1634" s="50"/>
      <c r="K1634" s="50"/>
      <c r="L1634" s="50"/>
      <c r="M1634" s="50"/>
      <c r="N1634" s="50"/>
      <c r="O1634" s="50"/>
      <c r="P1634" s="50"/>
      <c r="Q1634" s="50"/>
      <c r="R1634" s="50"/>
    </row>
    <row r="1635" spans="1:18" x14ac:dyDescent="0.25">
      <c r="A1635" s="41" t="s">
        <v>216</v>
      </c>
      <c r="B1635" s="44"/>
      <c r="C1635" s="51">
        <f t="shared" ref="C1635" si="905">SUM(C1626:C1633)</f>
        <v>1000</v>
      </c>
      <c r="D1635" s="51">
        <f t="shared" ref="D1635:R1635" si="906">SUM(D1626:D1633)</f>
        <v>18432</v>
      </c>
      <c r="E1635" s="51">
        <f t="shared" si="906"/>
        <v>0</v>
      </c>
      <c r="F1635" s="51">
        <f t="shared" si="906"/>
        <v>66455</v>
      </c>
      <c r="G1635" s="51">
        <f t="shared" si="906"/>
        <v>71690</v>
      </c>
      <c r="H1635" s="51">
        <f>SUM(H1626:H1634)</f>
        <v>272500</v>
      </c>
      <c r="I1635" s="51">
        <f t="shared" si="906"/>
        <v>0</v>
      </c>
      <c r="J1635" s="51">
        <f t="shared" si="906"/>
        <v>0</v>
      </c>
      <c r="K1635" s="51">
        <f t="shared" si="906"/>
        <v>0</v>
      </c>
      <c r="L1635" s="51">
        <f t="shared" si="906"/>
        <v>0</v>
      </c>
      <c r="M1635" s="51">
        <f t="shared" si="906"/>
        <v>0</v>
      </c>
      <c r="N1635" s="51">
        <f t="shared" si="906"/>
        <v>0</v>
      </c>
      <c r="O1635" s="51">
        <f t="shared" si="906"/>
        <v>0</v>
      </c>
      <c r="P1635" s="51">
        <f t="shared" si="906"/>
        <v>0</v>
      </c>
      <c r="Q1635" s="51">
        <f t="shared" si="906"/>
        <v>0</v>
      </c>
      <c r="R1635" s="51">
        <f t="shared" si="906"/>
        <v>0</v>
      </c>
    </row>
    <row r="1636" spans="1:18" x14ac:dyDescent="0.25">
      <c r="A1636" s="41"/>
      <c r="B1636" s="44"/>
      <c r="C1636" s="51"/>
      <c r="D1636" s="51"/>
      <c r="E1636" s="51"/>
      <c r="F1636" s="51"/>
      <c r="G1636" s="51"/>
      <c r="H1636" s="51"/>
      <c r="I1636" s="51"/>
      <c r="J1636" s="51"/>
      <c r="K1636" s="51"/>
      <c r="L1636" s="51"/>
      <c r="M1636" s="51"/>
      <c r="N1636" s="51"/>
      <c r="O1636" s="51"/>
      <c r="P1636" s="51"/>
      <c r="Q1636" s="51"/>
      <c r="R1636" s="51"/>
    </row>
    <row r="1637" spans="1:18" x14ac:dyDescent="0.25">
      <c r="A1637" s="41" t="s">
        <v>165</v>
      </c>
      <c r="B1637" s="44"/>
      <c r="C1637" s="50"/>
      <c r="D1637" s="50"/>
      <c r="E1637" s="50"/>
      <c r="F1637" s="50"/>
      <c r="G1637" s="50"/>
      <c r="H1637" s="50"/>
      <c r="I1637" s="50"/>
      <c r="J1637" s="50"/>
      <c r="K1637" s="50"/>
      <c r="L1637" s="50"/>
      <c r="M1637" s="50"/>
      <c r="N1637" s="50"/>
      <c r="O1637" s="50"/>
      <c r="P1637" s="50"/>
      <c r="Q1637" s="50"/>
      <c r="R1637" s="50"/>
    </row>
    <row r="1638" spans="1:18" x14ac:dyDescent="0.25">
      <c r="C1638" s="50"/>
      <c r="D1638" s="50"/>
      <c r="E1638" s="50"/>
      <c r="F1638" s="50"/>
      <c r="G1638" s="50"/>
      <c r="H1638" s="50"/>
      <c r="I1638" s="50"/>
      <c r="J1638" s="50"/>
      <c r="K1638" s="50"/>
      <c r="L1638" s="50"/>
      <c r="M1638" s="50"/>
      <c r="N1638" s="50"/>
      <c r="O1638" s="50"/>
      <c r="P1638" s="50"/>
      <c r="Q1638" s="50"/>
      <c r="R1638" s="50"/>
    </row>
    <row r="1639" spans="1:18" x14ac:dyDescent="0.25">
      <c r="A1639" s="52" t="s">
        <v>1031</v>
      </c>
      <c r="B1639" s="53"/>
      <c r="C1639" s="50"/>
      <c r="D1639" s="50"/>
      <c r="E1639" s="50"/>
      <c r="F1639" s="50"/>
      <c r="G1639" s="50"/>
      <c r="H1639" s="50"/>
      <c r="I1639" s="50"/>
      <c r="J1639" s="50"/>
      <c r="K1639" s="50"/>
      <c r="L1639" s="50"/>
      <c r="M1639" s="50"/>
      <c r="N1639" s="50"/>
      <c r="O1639" s="50"/>
      <c r="P1639" s="50"/>
      <c r="Q1639" s="50"/>
      <c r="R1639" s="50"/>
    </row>
    <row r="1640" spans="1:18" x14ac:dyDescent="0.25">
      <c r="A1640" s="43" t="s">
        <v>217</v>
      </c>
      <c r="C1640" s="54">
        <f>326218+855</f>
        <v>327073</v>
      </c>
      <c r="D1640" s="54">
        <v>423691</v>
      </c>
      <c r="E1640" s="50">
        <v>388725</v>
      </c>
      <c r="F1640" s="43">
        <v>399857</v>
      </c>
      <c r="G1640" s="43">
        <v>408982</v>
      </c>
      <c r="H1640" s="43">
        <v>544900</v>
      </c>
      <c r="I1640" s="50">
        <f>H1640*1.025</f>
        <v>558522.5</v>
      </c>
      <c r="J1640" s="50">
        <f>I1640*1.029</f>
        <v>574719.65249999997</v>
      </c>
      <c r="K1640" s="54">
        <f>J1640*1.031</f>
        <v>592535.96172749996</v>
      </c>
      <c r="L1640" s="54">
        <f>K1640*1.033</f>
        <v>612089.64846450742</v>
      </c>
      <c r="M1640" s="54">
        <f>L1640*1.032</f>
        <v>631676.51721537171</v>
      </c>
      <c r="N1640" s="54">
        <f>M1640*1.03</f>
        <v>650626.81273183285</v>
      </c>
      <c r="O1640" s="54">
        <f>N1640*1.032</f>
        <v>671446.87073925149</v>
      </c>
      <c r="P1640" s="54">
        <f>O1640*1.034</f>
        <v>694276.0643443861</v>
      </c>
      <c r="Q1640" s="54">
        <f>P1640*1.034</f>
        <v>717881.45053209527</v>
      </c>
      <c r="R1640" s="54">
        <f>Q1640*1.034</f>
        <v>742289.41985018656</v>
      </c>
    </row>
    <row r="1641" spans="1:18" x14ac:dyDescent="0.25">
      <c r="A1641" s="43" t="s">
        <v>219</v>
      </c>
      <c r="C1641" s="54">
        <v>13373</v>
      </c>
      <c r="D1641" s="54">
        <v>13787</v>
      </c>
      <c r="E1641" s="50">
        <v>9808</v>
      </c>
      <c r="F1641" s="54">
        <v>10570</v>
      </c>
      <c r="G1641" s="54">
        <v>12425</v>
      </c>
      <c r="H1641" s="50">
        <v>9900</v>
      </c>
      <c r="I1641" s="54">
        <f>H1641*1.023</f>
        <v>10127.699999999999</v>
      </c>
      <c r="J1641" s="54">
        <f>I1641*1.024</f>
        <v>10370.764799999999</v>
      </c>
      <c r="K1641" s="54">
        <f>J1641*1.024</f>
        <v>10619.6631552</v>
      </c>
      <c r="L1641" s="54">
        <f>K1641*1.023</f>
        <v>10863.915407769598</v>
      </c>
      <c r="M1641" s="54">
        <f>L1641*1.022</f>
        <v>11102.92154674053</v>
      </c>
      <c r="N1641" s="54">
        <f>M1641*1.023</f>
        <v>11358.288742315561</v>
      </c>
      <c r="O1641" s="54">
        <f>N1641*1.025</f>
        <v>11642.245960873448</v>
      </c>
      <c r="P1641" s="54">
        <f>O1641*1.025</f>
        <v>11933.302109895283</v>
      </c>
      <c r="Q1641" s="54">
        <f>P1641*1.024</f>
        <v>12219.70136053277</v>
      </c>
      <c r="R1641" s="54">
        <f>Q1641*1.024</f>
        <v>12512.974193185557</v>
      </c>
    </row>
    <row r="1642" spans="1:18" x14ac:dyDescent="0.25">
      <c r="A1642" s="43" t="s">
        <v>220</v>
      </c>
      <c r="C1642" s="50">
        <v>47006</v>
      </c>
      <c r="D1642" s="54">
        <v>23734</v>
      </c>
      <c r="E1642" s="54">
        <v>64092</v>
      </c>
      <c r="F1642" s="43">
        <v>57581</v>
      </c>
      <c r="G1642" s="43">
        <v>105938</v>
      </c>
      <c r="H1642" s="43">
        <v>71400</v>
      </c>
      <c r="I1642" s="50">
        <f>H1642*1.025</f>
        <v>73185</v>
      </c>
      <c r="J1642" s="50">
        <f>I1642*1.029</f>
        <v>75307.364999999991</v>
      </c>
      <c r="K1642" s="54">
        <f>J1642*1.031</f>
        <v>77641.893314999979</v>
      </c>
      <c r="L1642" s="54">
        <f>K1642*1.033</f>
        <v>80204.075794394972</v>
      </c>
      <c r="M1642" s="54">
        <f>L1642*1.032</f>
        <v>82770.606219815614</v>
      </c>
      <c r="N1642" s="54">
        <f>M1642*1.03</f>
        <v>85253.724406410081</v>
      </c>
      <c r="O1642" s="54">
        <f>N1642*1.032</f>
        <v>87981.843587415206</v>
      </c>
      <c r="P1642" s="54">
        <f>O1642*1.034</f>
        <v>90973.22626938732</v>
      </c>
      <c r="Q1642" s="54">
        <f>P1642*1.034</f>
        <v>94066.31596254649</v>
      </c>
      <c r="R1642" s="54">
        <f>Q1642*1.034</f>
        <v>97264.570705273072</v>
      </c>
    </row>
    <row r="1643" spans="1:18" x14ac:dyDescent="0.25">
      <c r="A1643" s="43" t="s">
        <v>1032</v>
      </c>
      <c r="C1643" s="169">
        <v>8155</v>
      </c>
      <c r="D1643" s="98">
        <v>7004</v>
      </c>
      <c r="E1643" s="98">
        <v>4743</v>
      </c>
      <c r="F1643" s="98">
        <v>4826</v>
      </c>
      <c r="G1643" s="98">
        <v>8271</v>
      </c>
      <c r="H1643" s="98">
        <v>7800</v>
      </c>
      <c r="I1643" s="98">
        <v>7800</v>
      </c>
      <c r="J1643" s="98">
        <v>7800</v>
      </c>
      <c r="K1643" s="180">
        <v>8300</v>
      </c>
      <c r="L1643" s="180">
        <v>8300</v>
      </c>
      <c r="M1643" s="180">
        <v>8300</v>
      </c>
      <c r="N1643" s="180">
        <v>8900</v>
      </c>
      <c r="O1643" s="180">
        <v>8900</v>
      </c>
      <c r="P1643" s="180">
        <v>8900</v>
      </c>
      <c r="Q1643" s="180">
        <v>9500</v>
      </c>
      <c r="R1643" s="180">
        <v>9500</v>
      </c>
    </row>
    <row r="1644" spans="1:18" x14ac:dyDescent="0.25">
      <c r="A1644" s="52" t="s">
        <v>1033</v>
      </c>
      <c r="B1644" s="53"/>
      <c r="C1644" s="54">
        <v>2219</v>
      </c>
      <c r="D1644" s="50">
        <v>2991</v>
      </c>
      <c r="E1644" s="50">
        <v>7574</v>
      </c>
      <c r="F1644" s="43">
        <v>13378</v>
      </c>
      <c r="G1644" s="43">
        <v>31185</v>
      </c>
      <c r="H1644" s="43">
        <v>10000</v>
      </c>
      <c r="I1644" s="54">
        <f>H1644*1.023</f>
        <v>10230</v>
      </c>
      <c r="J1644" s="54">
        <f>I1644*1.024</f>
        <v>10475.52</v>
      </c>
      <c r="K1644" s="54">
        <f>J1644*1.024</f>
        <v>10726.932480000001</v>
      </c>
      <c r="L1644" s="54">
        <f>K1644*1.023</f>
        <v>10973.65192704</v>
      </c>
      <c r="M1644" s="54">
        <f>L1644*1.022</f>
        <v>11215.072269434881</v>
      </c>
      <c r="N1644" s="54">
        <f>M1644*1.023</f>
        <v>11473.018931631881</v>
      </c>
      <c r="O1644" s="54">
        <f>N1644*1.025</f>
        <v>11759.844404922676</v>
      </c>
      <c r="P1644" s="54">
        <f>O1644*1.025</f>
        <v>12053.840515045742</v>
      </c>
      <c r="Q1644" s="54">
        <f>P1644*1.024</f>
        <v>12343.13268740684</v>
      </c>
      <c r="R1644" s="54">
        <f>Q1644*1.024</f>
        <v>12639.367871904604</v>
      </c>
    </row>
    <row r="1645" spans="1:18" x14ac:dyDescent="0.25">
      <c r="A1645" s="43" t="s">
        <v>1034</v>
      </c>
      <c r="C1645" s="54">
        <v>26470</v>
      </c>
      <c r="D1645" s="50">
        <v>16707</v>
      </c>
      <c r="E1645" s="43">
        <v>27585</v>
      </c>
      <c r="F1645" s="43">
        <v>10767</v>
      </c>
      <c r="G1645" s="43">
        <v>36957</v>
      </c>
      <c r="H1645" s="43">
        <v>30000</v>
      </c>
      <c r="I1645" s="54">
        <f t="shared" ref="I1645:I1649" si="907">H1645*1.023</f>
        <v>30689.999999999996</v>
      </c>
      <c r="J1645" s="54">
        <f t="shared" ref="J1645:K1649" si="908">I1645*1.024</f>
        <v>31426.559999999998</v>
      </c>
      <c r="K1645" s="54">
        <f t="shared" si="908"/>
        <v>32180.797439999998</v>
      </c>
      <c r="L1645" s="54">
        <f t="shared" ref="L1645:L1649" si="909">K1645*1.023</f>
        <v>32920.955781119992</v>
      </c>
      <c r="M1645" s="54">
        <f t="shared" ref="M1645:M1649" si="910">L1645*1.022</f>
        <v>33645.216808304634</v>
      </c>
      <c r="N1645" s="54">
        <f t="shared" ref="N1645:N1649" si="911">M1645*1.023</f>
        <v>34419.056794895638</v>
      </c>
      <c r="O1645" s="54">
        <f t="shared" ref="O1645:P1649" si="912">N1645*1.025</f>
        <v>35279.533214768024</v>
      </c>
      <c r="P1645" s="54">
        <f t="shared" si="912"/>
        <v>36161.521545137221</v>
      </c>
      <c r="Q1645" s="54">
        <f t="shared" ref="Q1645:R1649" si="913">P1645*1.024</f>
        <v>37029.398062220513</v>
      </c>
      <c r="R1645" s="54">
        <f t="shared" si="913"/>
        <v>37918.103615713808</v>
      </c>
    </row>
    <row r="1646" spans="1:18" x14ac:dyDescent="0.25">
      <c r="A1646" s="43" t="s">
        <v>1035</v>
      </c>
      <c r="C1646" s="54">
        <v>16522</v>
      </c>
      <c r="D1646" s="54">
        <v>20809</v>
      </c>
      <c r="E1646" s="50">
        <f>31628-13409.07</f>
        <v>18218.93</v>
      </c>
      <c r="F1646" s="43">
        <v>18107</v>
      </c>
      <c r="G1646" s="43">
        <v>18160</v>
      </c>
      <c r="H1646" s="43">
        <v>22500</v>
      </c>
      <c r="I1646" s="54">
        <f t="shared" si="907"/>
        <v>23017.499999999996</v>
      </c>
      <c r="J1646" s="54">
        <f t="shared" si="908"/>
        <v>23569.919999999998</v>
      </c>
      <c r="K1646" s="54">
        <f t="shared" si="908"/>
        <v>24135.59808</v>
      </c>
      <c r="L1646" s="54">
        <f t="shared" si="909"/>
        <v>24690.716835839998</v>
      </c>
      <c r="M1646" s="54">
        <f t="shared" si="910"/>
        <v>25233.912606228478</v>
      </c>
      <c r="N1646" s="54">
        <f t="shared" si="911"/>
        <v>25814.29259617173</v>
      </c>
      <c r="O1646" s="54">
        <f t="shared" si="912"/>
        <v>26459.64991107602</v>
      </c>
      <c r="P1646" s="54">
        <f t="shared" si="912"/>
        <v>27121.141158852919</v>
      </c>
      <c r="Q1646" s="54">
        <f t="shared" si="913"/>
        <v>27772.048546665388</v>
      </c>
      <c r="R1646" s="54">
        <f t="shared" si="913"/>
        <v>28438.577711785358</v>
      </c>
    </row>
    <row r="1647" spans="1:18" x14ac:dyDescent="0.25">
      <c r="A1647" s="43" t="s">
        <v>1036</v>
      </c>
      <c r="C1647" s="54">
        <v>58763</v>
      </c>
      <c r="D1647" s="54">
        <v>50385</v>
      </c>
      <c r="E1647" s="52">
        <v>35916</v>
      </c>
      <c r="F1647" s="43">
        <v>38040</v>
      </c>
      <c r="G1647" s="43">
        <v>50315</v>
      </c>
      <c r="H1647" s="43">
        <v>47000</v>
      </c>
      <c r="I1647" s="54">
        <f t="shared" si="907"/>
        <v>48080.999999999993</v>
      </c>
      <c r="J1647" s="54">
        <f t="shared" si="908"/>
        <v>49234.943999999996</v>
      </c>
      <c r="K1647" s="54">
        <f t="shared" si="908"/>
        <v>50416.582655999999</v>
      </c>
      <c r="L1647" s="54">
        <f t="shared" si="909"/>
        <v>51576.164057087997</v>
      </c>
      <c r="M1647" s="54">
        <f t="shared" si="910"/>
        <v>52710.839666343934</v>
      </c>
      <c r="N1647" s="54">
        <f t="shared" si="911"/>
        <v>53923.188978669838</v>
      </c>
      <c r="O1647" s="54">
        <f t="shared" si="912"/>
        <v>55271.268703136579</v>
      </c>
      <c r="P1647" s="54">
        <f t="shared" si="912"/>
        <v>56653.050420714986</v>
      </c>
      <c r="Q1647" s="54">
        <f t="shared" si="913"/>
        <v>58012.72363081215</v>
      </c>
      <c r="R1647" s="54">
        <f t="shared" si="913"/>
        <v>59405.028997951646</v>
      </c>
    </row>
    <row r="1648" spans="1:18" x14ac:dyDescent="0.25">
      <c r="A1648" s="43" t="s">
        <v>1037</v>
      </c>
      <c r="C1648" s="54">
        <v>972</v>
      </c>
      <c r="D1648" s="54">
        <v>1154</v>
      </c>
      <c r="E1648" s="43">
        <v>782</v>
      </c>
      <c r="F1648" s="43">
        <v>3997</v>
      </c>
      <c r="G1648" s="43">
        <v>1530</v>
      </c>
      <c r="H1648" s="43">
        <v>1900</v>
      </c>
      <c r="I1648" s="54">
        <f t="shared" si="907"/>
        <v>1943.6999999999998</v>
      </c>
      <c r="J1648" s="54">
        <f t="shared" si="908"/>
        <v>1990.3487999999998</v>
      </c>
      <c r="K1648" s="54">
        <f t="shared" si="908"/>
        <v>2038.1171711999998</v>
      </c>
      <c r="L1648" s="54">
        <f t="shared" si="909"/>
        <v>2084.9938661375995</v>
      </c>
      <c r="M1648" s="54">
        <f t="shared" si="910"/>
        <v>2130.8637311926268</v>
      </c>
      <c r="N1648" s="54">
        <f t="shared" si="911"/>
        <v>2179.873597010057</v>
      </c>
      <c r="O1648" s="54">
        <f t="shared" si="912"/>
        <v>2234.3704369353081</v>
      </c>
      <c r="P1648" s="54">
        <f t="shared" si="912"/>
        <v>2290.2296978586905</v>
      </c>
      <c r="Q1648" s="54">
        <f t="shared" si="913"/>
        <v>2345.195210607299</v>
      </c>
      <c r="R1648" s="54">
        <f t="shared" si="913"/>
        <v>2401.4798956618743</v>
      </c>
    </row>
    <row r="1649" spans="1:18" x14ac:dyDescent="0.25">
      <c r="A1649" s="43" t="s">
        <v>1038</v>
      </c>
      <c r="C1649" s="54">
        <v>26095</v>
      </c>
      <c r="D1649" s="54">
        <v>33835</v>
      </c>
      <c r="E1649">
        <f>7920+5440</f>
        <v>13360</v>
      </c>
      <c r="F1649" s="43">
        <v>0</v>
      </c>
      <c r="G1649" s="43">
        <v>5950</v>
      </c>
      <c r="H1649" s="43">
        <v>30000</v>
      </c>
      <c r="I1649" s="54">
        <f t="shared" si="907"/>
        <v>30689.999999999996</v>
      </c>
      <c r="J1649" s="54">
        <f t="shared" si="908"/>
        <v>31426.559999999998</v>
      </c>
      <c r="K1649" s="54">
        <f t="shared" si="908"/>
        <v>32180.797439999998</v>
      </c>
      <c r="L1649" s="54">
        <f t="shared" si="909"/>
        <v>32920.955781119992</v>
      </c>
      <c r="M1649" s="54">
        <f t="shared" si="910"/>
        <v>33645.216808304634</v>
      </c>
      <c r="N1649" s="54">
        <f t="shared" si="911"/>
        <v>34419.056794895638</v>
      </c>
      <c r="O1649" s="54">
        <f t="shared" si="912"/>
        <v>35279.533214768024</v>
      </c>
      <c r="P1649" s="54">
        <f t="shared" si="912"/>
        <v>36161.521545137221</v>
      </c>
      <c r="Q1649" s="54">
        <f t="shared" si="913"/>
        <v>37029.398062220513</v>
      </c>
      <c r="R1649" s="54">
        <f t="shared" si="913"/>
        <v>37918.103615713808</v>
      </c>
    </row>
    <row r="1650" spans="1:18" x14ac:dyDescent="0.25">
      <c r="A1650" s="52" t="s">
        <v>1039</v>
      </c>
      <c r="C1650" s="54"/>
      <c r="D1650" s="54"/>
      <c r="E1650" s="50">
        <v>0</v>
      </c>
      <c r="I1650" s="54"/>
      <c r="J1650" s="54"/>
      <c r="K1650" s="54"/>
      <c r="L1650" s="54"/>
      <c r="M1650" s="54"/>
      <c r="N1650" s="54"/>
      <c r="O1650" s="54"/>
      <c r="P1650" s="54"/>
      <c r="Q1650" s="54"/>
      <c r="R1650" s="54"/>
    </row>
    <row r="1651" spans="1:18" x14ac:dyDescent="0.25">
      <c r="A1651" s="52" t="s">
        <v>1040</v>
      </c>
      <c r="C1651" s="54">
        <v>0</v>
      </c>
      <c r="D1651" s="54"/>
      <c r="E1651" s="54"/>
      <c r="F1651" s="54"/>
      <c r="G1651" s="54"/>
      <c r="H1651" s="54"/>
      <c r="I1651" s="54"/>
      <c r="J1651" s="54"/>
      <c r="K1651" s="54"/>
      <c r="L1651" s="54"/>
      <c r="M1651" s="54"/>
      <c r="N1651" s="54"/>
      <c r="O1651" s="54"/>
      <c r="P1651" s="54"/>
      <c r="Q1651" s="54"/>
      <c r="R1651" s="54"/>
    </row>
    <row r="1652" spans="1:18" x14ac:dyDescent="0.25">
      <c r="A1652" s="52" t="s">
        <v>1041</v>
      </c>
      <c r="B1652" s="53"/>
      <c r="C1652" s="54">
        <v>3000</v>
      </c>
      <c r="D1652" s="50"/>
      <c r="E1652" s="50">
        <v>0</v>
      </c>
      <c r="F1652" s="50">
        <v>0</v>
      </c>
      <c r="G1652" s="50">
        <v>0</v>
      </c>
      <c r="H1652" s="50">
        <v>1100</v>
      </c>
      <c r="I1652" s="54">
        <f>H1652*1.059</f>
        <v>1164.8999999999999</v>
      </c>
      <c r="J1652" s="54">
        <f>I1652*1.05</f>
        <v>1223.145</v>
      </c>
      <c r="K1652" s="54">
        <f>J1652*1.05</f>
        <v>1284.30225</v>
      </c>
      <c r="L1652" s="54">
        <f t="shared" ref="L1652:R1653" si="914">K1652*1.05</f>
        <v>1348.5173625</v>
      </c>
      <c r="M1652" s="54">
        <f t="shared" si="914"/>
        <v>1415.9432306250001</v>
      </c>
      <c r="N1652" s="54">
        <f t="shared" si="914"/>
        <v>1486.7403921562502</v>
      </c>
      <c r="O1652" s="54">
        <f t="shared" si="914"/>
        <v>1561.0774117640628</v>
      </c>
      <c r="P1652" s="54">
        <f t="shared" si="914"/>
        <v>1639.131282352266</v>
      </c>
      <c r="Q1652" s="54">
        <f t="shared" si="914"/>
        <v>1721.0878464698794</v>
      </c>
      <c r="R1652" s="54">
        <f t="shared" si="914"/>
        <v>1807.1422387933735</v>
      </c>
    </row>
    <row r="1653" spans="1:18" s="43" customFormat="1" x14ac:dyDescent="0.25">
      <c r="A1653" s="52" t="s">
        <v>1042</v>
      </c>
      <c r="B1653" s="53"/>
      <c r="C1653" s="54">
        <v>0</v>
      </c>
      <c r="D1653" s="50">
        <v>2000</v>
      </c>
      <c r="E1653" s="43">
        <v>2000</v>
      </c>
      <c r="F1653" s="50">
        <v>2000</v>
      </c>
      <c r="G1653" s="50">
        <v>4000</v>
      </c>
      <c r="H1653" s="50">
        <v>4400</v>
      </c>
      <c r="I1653" s="50">
        <v>8480</v>
      </c>
      <c r="J1653" s="54">
        <f>I1653*1.05</f>
        <v>8904</v>
      </c>
      <c r="K1653" s="54">
        <f>J1653*1.05</f>
        <v>9349.2000000000007</v>
      </c>
      <c r="L1653" s="54">
        <f t="shared" si="914"/>
        <v>9816.6600000000017</v>
      </c>
      <c r="M1653" s="54">
        <f t="shared" si="914"/>
        <v>10307.493000000002</v>
      </c>
      <c r="N1653" s="54">
        <f t="shared" si="914"/>
        <v>10822.867650000002</v>
      </c>
      <c r="O1653" s="54">
        <f t="shared" si="914"/>
        <v>11364.011032500002</v>
      </c>
      <c r="P1653" s="54">
        <f t="shared" si="914"/>
        <v>11932.211584125003</v>
      </c>
      <c r="Q1653" s="54">
        <f t="shared" si="914"/>
        <v>12528.822163331253</v>
      </c>
      <c r="R1653" s="54">
        <f t="shared" si="914"/>
        <v>13155.263271497817</v>
      </c>
    </row>
    <row r="1654" spans="1:18" x14ac:dyDescent="0.25">
      <c r="A1654" s="52" t="s">
        <v>1043</v>
      </c>
      <c r="B1654" s="53"/>
      <c r="C1654" s="59">
        <v>13200</v>
      </c>
      <c r="D1654" s="54">
        <v>13200</v>
      </c>
      <c r="E1654">
        <v>13200</v>
      </c>
      <c r="F1654" s="54">
        <v>13200</v>
      </c>
      <c r="G1654" s="54">
        <v>13200</v>
      </c>
      <c r="H1654" s="54">
        <v>13200</v>
      </c>
      <c r="I1654" s="50">
        <v>14530</v>
      </c>
      <c r="J1654" s="54">
        <f t="shared" ref="J1654:K1655" si="915">I1654*1.024</f>
        <v>14878.720000000001</v>
      </c>
      <c r="K1654" s="54">
        <f t="shared" si="915"/>
        <v>15235.809280000001</v>
      </c>
      <c r="L1654" s="54">
        <f t="shared" ref="L1654:L1655" si="916">K1654*1.023</f>
        <v>15586.232893439999</v>
      </c>
      <c r="M1654" s="54">
        <f t="shared" ref="M1654:M1655" si="917">L1654*1.022</f>
        <v>15929.13001709568</v>
      </c>
      <c r="N1654" s="54">
        <f t="shared" ref="N1654:N1655" si="918">M1654*1.023</f>
        <v>16295.500007488879</v>
      </c>
      <c r="O1654" s="54">
        <f t="shared" ref="O1654:P1655" si="919">N1654*1.025</f>
        <v>16702.8875076761</v>
      </c>
      <c r="P1654" s="54">
        <f t="shared" si="919"/>
        <v>17120.459695368001</v>
      </c>
      <c r="Q1654" s="54">
        <f t="shared" ref="Q1654:R1655" si="920">P1654*1.024</f>
        <v>17531.350728056834</v>
      </c>
      <c r="R1654" s="54">
        <f t="shared" si="920"/>
        <v>17952.103145530196</v>
      </c>
    </row>
    <row r="1655" spans="1:18" x14ac:dyDescent="0.25">
      <c r="A1655" s="52" t="s">
        <v>1044</v>
      </c>
      <c r="B1655" s="53"/>
      <c r="C1655" s="59">
        <v>16894</v>
      </c>
      <c r="D1655" s="50">
        <v>17501</v>
      </c>
      <c r="E1655" s="54">
        <v>12491</v>
      </c>
      <c r="F1655" s="54">
        <v>22078</v>
      </c>
      <c r="G1655" s="50">
        <v>57247</v>
      </c>
      <c r="H1655" s="50">
        <f>21000+6000</f>
        <v>27000</v>
      </c>
      <c r="I1655" s="54">
        <f t="shared" ref="I1655" si="921">H1655*1.023</f>
        <v>27620.999999999996</v>
      </c>
      <c r="J1655" s="54">
        <f t="shared" si="915"/>
        <v>28283.903999999999</v>
      </c>
      <c r="K1655" s="54">
        <f t="shared" si="915"/>
        <v>28962.717696</v>
      </c>
      <c r="L1655" s="54">
        <f t="shared" si="916"/>
        <v>29628.860203007996</v>
      </c>
      <c r="M1655" s="54">
        <f t="shared" si="917"/>
        <v>30280.695127474173</v>
      </c>
      <c r="N1655" s="54">
        <f t="shared" si="918"/>
        <v>30977.151115406075</v>
      </c>
      <c r="O1655" s="54">
        <f t="shared" si="919"/>
        <v>31751.579893291226</v>
      </c>
      <c r="P1655" s="54">
        <f t="shared" si="919"/>
        <v>32545.369390623502</v>
      </c>
      <c r="Q1655" s="54">
        <f t="shared" si="920"/>
        <v>33326.45825599847</v>
      </c>
      <c r="R1655" s="54">
        <f t="shared" si="920"/>
        <v>34126.293254142431</v>
      </c>
    </row>
    <row r="1656" spans="1:18" x14ac:dyDescent="0.25">
      <c r="A1656" s="52" t="s">
        <v>1045</v>
      </c>
      <c r="B1656" s="53"/>
      <c r="C1656" s="59"/>
      <c r="D1656" s="50"/>
      <c r="E1656" s="54"/>
      <c r="F1656" s="54"/>
      <c r="G1656" s="50"/>
      <c r="H1656" s="50"/>
      <c r="I1656" s="54"/>
      <c r="J1656" s="54"/>
      <c r="K1656" s="54"/>
      <c r="L1656" s="54"/>
      <c r="M1656" s="54"/>
      <c r="N1656" s="54"/>
      <c r="O1656" s="54"/>
      <c r="P1656" s="54"/>
      <c r="Q1656" s="54"/>
      <c r="R1656" s="54"/>
    </row>
    <row r="1657" spans="1:18" x14ac:dyDescent="0.25">
      <c r="A1657" s="52" t="s">
        <v>1046</v>
      </c>
      <c r="B1657" s="53"/>
      <c r="C1657" s="59"/>
      <c r="D1657" s="50">
        <v>0</v>
      </c>
      <c r="E1657">
        <v>20340</v>
      </c>
      <c r="F1657" s="50"/>
      <c r="G1657" s="50"/>
      <c r="H1657" s="50"/>
      <c r="I1657" s="54">
        <v>30000</v>
      </c>
      <c r="J1657" s="54">
        <f t="shared" ref="J1657:K1657" si="922">I1657*1.024</f>
        <v>30720</v>
      </c>
      <c r="K1657" s="54">
        <f t="shared" si="922"/>
        <v>31457.279999999999</v>
      </c>
      <c r="L1657" s="54">
        <f t="shared" ref="L1657" si="923">K1657*1.023</f>
        <v>32180.797439999995</v>
      </c>
      <c r="M1657" s="54">
        <f t="shared" ref="M1657" si="924">L1657*1.022</f>
        <v>32888.774983679992</v>
      </c>
      <c r="N1657" s="54">
        <f t="shared" ref="N1657" si="925">M1657*1.023</f>
        <v>33645.216808304627</v>
      </c>
      <c r="O1657" s="54">
        <f t="shared" ref="O1657:P1657" si="926">N1657*1.025</f>
        <v>34486.347228512241</v>
      </c>
      <c r="P1657" s="54">
        <f t="shared" si="926"/>
        <v>35348.505909225045</v>
      </c>
      <c r="Q1657" s="54">
        <f t="shared" ref="Q1657:R1657" si="927">P1657*1.024</f>
        <v>36196.870051046448</v>
      </c>
      <c r="R1657" s="54">
        <f t="shared" si="927"/>
        <v>37065.594932271561</v>
      </c>
    </row>
    <row r="1658" spans="1:18" x14ac:dyDescent="0.25">
      <c r="A1658" s="59" t="s">
        <v>1047</v>
      </c>
      <c r="B1658" s="53"/>
      <c r="C1658" s="59"/>
      <c r="D1658" s="50">
        <v>62856</v>
      </c>
      <c r="E1658">
        <v>44510</v>
      </c>
      <c r="F1658" s="50"/>
      <c r="G1658" s="50"/>
      <c r="H1658" s="50"/>
      <c r="I1658" s="54"/>
      <c r="J1658" s="54"/>
      <c r="K1658" s="54"/>
      <c r="L1658" s="54"/>
      <c r="M1658" s="54"/>
      <c r="N1658" s="54"/>
      <c r="O1658" s="54"/>
      <c r="P1658" s="54"/>
      <c r="Q1658" s="54"/>
      <c r="R1658" s="54"/>
    </row>
    <row r="1659" spans="1:18" x14ac:dyDescent="0.25">
      <c r="A1659" s="52" t="s">
        <v>1048</v>
      </c>
      <c r="B1659" s="53"/>
      <c r="C1659" s="59"/>
      <c r="D1659" s="50"/>
      <c r="E1659">
        <f>36180+11795</f>
        <v>47975</v>
      </c>
      <c r="F1659" s="50"/>
      <c r="G1659" s="50"/>
      <c r="H1659" s="50"/>
      <c r="I1659" s="54"/>
      <c r="J1659" s="54"/>
      <c r="K1659" s="54"/>
      <c r="L1659" s="54"/>
      <c r="M1659" s="54"/>
      <c r="N1659" s="54"/>
      <c r="O1659" s="54"/>
      <c r="P1659" s="54"/>
      <c r="Q1659" s="54"/>
      <c r="R1659" s="54"/>
    </row>
    <row r="1660" spans="1:18" x14ac:dyDescent="0.25">
      <c r="A1660" s="52" t="s">
        <v>1049</v>
      </c>
      <c r="B1660" s="53"/>
      <c r="C1660" s="59"/>
      <c r="D1660" s="50"/>
      <c r="E1660">
        <v>0</v>
      </c>
      <c r="F1660" s="50">
        <v>0</v>
      </c>
      <c r="G1660" s="50">
        <v>40081</v>
      </c>
      <c r="H1660" s="50">
        <v>40000</v>
      </c>
      <c r="I1660" s="54"/>
      <c r="J1660" s="54"/>
      <c r="K1660" s="54"/>
      <c r="L1660" s="54"/>
      <c r="M1660" s="54"/>
      <c r="N1660" s="54"/>
      <c r="O1660" s="54"/>
      <c r="P1660" s="54"/>
      <c r="Q1660" s="54"/>
      <c r="R1660" s="54"/>
    </row>
    <row r="1661" spans="1:18" x14ac:dyDescent="0.25">
      <c r="A1661" s="52" t="s">
        <v>1050</v>
      </c>
      <c r="B1661" s="53"/>
      <c r="C1661" s="50">
        <v>0</v>
      </c>
      <c r="D1661" s="54">
        <f>C1661*1.024</f>
        <v>0</v>
      </c>
      <c r="E1661" s="54">
        <f>D1661*1.024</f>
        <v>0</v>
      </c>
      <c r="F1661" s="54">
        <v>0</v>
      </c>
      <c r="G1661" s="54">
        <v>0</v>
      </c>
      <c r="H1661" s="54">
        <v>0</v>
      </c>
      <c r="I1661" s="54">
        <v>0</v>
      </c>
      <c r="J1661" s="54">
        <v>0</v>
      </c>
      <c r="K1661" s="54">
        <v>0</v>
      </c>
      <c r="L1661" s="54">
        <v>0</v>
      </c>
      <c r="M1661" s="54">
        <v>0</v>
      </c>
      <c r="N1661" s="54">
        <v>0</v>
      </c>
      <c r="O1661" s="54">
        <v>0</v>
      </c>
      <c r="P1661" s="54">
        <v>0</v>
      </c>
      <c r="Q1661" s="54">
        <f>P1661*1.028</f>
        <v>0</v>
      </c>
      <c r="R1661" s="54">
        <f>Q1661*1.028</f>
        <v>0</v>
      </c>
    </row>
    <row r="1662" spans="1:18" x14ac:dyDescent="0.25">
      <c r="A1662" s="52" t="s">
        <v>1051</v>
      </c>
      <c r="B1662" s="53"/>
      <c r="C1662" s="50"/>
      <c r="D1662" s="50"/>
      <c r="E1662" s="50"/>
      <c r="F1662" s="50"/>
      <c r="G1662" s="50"/>
      <c r="H1662" s="50"/>
      <c r="I1662" s="50"/>
      <c r="J1662" s="50"/>
      <c r="K1662" s="50"/>
      <c r="L1662" s="50"/>
      <c r="M1662" s="50"/>
      <c r="N1662" s="50"/>
      <c r="O1662" s="50"/>
      <c r="P1662" s="50"/>
      <c r="Q1662" s="50"/>
      <c r="R1662" s="50"/>
    </row>
    <row r="1663" spans="1:18" x14ac:dyDescent="0.25">
      <c r="A1663" s="52" t="s">
        <v>1052</v>
      </c>
      <c r="B1663" s="53"/>
      <c r="C1663" s="54">
        <v>29777</v>
      </c>
      <c r="D1663" s="54">
        <v>27158</v>
      </c>
      <c r="E1663">
        <v>28596</v>
      </c>
      <c r="F1663" s="43">
        <v>33040</v>
      </c>
      <c r="G1663" s="43">
        <v>37917</v>
      </c>
      <c r="H1663" s="43">
        <v>39100</v>
      </c>
      <c r="I1663" s="54">
        <f t="shared" ref="I1663:I1664" si="928">H1663*1.023</f>
        <v>39999.299999999996</v>
      </c>
      <c r="J1663" s="54">
        <f t="shared" ref="J1663:K1664" si="929">I1663*1.024</f>
        <v>40959.283199999998</v>
      </c>
      <c r="K1663" s="54">
        <f t="shared" si="929"/>
        <v>41942.305996800002</v>
      </c>
      <c r="L1663" s="54">
        <f t="shared" ref="L1663:L1664" si="930">K1663*1.023</f>
        <v>42906.979034726399</v>
      </c>
      <c r="M1663" s="54">
        <f t="shared" ref="M1663:M1664" si="931">L1663*1.022</f>
        <v>43850.932573490383</v>
      </c>
      <c r="N1663" s="54">
        <f t="shared" ref="N1663:N1664" si="932">M1663*1.023</f>
        <v>44859.50402268066</v>
      </c>
      <c r="O1663" s="54">
        <f t="shared" ref="O1663:P1664" si="933">N1663*1.025</f>
        <v>45980.991623247675</v>
      </c>
      <c r="P1663" s="54">
        <f t="shared" si="933"/>
        <v>47130.51641382886</v>
      </c>
      <c r="Q1663" s="54">
        <f t="shared" ref="Q1663:R1664" si="934">P1663*1.024</f>
        <v>48261.648807760757</v>
      </c>
      <c r="R1663" s="54">
        <f t="shared" si="934"/>
        <v>49419.928379147015</v>
      </c>
    </row>
    <row r="1664" spans="1:18" x14ac:dyDescent="0.25">
      <c r="A1664" s="52" t="s">
        <v>1053</v>
      </c>
      <c r="B1664" s="53"/>
      <c r="C1664" s="54">
        <v>18437</v>
      </c>
      <c r="D1664" s="54">
        <v>18937</v>
      </c>
      <c r="E1664">
        <f>20154+45</f>
        <v>20199</v>
      </c>
      <c r="F1664" s="54">
        <v>20823</v>
      </c>
      <c r="G1664" s="54">
        <v>18136</v>
      </c>
      <c r="H1664" s="54">
        <v>22200</v>
      </c>
      <c r="I1664" s="54">
        <f t="shared" si="928"/>
        <v>22710.6</v>
      </c>
      <c r="J1664" s="54">
        <f t="shared" si="929"/>
        <v>23255.654399999999</v>
      </c>
      <c r="K1664" s="54">
        <f t="shared" si="929"/>
        <v>23813.790105600001</v>
      </c>
      <c r="L1664" s="54">
        <f t="shared" si="930"/>
        <v>24361.507278028799</v>
      </c>
      <c r="M1664" s="54">
        <f t="shared" si="931"/>
        <v>24897.460438145434</v>
      </c>
      <c r="N1664" s="54">
        <f t="shared" si="932"/>
        <v>25470.102028222776</v>
      </c>
      <c r="O1664" s="54">
        <f t="shared" si="933"/>
        <v>26106.854578928345</v>
      </c>
      <c r="P1664" s="54">
        <f t="shared" si="933"/>
        <v>26759.525943401553</v>
      </c>
      <c r="Q1664" s="54">
        <f t="shared" si="934"/>
        <v>27401.75456604319</v>
      </c>
      <c r="R1664" s="54">
        <f t="shared" si="934"/>
        <v>28059.396675628228</v>
      </c>
    </row>
    <row r="1665" spans="1:18" x14ac:dyDescent="0.25">
      <c r="A1665" s="43" t="s">
        <v>1054</v>
      </c>
      <c r="B1665" s="53"/>
      <c r="C1665" s="59">
        <v>0</v>
      </c>
      <c r="D1665" s="54"/>
      <c r="E1665" s="54"/>
      <c r="F1665" s="54"/>
      <c r="G1665" s="54"/>
      <c r="H1665" s="54"/>
      <c r="I1665" s="54"/>
      <c r="J1665" s="54"/>
      <c r="K1665" s="54"/>
      <c r="L1665" s="54"/>
      <c r="M1665" s="54"/>
      <c r="N1665" s="54"/>
      <c r="O1665" s="54"/>
      <c r="P1665" s="54"/>
      <c r="Q1665" s="54"/>
      <c r="R1665" s="54"/>
    </row>
    <row r="1666" spans="1:18" x14ac:dyDescent="0.25">
      <c r="A1666" s="43" t="s">
        <v>1055</v>
      </c>
      <c r="B1666" s="53"/>
      <c r="C1666" s="59"/>
      <c r="D1666" s="54"/>
      <c r="E1666" s="54"/>
      <c r="F1666" s="54"/>
      <c r="G1666" s="54"/>
      <c r="H1666" s="54"/>
      <c r="I1666" s="54"/>
      <c r="J1666" s="54"/>
      <c r="K1666" s="54"/>
      <c r="L1666" s="54"/>
      <c r="M1666" s="54"/>
      <c r="N1666" s="54"/>
      <c r="O1666" s="54"/>
      <c r="P1666" s="54"/>
      <c r="Q1666" s="54"/>
      <c r="R1666" s="54"/>
    </row>
    <row r="1667" spans="1:18" x14ac:dyDescent="0.25">
      <c r="A1667" s="52" t="s">
        <v>1056</v>
      </c>
      <c r="B1667" s="53"/>
      <c r="C1667" s="59">
        <v>10830</v>
      </c>
      <c r="D1667" s="54">
        <v>19528</v>
      </c>
      <c r="E1667">
        <v>201290</v>
      </c>
      <c r="F1667" s="43">
        <v>309461</v>
      </c>
      <c r="G1667" s="43">
        <v>53809</v>
      </c>
      <c r="H1667" s="43">
        <v>20000</v>
      </c>
      <c r="I1667" s="54">
        <f t="shared" ref="I1667" si="935">H1667*1.023</f>
        <v>20460</v>
      </c>
      <c r="J1667" s="54">
        <f t="shared" ref="J1667:K1667" si="936">I1667*1.024</f>
        <v>20951.04</v>
      </c>
      <c r="K1667" s="54">
        <f t="shared" si="936"/>
        <v>21453.864960000003</v>
      </c>
      <c r="L1667" s="54">
        <f t="shared" ref="L1667" si="937">K1667*1.023</f>
        <v>21947.303854080001</v>
      </c>
      <c r="M1667" s="54">
        <f t="shared" ref="M1667" si="938">L1667*1.022</f>
        <v>22430.144538869761</v>
      </c>
      <c r="N1667" s="54">
        <f t="shared" ref="N1667" si="939">M1667*1.023</f>
        <v>22946.037863263762</v>
      </c>
      <c r="O1667" s="54">
        <f t="shared" ref="O1667:P1667" si="940">N1667*1.025</f>
        <v>23519.688809845353</v>
      </c>
      <c r="P1667" s="54">
        <f t="shared" si="940"/>
        <v>24107.681030091484</v>
      </c>
      <c r="Q1667" s="54">
        <f t="shared" ref="Q1667:R1667" si="941">P1667*1.024</f>
        <v>24686.26537481368</v>
      </c>
      <c r="R1667" s="54">
        <f t="shared" si="941"/>
        <v>25278.735743809208</v>
      </c>
    </row>
    <row r="1668" spans="1:18" x14ac:dyDescent="0.25">
      <c r="A1668" s="52" t="s">
        <v>1057</v>
      </c>
      <c r="B1668" s="53"/>
      <c r="C1668" s="50"/>
      <c r="D1668" s="54"/>
      <c r="E1668">
        <v>0</v>
      </c>
      <c r="F1668" s="54"/>
      <c r="G1668" s="54"/>
      <c r="H1668" s="54"/>
      <c r="I1668" s="54"/>
      <c r="J1668" s="54"/>
      <c r="K1668" s="54"/>
      <c r="L1668" s="54"/>
      <c r="M1668" s="54"/>
      <c r="N1668" s="54"/>
      <c r="O1668" s="54"/>
      <c r="P1668" s="54"/>
      <c r="Q1668" s="54"/>
      <c r="R1668" s="54"/>
    </row>
    <row r="1669" spans="1:18" x14ac:dyDescent="0.25">
      <c r="A1669" s="52" t="s">
        <v>1058</v>
      </c>
      <c r="B1669" s="53"/>
      <c r="C1669" s="59">
        <v>40487</v>
      </c>
      <c r="D1669" s="50">
        <v>39110</v>
      </c>
      <c r="E1669" s="54">
        <v>40090</v>
      </c>
      <c r="F1669" s="50">
        <v>41090</v>
      </c>
      <c r="G1669" s="50">
        <v>42120</v>
      </c>
      <c r="H1669" s="50">
        <v>43150</v>
      </c>
      <c r="I1669" s="54">
        <f t="shared" ref="I1669:I1674" si="942">H1669*1.023</f>
        <v>44142.45</v>
      </c>
      <c r="J1669" s="54">
        <f t="shared" ref="J1669:K1674" si="943">I1669*1.024</f>
        <v>45201.868799999997</v>
      </c>
      <c r="K1669" s="54">
        <f t="shared" si="943"/>
        <v>46286.7136512</v>
      </c>
      <c r="L1669" s="54">
        <f t="shared" ref="L1669:L1674" si="944">K1669*1.023</f>
        <v>47351.308065177596</v>
      </c>
      <c r="M1669" s="54">
        <f t="shared" ref="M1669:M1674" si="945">L1669*1.022</f>
        <v>48393.036842611502</v>
      </c>
      <c r="N1669" s="54">
        <f t="shared" ref="N1669:N1674" si="946">M1669*1.023</f>
        <v>49506.076689991562</v>
      </c>
      <c r="O1669" s="54">
        <f t="shared" ref="O1669:P1674" si="947">N1669*1.025</f>
        <v>50743.728607241348</v>
      </c>
      <c r="P1669" s="54">
        <f t="shared" si="947"/>
        <v>52012.321822422375</v>
      </c>
      <c r="Q1669" s="54">
        <f t="shared" ref="Q1669:R1674" si="948">P1669*1.024</f>
        <v>53260.617546160516</v>
      </c>
      <c r="R1669" s="54">
        <f t="shared" si="948"/>
        <v>54538.87236726837</v>
      </c>
    </row>
    <row r="1670" spans="1:18" x14ac:dyDescent="0.25">
      <c r="A1670" s="52" t="s">
        <v>1059</v>
      </c>
      <c r="B1670" s="53"/>
      <c r="C1670" s="68">
        <v>124033</v>
      </c>
      <c r="D1670" s="50">
        <v>125510</v>
      </c>
      <c r="E1670" s="54">
        <v>128660</v>
      </c>
      <c r="F1670" s="50">
        <v>131880</v>
      </c>
      <c r="G1670" s="50">
        <v>135170</v>
      </c>
      <c r="H1670" s="50">
        <v>138530</v>
      </c>
      <c r="I1670" s="54">
        <f t="shared" si="942"/>
        <v>141716.18999999997</v>
      </c>
      <c r="J1670" s="54">
        <f t="shared" si="943"/>
        <v>145117.37855999998</v>
      </c>
      <c r="K1670" s="54">
        <f t="shared" si="943"/>
        <v>148600.19564543999</v>
      </c>
      <c r="L1670" s="54">
        <f t="shared" si="944"/>
        <v>152018.0001452851</v>
      </c>
      <c r="M1670" s="54">
        <f t="shared" si="945"/>
        <v>155362.39614848138</v>
      </c>
      <c r="N1670" s="54">
        <f t="shared" si="946"/>
        <v>158935.73125989645</v>
      </c>
      <c r="O1670" s="54">
        <f t="shared" si="947"/>
        <v>162909.12454139386</v>
      </c>
      <c r="P1670" s="54">
        <f t="shared" si="947"/>
        <v>166981.85265492869</v>
      </c>
      <c r="Q1670" s="54">
        <f t="shared" si="948"/>
        <v>170989.41711864699</v>
      </c>
      <c r="R1670" s="54">
        <f t="shared" si="948"/>
        <v>175093.16312949453</v>
      </c>
    </row>
    <row r="1671" spans="1:18" x14ac:dyDescent="0.25">
      <c r="A1671" s="52" t="s">
        <v>1060</v>
      </c>
      <c r="B1671" s="53"/>
      <c r="C1671" s="54">
        <f>36842+1704</f>
        <v>38546</v>
      </c>
      <c r="D1671" s="50">
        <v>44730</v>
      </c>
      <c r="E1671" s="54">
        <f>15856-630.46</f>
        <v>15225.54</v>
      </c>
      <c r="F1671" s="50">
        <v>18024</v>
      </c>
      <c r="G1671" s="50">
        <v>36202</v>
      </c>
      <c r="H1671" s="50">
        <v>40000</v>
      </c>
      <c r="I1671" s="54">
        <f t="shared" si="942"/>
        <v>40920</v>
      </c>
      <c r="J1671" s="54">
        <f t="shared" si="943"/>
        <v>41902.080000000002</v>
      </c>
      <c r="K1671" s="54">
        <f t="shared" si="943"/>
        <v>42907.729920000005</v>
      </c>
      <c r="L1671" s="54">
        <f t="shared" si="944"/>
        <v>43894.607708160001</v>
      </c>
      <c r="M1671" s="54">
        <f t="shared" si="945"/>
        <v>44860.289077739522</v>
      </c>
      <c r="N1671" s="54">
        <f t="shared" si="946"/>
        <v>45892.075726527524</v>
      </c>
      <c r="O1671" s="54">
        <f t="shared" si="947"/>
        <v>47039.377619690706</v>
      </c>
      <c r="P1671" s="54">
        <f t="shared" si="947"/>
        <v>48215.362060182968</v>
      </c>
      <c r="Q1671" s="54">
        <f t="shared" si="948"/>
        <v>49372.53074962736</v>
      </c>
      <c r="R1671" s="54">
        <f t="shared" si="948"/>
        <v>50557.471487618415</v>
      </c>
    </row>
    <row r="1672" spans="1:18" x14ac:dyDescent="0.25">
      <c r="A1672" s="52" t="s">
        <v>1061</v>
      </c>
      <c r="B1672" s="53"/>
      <c r="C1672" s="59">
        <v>0</v>
      </c>
      <c r="D1672" s="54">
        <v>0</v>
      </c>
      <c r="E1672">
        <v>0</v>
      </c>
      <c r="F1672" s="50">
        <v>0</v>
      </c>
      <c r="G1672" s="50">
        <v>0</v>
      </c>
      <c r="H1672" s="50">
        <v>2000</v>
      </c>
      <c r="I1672" s="54">
        <f t="shared" si="942"/>
        <v>2045.9999999999998</v>
      </c>
      <c r="J1672" s="54">
        <f t="shared" si="943"/>
        <v>2095.1039999999998</v>
      </c>
      <c r="K1672" s="54">
        <f t="shared" si="943"/>
        <v>2145.3864960000001</v>
      </c>
      <c r="L1672" s="54">
        <f t="shared" si="944"/>
        <v>2194.7303854080001</v>
      </c>
      <c r="M1672" s="54">
        <f t="shared" si="945"/>
        <v>2243.0144538869763</v>
      </c>
      <c r="N1672" s="54">
        <f t="shared" si="946"/>
        <v>2294.6037863263764</v>
      </c>
      <c r="O1672" s="54">
        <f t="shared" si="947"/>
        <v>2351.9688809845356</v>
      </c>
      <c r="P1672" s="54">
        <f t="shared" si="947"/>
        <v>2410.7681030091489</v>
      </c>
      <c r="Q1672" s="54">
        <f t="shared" si="948"/>
        <v>2468.6265374813684</v>
      </c>
      <c r="R1672" s="54">
        <f t="shared" si="948"/>
        <v>2527.8735743809211</v>
      </c>
    </row>
    <row r="1673" spans="1:18" x14ac:dyDescent="0.25">
      <c r="A1673" s="52" t="s">
        <v>1062</v>
      </c>
      <c r="B1673" s="53"/>
      <c r="C1673" s="59">
        <v>0</v>
      </c>
      <c r="D1673" s="50">
        <v>5710</v>
      </c>
      <c r="E1673">
        <v>1861</v>
      </c>
      <c r="F1673" s="50">
        <v>0</v>
      </c>
      <c r="G1673" s="50">
        <v>8326</v>
      </c>
      <c r="H1673" s="50">
        <v>14000</v>
      </c>
      <c r="I1673" s="54">
        <f t="shared" si="942"/>
        <v>14321.999999999998</v>
      </c>
      <c r="J1673" s="54">
        <f t="shared" si="943"/>
        <v>14665.727999999999</v>
      </c>
      <c r="K1673" s="54">
        <f t="shared" si="943"/>
        <v>15017.705472</v>
      </c>
      <c r="L1673" s="54">
        <f t="shared" si="944"/>
        <v>15363.112697855999</v>
      </c>
      <c r="M1673" s="54">
        <f t="shared" si="945"/>
        <v>15701.101177208831</v>
      </c>
      <c r="N1673" s="54">
        <f t="shared" si="946"/>
        <v>16062.226504284634</v>
      </c>
      <c r="O1673" s="54">
        <f t="shared" si="947"/>
        <v>16463.78216689175</v>
      </c>
      <c r="P1673" s="54">
        <f t="shared" si="947"/>
        <v>16875.376721064044</v>
      </c>
      <c r="Q1673" s="54">
        <f t="shared" si="948"/>
        <v>17280.38576236958</v>
      </c>
      <c r="R1673" s="54">
        <f t="shared" si="948"/>
        <v>17695.11502066645</v>
      </c>
    </row>
    <row r="1674" spans="1:18" x14ac:dyDescent="0.25">
      <c r="A1674" s="52" t="s">
        <v>1063</v>
      </c>
      <c r="B1674" s="53"/>
      <c r="C1674" s="68">
        <v>0</v>
      </c>
      <c r="D1674" s="54">
        <v>2326</v>
      </c>
      <c r="E1674">
        <v>4123</v>
      </c>
      <c r="F1674" s="54">
        <v>9936</v>
      </c>
      <c r="G1674" s="54">
        <v>13837</v>
      </c>
      <c r="H1674" s="54">
        <v>12000</v>
      </c>
      <c r="I1674" s="54">
        <f t="shared" si="942"/>
        <v>12275.999999999998</v>
      </c>
      <c r="J1674" s="54">
        <f t="shared" si="943"/>
        <v>12570.623999999998</v>
      </c>
      <c r="K1674" s="54">
        <f t="shared" si="943"/>
        <v>12872.318975999999</v>
      </c>
      <c r="L1674" s="54">
        <f t="shared" si="944"/>
        <v>13168.382312447997</v>
      </c>
      <c r="M1674" s="54">
        <f t="shared" si="945"/>
        <v>13458.086723321852</v>
      </c>
      <c r="N1674" s="54">
        <f t="shared" si="946"/>
        <v>13767.622717958253</v>
      </c>
      <c r="O1674" s="54">
        <f t="shared" si="947"/>
        <v>14111.813285907208</v>
      </c>
      <c r="P1674" s="54">
        <f t="shared" si="947"/>
        <v>14464.608618054888</v>
      </c>
      <c r="Q1674" s="54">
        <f t="shared" si="948"/>
        <v>14811.759224888207</v>
      </c>
      <c r="R1674" s="54">
        <f t="shared" si="948"/>
        <v>15167.241446285523</v>
      </c>
    </row>
    <row r="1675" spans="1:18" x14ac:dyDescent="0.25">
      <c r="A1675" s="43" t="s">
        <v>1064</v>
      </c>
      <c r="C1675" s="50">
        <v>2000</v>
      </c>
      <c r="D1675" s="54">
        <v>2000</v>
      </c>
      <c r="E1675">
        <v>1000</v>
      </c>
      <c r="F1675" s="54">
        <v>1000</v>
      </c>
      <c r="G1675" s="54">
        <v>4000</v>
      </c>
      <c r="H1675" s="54">
        <v>4400</v>
      </c>
      <c r="I1675" s="50">
        <v>7400</v>
      </c>
      <c r="J1675" s="54">
        <f>I1675*1.05</f>
        <v>7770</v>
      </c>
      <c r="K1675" s="54">
        <f>J1675*1.05</f>
        <v>8158.5</v>
      </c>
      <c r="L1675" s="54">
        <f t="shared" ref="L1675:R1675" si="949">K1675*1.05</f>
        <v>8566.4250000000011</v>
      </c>
      <c r="M1675" s="54">
        <f t="shared" si="949"/>
        <v>8994.746250000002</v>
      </c>
      <c r="N1675" s="54">
        <f t="shared" si="949"/>
        <v>9444.4835625000032</v>
      </c>
      <c r="O1675" s="54">
        <f t="shared" si="949"/>
        <v>9916.7077406250046</v>
      </c>
      <c r="P1675" s="54">
        <f t="shared" si="949"/>
        <v>10412.543127656256</v>
      </c>
      <c r="Q1675" s="54">
        <f t="shared" si="949"/>
        <v>10933.17028403907</v>
      </c>
      <c r="R1675" s="54">
        <f t="shared" si="949"/>
        <v>11479.828798241024</v>
      </c>
    </row>
    <row r="1676" spans="1:18" x14ac:dyDescent="0.25">
      <c r="A1676" s="43" t="s">
        <v>1065</v>
      </c>
      <c r="C1676" s="50">
        <v>0</v>
      </c>
      <c r="D1676" s="50">
        <v>5000</v>
      </c>
      <c r="E1676">
        <v>0</v>
      </c>
      <c r="F1676" s="50">
        <v>0</v>
      </c>
      <c r="G1676" s="50">
        <v>0</v>
      </c>
      <c r="H1676" s="50">
        <v>0</v>
      </c>
      <c r="I1676" s="50">
        <v>0</v>
      </c>
      <c r="J1676" s="50">
        <v>0</v>
      </c>
      <c r="K1676" s="50">
        <v>0</v>
      </c>
      <c r="L1676" s="50">
        <v>0</v>
      </c>
      <c r="M1676" s="50">
        <v>0</v>
      </c>
      <c r="N1676" s="50">
        <v>0</v>
      </c>
      <c r="O1676" s="50">
        <v>0</v>
      </c>
      <c r="P1676" s="50">
        <v>0</v>
      </c>
      <c r="Q1676" s="50">
        <v>0</v>
      </c>
      <c r="R1676" s="50">
        <v>0</v>
      </c>
    </row>
    <row r="1677" spans="1:18" x14ac:dyDescent="0.25">
      <c r="A1677" s="43" t="s">
        <v>1066</v>
      </c>
      <c r="C1677" s="59">
        <v>15974</v>
      </c>
      <c r="D1677" s="54">
        <v>16707</v>
      </c>
      <c r="E1677">
        <v>23700</v>
      </c>
      <c r="F1677" s="54">
        <v>23637</v>
      </c>
      <c r="G1677" s="54">
        <v>25137</v>
      </c>
      <c r="H1677" s="54">
        <v>26000</v>
      </c>
      <c r="I1677" s="54">
        <f t="shared" ref="I1677" si="950">H1677*1.023</f>
        <v>26597.999999999996</v>
      </c>
      <c r="J1677" s="54">
        <f t="shared" ref="J1677:K1677" si="951">I1677*1.024</f>
        <v>27236.351999999995</v>
      </c>
      <c r="K1677" s="54">
        <f t="shared" si="951"/>
        <v>27890.024447999996</v>
      </c>
      <c r="L1677" s="54">
        <f t="shared" ref="L1677" si="952">K1677*1.023</f>
        <v>28531.495010303996</v>
      </c>
      <c r="M1677" s="54">
        <f t="shared" ref="M1677" si="953">L1677*1.022</f>
        <v>29159.187900530684</v>
      </c>
      <c r="N1677" s="54">
        <f t="shared" ref="N1677" si="954">M1677*1.023</f>
        <v>29829.849222242887</v>
      </c>
      <c r="O1677" s="54">
        <f t="shared" ref="O1677:P1677" si="955">N1677*1.025</f>
        <v>30575.595452798956</v>
      </c>
      <c r="P1677" s="54">
        <f t="shared" si="955"/>
        <v>31339.985339118928</v>
      </c>
      <c r="Q1677" s="54">
        <f t="shared" ref="Q1677:R1677" si="956">P1677*1.024</f>
        <v>32092.144987257783</v>
      </c>
      <c r="R1677" s="54">
        <f t="shared" si="956"/>
        <v>32862.356466951969</v>
      </c>
    </row>
    <row r="1678" spans="1:18" x14ac:dyDescent="0.25">
      <c r="A1678" s="43" t="s">
        <v>1067</v>
      </c>
      <c r="C1678" s="68">
        <f>-8454</f>
        <v>-8454</v>
      </c>
      <c r="D1678" s="50">
        <v>0</v>
      </c>
      <c r="E1678">
        <v>0</v>
      </c>
      <c r="F1678" s="50"/>
      <c r="G1678" s="50">
        <v>0</v>
      </c>
      <c r="H1678" s="50"/>
      <c r="I1678" s="54"/>
      <c r="J1678" s="54"/>
      <c r="K1678" s="54"/>
      <c r="L1678" s="54"/>
      <c r="M1678" s="54"/>
      <c r="N1678" s="54"/>
      <c r="O1678" s="54"/>
      <c r="P1678" s="54"/>
      <c r="Q1678" s="54"/>
      <c r="R1678" s="54"/>
    </row>
    <row r="1679" spans="1:18" x14ac:dyDescent="0.25">
      <c r="A1679" s="43" t="s">
        <v>1068</v>
      </c>
      <c r="C1679" s="59">
        <v>24958</v>
      </c>
      <c r="D1679" s="54">
        <v>25532</v>
      </c>
      <c r="E1679">
        <v>26145</v>
      </c>
      <c r="F1679" s="54">
        <v>6693</v>
      </c>
      <c r="G1679" s="54">
        <v>48595</v>
      </c>
      <c r="H1679" s="54">
        <v>48600</v>
      </c>
      <c r="I1679" s="50">
        <v>53690</v>
      </c>
      <c r="J1679" s="54">
        <f t="shared" ref="J1679:K1680" si="957">I1679*1.024</f>
        <v>54978.559999999998</v>
      </c>
      <c r="K1679" s="54">
        <f t="shared" si="957"/>
        <v>56298.045440000002</v>
      </c>
      <c r="L1679" s="54">
        <f t="shared" ref="L1679:L1680" si="958">K1679*1.023</f>
        <v>57592.900485119993</v>
      </c>
      <c r="M1679" s="54">
        <f t="shared" ref="M1679:M1680" si="959">L1679*1.022</f>
        <v>58859.944295792637</v>
      </c>
      <c r="N1679" s="54">
        <f t="shared" ref="N1679:N1680" si="960">M1679*1.023</f>
        <v>60213.72301459586</v>
      </c>
      <c r="O1679" s="54">
        <f t="shared" ref="O1679:P1680" si="961">N1679*1.025</f>
        <v>61719.066089960754</v>
      </c>
      <c r="P1679" s="54">
        <f t="shared" si="961"/>
        <v>63262.042742209764</v>
      </c>
      <c r="Q1679" s="54">
        <f t="shared" ref="Q1679:R1680" si="962">P1679*1.024</f>
        <v>64780.331768022799</v>
      </c>
      <c r="R1679" s="54">
        <f t="shared" si="962"/>
        <v>66335.059730455352</v>
      </c>
    </row>
    <row r="1680" spans="1:18" x14ac:dyDescent="0.25">
      <c r="A1680" s="43" t="s">
        <v>1069</v>
      </c>
      <c r="C1680" s="50">
        <v>180</v>
      </c>
      <c r="D1680" s="54">
        <v>100</v>
      </c>
      <c r="E1680">
        <v>0</v>
      </c>
      <c r="F1680" s="54">
        <v>0</v>
      </c>
      <c r="G1680" s="54">
        <v>250</v>
      </c>
      <c r="H1680" s="54">
        <v>2000</v>
      </c>
      <c r="I1680" s="54">
        <f t="shared" ref="I1680" si="963">H1680*1.023</f>
        <v>2045.9999999999998</v>
      </c>
      <c r="J1680" s="54">
        <f t="shared" si="957"/>
        <v>2095.1039999999998</v>
      </c>
      <c r="K1680" s="54">
        <f t="shared" si="957"/>
        <v>2145.3864960000001</v>
      </c>
      <c r="L1680" s="54">
        <f t="shared" si="958"/>
        <v>2194.7303854080001</v>
      </c>
      <c r="M1680" s="54">
        <f t="shared" si="959"/>
        <v>2243.0144538869763</v>
      </c>
      <c r="N1680" s="54">
        <f t="shared" si="960"/>
        <v>2294.6037863263764</v>
      </c>
      <c r="O1680" s="54">
        <f t="shared" si="961"/>
        <v>2351.9688809845356</v>
      </c>
      <c r="P1680" s="54">
        <f t="shared" si="961"/>
        <v>2410.7681030091489</v>
      </c>
      <c r="Q1680" s="54">
        <f t="shared" si="962"/>
        <v>2468.6265374813684</v>
      </c>
      <c r="R1680" s="54">
        <f t="shared" si="962"/>
        <v>2527.8735743809211</v>
      </c>
    </row>
    <row r="1681" spans="1:18" x14ac:dyDescent="0.25">
      <c r="A1681" s="43" t="s">
        <v>1070</v>
      </c>
      <c r="C1681" s="59">
        <v>0</v>
      </c>
      <c r="D1681" s="50">
        <v>0</v>
      </c>
      <c r="E1681">
        <v>0</v>
      </c>
      <c r="F1681" s="50">
        <v>480</v>
      </c>
      <c r="G1681" s="50">
        <v>84912</v>
      </c>
      <c r="H1681" s="50"/>
      <c r="I1681" s="54"/>
      <c r="J1681" s="54">
        <v>91500</v>
      </c>
      <c r="K1681" s="50"/>
      <c r="L1681" s="50"/>
      <c r="M1681" s="50"/>
      <c r="N1681" s="50">
        <v>100000</v>
      </c>
      <c r="O1681" s="50"/>
      <c r="P1681" s="54"/>
      <c r="Q1681" s="54"/>
      <c r="R1681" s="54"/>
    </row>
    <row r="1682" spans="1:18" x14ac:dyDescent="0.25">
      <c r="A1682" s="52" t="s">
        <v>1071</v>
      </c>
      <c r="C1682" s="50">
        <v>3636</v>
      </c>
      <c r="D1682" s="50"/>
      <c r="E1682" s="50"/>
      <c r="F1682" s="50"/>
      <c r="G1682" s="50"/>
      <c r="H1682" s="50"/>
      <c r="I1682" s="50"/>
      <c r="J1682" s="50"/>
      <c r="K1682" s="50"/>
      <c r="L1682" s="50"/>
      <c r="M1682" s="50"/>
      <c r="N1682" s="50"/>
      <c r="O1682" s="50"/>
      <c r="P1682" s="50"/>
      <c r="Q1682" s="50"/>
      <c r="R1682" s="50"/>
    </row>
    <row r="1683" spans="1:18" x14ac:dyDescent="0.25">
      <c r="A1683" s="52" t="s">
        <v>1027</v>
      </c>
      <c r="C1683" s="50">
        <v>909</v>
      </c>
      <c r="D1683" s="50"/>
      <c r="E1683" s="50"/>
      <c r="F1683" s="50"/>
      <c r="G1683" s="50"/>
      <c r="H1683" s="50"/>
      <c r="I1683" s="50"/>
      <c r="J1683" s="50"/>
      <c r="K1683" s="50"/>
      <c r="L1683" s="50"/>
      <c r="M1683" s="50"/>
      <c r="N1683" s="50"/>
      <c r="O1683" s="50"/>
      <c r="P1683" s="50"/>
      <c r="Q1683" s="50"/>
      <c r="R1683" s="50"/>
    </row>
    <row r="1684" spans="1:18" x14ac:dyDescent="0.25">
      <c r="C1684" s="50"/>
      <c r="D1684" s="50"/>
      <c r="E1684" s="50"/>
      <c r="F1684" s="50"/>
      <c r="G1684" s="50"/>
      <c r="H1684" s="50"/>
      <c r="I1684" s="50"/>
      <c r="J1684" s="50"/>
      <c r="K1684" s="50"/>
      <c r="L1684" s="50"/>
      <c r="M1684" s="50"/>
      <c r="N1684" s="50"/>
      <c r="O1684" s="50"/>
      <c r="P1684" s="50"/>
      <c r="Q1684" s="50"/>
      <c r="R1684" s="50"/>
    </row>
    <row r="1685" spans="1:18" x14ac:dyDescent="0.25">
      <c r="A1685" s="41" t="s">
        <v>230</v>
      </c>
      <c r="B1685" s="44"/>
      <c r="C1685" s="51">
        <f t="shared" ref="C1685:Q1685" si="964">SUM(C1640:C1684)</f>
        <v>861055</v>
      </c>
      <c r="D1685" s="51">
        <f t="shared" si="964"/>
        <v>1022002</v>
      </c>
      <c r="E1685" s="51">
        <f t="shared" si="964"/>
        <v>1202209.47</v>
      </c>
      <c r="F1685" s="51">
        <f t="shared" si="964"/>
        <v>1190465</v>
      </c>
      <c r="G1685" s="51">
        <f t="shared" si="964"/>
        <v>1302652</v>
      </c>
      <c r="H1685" s="51">
        <f t="shared" si="964"/>
        <v>1273080</v>
      </c>
      <c r="I1685" s="51">
        <f t="shared" si="964"/>
        <v>1304409.8399999999</v>
      </c>
      <c r="J1685" s="51">
        <f t="shared" si="964"/>
        <v>1430630.1810600003</v>
      </c>
      <c r="K1685" s="51">
        <f t="shared" si="964"/>
        <v>1376597.6202979397</v>
      </c>
      <c r="L1685" s="51">
        <f t="shared" si="964"/>
        <v>1415277.6281759676</v>
      </c>
      <c r="M1685" s="51">
        <f t="shared" si="964"/>
        <v>1453706.5581045782</v>
      </c>
      <c r="N1685" s="51">
        <f t="shared" si="964"/>
        <v>1593111.4297320067</v>
      </c>
      <c r="O1685" s="51">
        <f t="shared" si="964"/>
        <v>1535911.7315253904</v>
      </c>
      <c r="P1685" s="51">
        <f t="shared" si="964"/>
        <v>1581492.9281470871</v>
      </c>
      <c r="Q1685" s="51">
        <f t="shared" si="964"/>
        <v>1628311.2323646026</v>
      </c>
      <c r="R1685" s="51">
        <f t="shared" ref="R1685" si="965">SUM(R1640:R1684)</f>
        <v>1675936.9396939399</v>
      </c>
    </row>
    <row r="1686" spans="1:18" x14ac:dyDescent="0.25">
      <c r="C1686" s="50"/>
      <c r="D1686" s="50"/>
      <c r="E1686" s="50"/>
      <c r="F1686" s="50"/>
      <c r="G1686" s="50"/>
      <c r="H1686" s="50"/>
      <c r="I1686" s="50"/>
      <c r="J1686" s="50"/>
      <c r="K1686" s="50"/>
      <c r="L1686" s="50"/>
      <c r="M1686" s="50"/>
      <c r="N1686" s="50"/>
      <c r="O1686" s="50"/>
      <c r="P1686" s="50"/>
      <c r="Q1686" s="50"/>
      <c r="R1686" s="50"/>
    </row>
    <row r="1687" spans="1:18" x14ac:dyDescent="0.25">
      <c r="A1687" s="41" t="s">
        <v>171</v>
      </c>
      <c r="C1687" s="50"/>
      <c r="D1687" s="50"/>
      <c r="E1687" s="50"/>
      <c r="F1687" s="50"/>
      <c r="G1687" s="50"/>
      <c r="H1687" s="50"/>
      <c r="I1687" s="50"/>
      <c r="J1687" s="50"/>
      <c r="K1687" s="50"/>
      <c r="L1687" s="50"/>
      <c r="M1687" s="50"/>
      <c r="N1687" s="50"/>
      <c r="O1687" s="50"/>
      <c r="P1687" s="50"/>
      <c r="Q1687" s="50"/>
      <c r="R1687" s="50"/>
    </row>
    <row r="1688" spans="1:18" x14ac:dyDescent="0.25">
      <c r="A1688" s="41"/>
      <c r="C1688" s="50"/>
      <c r="D1688" s="50"/>
      <c r="E1688" s="50"/>
      <c r="F1688" s="50"/>
      <c r="G1688" s="50"/>
      <c r="H1688" s="50"/>
      <c r="I1688" s="50"/>
      <c r="J1688" s="50"/>
      <c r="K1688" s="50"/>
      <c r="L1688" s="50"/>
      <c r="M1688" s="50"/>
      <c r="N1688" s="50"/>
      <c r="O1688" s="50"/>
      <c r="P1688" s="50"/>
      <c r="Q1688" s="50"/>
      <c r="R1688" s="50"/>
    </row>
    <row r="1689" spans="1:18" x14ac:dyDescent="0.25">
      <c r="A1689" s="52" t="s">
        <v>1072</v>
      </c>
      <c r="C1689" s="50">
        <v>0</v>
      </c>
      <c r="D1689" s="50">
        <v>0</v>
      </c>
      <c r="E1689" s="50">
        <v>0</v>
      </c>
      <c r="F1689" s="50">
        <v>0</v>
      </c>
      <c r="G1689" s="50">
        <v>0</v>
      </c>
      <c r="H1689" s="50">
        <v>0</v>
      </c>
      <c r="I1689" s="50">
        <v>0</v>
      </c>
      <c r="J1689" s="50">
        <v>0</v>
      </c>
      <c r="K1689" s="50">
        <v>0</v>
      </c>
      <c r="L1689" s="50">
        <v>0</v>
      </c>
      <c r="M1689" s="50">
        <v>0</v>
      </c>
      <c r="N1689" s="50">
        <v>0</v>
      </c>
      <c r="O1689" s="50">
        <v>0</v>
      </c>
      <c r="P1689" s="50">
        <v>0</v>
      </c>
      <c r="Q1689" s="50">
        <v>0</v>
      </c>
      <c r="R1689" s="50">
        <v>0</v>
      </c>
    </row>
    <row r="1690" spans="1:18" x14ac:dyDescent="0.25">
      <c r="A1690" s="52" t="s">
        <v>1073</v>
      </c>
      <c r="B1690" s="52"/>
      <c r="C1690" s="50"/>
      <c r="D1690" s="50">
        <v>51765</v>
      </c>
      <c r="E1690" s="50"/>
      <c r="F1690" s="50">
        <v>1529</v>
      </c>
      <c r="G1690" s="50">
        <v>7572</v>
      </c>
      <c r="H1690" s="50"/>
      <c r="I1690" s="50"/>
      <c r="J1690" s="50"/>
      <c r="K1690" s="50"/>
      <c r="L1690" s="50"/>
      <c r="M1690" s="50"/>
      <c r="N1690" s="50"/>
      <c r="O1690" s="50"/>
      <c r="P1690" s="50"/>
      <c r="Q1690" s="50"/>
      <c r="R1690" s="50"/>
    </row>
    <row r="1691" spans="1:18" x14ac:dyDescent="0.25">
      <c r="A1691" s="41"/>
      <c r="C1691" s="50"/>
      <c r="D1691" s="50"/>
      <c r="E1691" s="50"/>
      <c r="F1691" s="50"/>
      <c r="G1691" s="50"/>
      <c r="H1691" s="50"/>
      <c r="I1691" s="50"/>
      <c r="J1691" s="50"/>
      <c r="K1691" s="50"/>
      <c r="L1691" s="50"/>
      <c r="M1691" s="50"/>
      <c r="N1691" s="50"/>
      <c r="O1691" s="50"/>
      <c r="P1691" s="50"/>
      <c r="Q1691" s="50"/>
      <c r="R1691" s="50"/>
    </row>
    <row r="1692" spans="1:18" x14ac:dyDescent="0.25">
      <c r="A1692" s="41" t="s">
        <v>107</v>
      </c>
      <c r="C1692" s="51">
        <f t="shared" ref="C1692:R1692" si="966">SUM(C1689:C1691)</f>
        <v>0</v>
      </c>
      <c r="D1692" s="51">
        <f t="shared" si="966"/>
        <v>51765</v>
      </c>
      <c r="E1692" s="51">
        <f t="shared" si="966"/>
        <v>0</v>
      </c>
      <c r="F1692" s="51">
        <f t="shared" si="966"/>
        <v>1529</v>
      </c>
      <c r="G1692" s="51">
        <f t="shared" si="966"/>
        <v>7572</v>
      </c>
      <c r="H1692" s="51">
        <f t="shared" si="966"/>
        <v>0</v>
      </c>
      <c r="I1692" s="51">
        <f t="shared" si="966"/>
        <v>0</v>
      </c>
      <c r="J1692" s="51">
        <f t="shared" si="966"/>
        <v>0</v>
      </c>
      <c r="K1692" s="51">
        <f t="shared" si="966"/>
        <v>0</v>
      </c>
      <c r="L1692" s="51">
        <f t="shared" si="966"/>
        <v>0</v>
      </c>
      <c r="M1692" s="51">
        <f t="shared" si="966"/>
        <v>0</v>
      </c>
      <c r="N1692" s="51">
        <f t="shared" si="966"/>
        <v>0</v>
      </c>
      <c r="O1692" s="51">
        <f t="shared" si="966"/>
        <v>0</v>
      </c>
      <c r="P1692" s="51">
        <f t="shared" si="966"/>
        <v>0</v>
      </c>
      <c r="Q1692" s="51">
        <f t="shared" si="966"/>
        <v>0</v>
      </c>
      <c r="R1692" s="51">
        <f t="shared" si="966"/>
        <v>0</v>
      </c>
    </row>
    <row r="1693" spans="1:18" x14ac:dyDescent="0.25">
      <c r="C1693" s="50"/>
      <c r="D1693" s="50"/>
      <c r="E1693" s="50"/>
      <c r="F1693" s="50"/>
      <c r="G1693" s="50"/>
      <c r="H1693" s="50"/>
      <c r="I1693" s="50"/>
      <c r="J1693" s="50"/>
      <c r="K1693" s="50"/>
      <c r="L1693" s="50"/>
      <c r="M1693" s="50"/>
      <c r="N1693" s="50"/>
      <c r="O1693" s="50"/>
      <c r="P1693" s="50"/>
      <c r="Q1693" s="50"/>
      <c r="R1693" s="50"/>
    </row>
    <row r="1694" spans="1:18" x14ac:dyDescent="0.25">
      <c r="C1694" s="50"/>
      <c r="D1694" s="50"/>
      <c r="E1694" s="50"/>
      <c r="F1694" s="50"/>
      <c r="G1694" s="50"/>
      <c r="H1694" s="50"/>
      <c r="I1694" s="50"/>
      <c r="J1694" s="50"/>
      <c r="K1694" s="50"/>
      <c r="L1694" s="50"/>
      <c r="M1694" s="50"/>
      <c r="N1694" s="50"/>
      <c r="O1694" s="50"/>
      <c r="P1694" s="50"/>
      <c r="Q1694" s="50"/>
      <c r="R1694" s="50"/>
    </row>
    <row r="1695" spans="1:18" x14ac:dyDescent="0.25">
      <c r="A1695" s="41" t="s">
        <v>1074</v>
      </c>
      <c r="B1695" s="44"/>
      <c r="C1695" s="51">
        <f>C1685-C1635</f>
        <v>860055</v>
      </c>
      <c r="D1695" s="51">
        <f t="shared" ref="D1695:R1695" si="967">D1685-D1635+D1692</f>
        <v>1055335</v>
      </c>
      <c r="E1695" s="51">
        <f t="shared" si="967"/>
        <v>1202209.47</v>
      </c>
      <c r="F1695" s="51">
        <f t="shared" si="967"/>
        <v>1125539</v>
      </c>
      <c r="G1695" s="51">
        <f t="shared" si="967"/>
        <v>1238534</v>
      </c>
      <c r="H1695" s="51">
        <f t="shared" si="967"/>
        <v>1000580</v>
      </c>
      <c r="I1695" s="51">
        <f t="shared" si="967"/>
        <v>1304409.8399999999</v>
      </c>
      <c r="J1695" s="51">
        <f t="shared" si="967"/>
        <v>1430630.1810600003</v>
      </c>
      <c r="K1695" s="51">
        <f t="shared" si="967"/>
        <v>1376597.6202979397</v>
      </c>
      <c r="L1695" s="51">
        <f t="shared" si="967"/>
        <v>1415277.6281759676</v>
      </c>
      <c r="M1695" s="51">
        <f t="shared" si="967"/>
        <v>1453706.5581045782</v>
      </c>
      <c r="N1695" s="51">
        <f t="shared" si="967"/>
        <v>1593111.4297320067</v>
      </c>
      <c r="O1695" s="51">
        <f t="shared" si="967"/>
        <v>1535911.7315253904</v>
      </c>
      <c r="P1695" s="51">
        <f t="shared" si="967"/>
        <v>1581492.9281470871</v>
      </c>
      <c r="Q1695" s="51">
        <f t="shared" si="967"/>
        <v>1628311.2323646026</v>
      </c>
      <c r="R1695" s="51">
        <f t="shared" si="967"/>
        <v>1675936.9396939399</v>
      </c>
    </row>
    <row r="1696" spans="1:18" x14ac:dyDescent="0.25">
      <c r="C1696" s="50"/>
      <c r="D1696" s="50"/>
      <c r="E1696" s="50"/>
      <c r="F1696" s="50"/>
      <c r="G1696" s="50"/>
      <c r="H1696" s="50"/>
      <c r="I1696" s="50"/>
      <c r="J1696" s="50"/>
      <c r="K1696" s="50"/>
      <c r="L1696" s="50"/>
      <c r="M1696" s="50"/>
      <c r="N1696" s="50"/>
      <c r="O1696" s="50"/>
      <c r="P1696" s="50"/>
      <c r="Q1696" s="50"/>
      <c r="R1696" s="50"/>
    </row>
    <row r="1697" spans="1:18" x14ac:dyDescent="0.25">
      <c r="C1697" s="50"/>
      <c r="D1697" s="50"/>
      <c r="E1697" s="50"/>
      <c r="F1697" s="50"/>
      <c r="G1697" s="50"/>
      <c r="H1697" s="50"/>
      <c r="I1697" s="50"/>
      <c r="J1697" s="50"/>
      <c r="K1697" s="50"/>
      <c r="L1697" s="50"/>
      <c r="M1697" s="50"/>
      <c r="N1697" s="50"/>
      <c r="O1697" s="50"/>
      <c r="P1697" s="50"/>
      <c r="Q1697" s="50"/>
      <c r="R1697" s="50"/>
    </row>
    <row r="1698" spans="1:18" x14ac:dyDescent="0.25">
      <c r="A1698" s="41" t="s">
        <v>1075</v>
      </c>
      <c r="B1698" s="44"/>
      <c r="C1698" s="50"/>
      <c r="D1698" s="50"/>
      <c r="E1698" s="50"/>
      <c r="F1698" s="50"/>
      <c r="G1698" s="50"/>
      <c r="H1698" s="50"/>
      <c r="I1698" s="50"/>
      <c r="J1698" s="50"/>
      <c r="K1698" s="50"/>
      <c r="L1698" s="50"/>
      <c r="M1698" s="50"/>
      <c r="N1698" s="50"/>
      <c r="O1698" s="50"/>
      <c r="P1698" s="50"/>
      <c r="Q1698" s="50"/>
      <c r="R1698" s="50"/>
    </row>
    <row r="1699" spans="1:18" x14ac:dyDescent="0.25">
      <c r="C1699" s="50"/>
      <c r="D1699" s="50"/>
      <c r="E1699" s="50"/>
      <c r="F1699" s="50"/>
      <c r="G1699" s="50"/>
      <c r="H1699" s="50"/>
      <c r="I1699" s="50"/>
      <c r="J1699" s="50"/>
      <c r="K1699" s="50"/>
      <c r="L1699" s="50"/>
      <c r="M1699" s="50"/>
      <c r="N1699" s="50"/>
      <c r="O1699" s="50"/>
      <c r="P1699" s="50"/>
      <c r="Q1699" s="50"/>
      <c r="R1699" s="50"/>
    </row>
    <row r="1700" spans="1:18" x14ac:dyDescent="0.25">
      <c r="A1700" s="41" t="s">
        <v>202</v>
      </c>
      <c r="C1700" s="50"/>
      <c r="D1700" s="50"/>
      <c r="E1700" s="50"/>
      <c r="F1700" s="50"/>
      <c r="G1700" s="50"/>
      <c r="H1700" s="50"/>
      <c r="I1700" s="50"/>
      <c r="J1700" s="50"/>
      <c r="K1700" s="50"/>
      <c r="L1700" s="50"/>
      <c r="M1700" s="50"/>
      <c r="N1700" s="50"/>
      <c r="O1700" s="50"/>
      <c r="P1700" s="50"/>
      <c r="Q1700" s="50"/>
      <c r="R1700" s="50"/>
    </row>
    <row r="1701" spans="1:18" x14ac:dyDescent="0.25">
      <c r="A1701" s="59" t="s">
        <v>1076</v>
      </c>
      <c r="C1701" s="50"/>
      <c r="D1701" s="50"/>
      <c r="E1701" s="50"/>
      <c r="F1701" s="59">
        <v>294703</v>
      </c>
      <c r="G1701" s="50">
        <v>251</v>
      </c>
      <c r="H1701" s="50"/>
      <c r="I1701" s="50"/>
      <c r="J1701" s="50"/>
      <c r="K1701" s="50"/>
      <c r="L1701" s="50"/>
      <c r="M1701" s="50"/>
      <c r="N1701" s="50"/>
      <c r="O1701" s="50"/>
      <c r="P1701" s="50"/>
      <c r="Q1701" s="50"/>
      <c r="R1701" s="50"/>
    </row>
    <row r="1702" spans="1:18" x14ac:dyDescent="0.25">
      <c r="C1702" s="50"/>
      <c r="D1702" s="50"/>
      <c r="E1702" s="50"/>
      <c r="F1702" s="50"/>
      <c r="G1702" s="50"/>
      <c r="H1702" s="50"/>
      <c r="I1702" s="50"/>
      <c r="J1702" s="50"/>
      <c r="K1702" s="50"/>
      <c r="L1702" s="50"/>
      <c r="M1702" s="50"/>
      <c r="N1702" s="50"/>
      <c r="O1702" s="50"/>
      <c r="P1702" s="50"/>
      <c r="Q1702" s="50"/>
      <c r="R1702" s="50"/>
    </row>
    <row r="1703" spans="1:18" x14ac:dyDescent="0.25">
      <c r="A1703" s="41" t="s">
        <v>216</v>
      </c>
      <c r="C1703" s="50"/>
      <c r="D1703" s="50"/>
      <c r="E1703" s="50"/>
      <c r="F1703" s="51">
        <f>SUM(F1701:F1702)</f>
        <v>294703</v>
      </c>
      <c r="G1703" s="51">
        <f t="shared" ref="G1703" si="968">SUM(G1701:G1702)</f>
        <v>251</v>
      </c>
      <c r="H1703" s="50"/>
      <c r="I1703" s="50"/>
      <c r="J1703" s="50"/>
      <c r="K1703" s="50"/>
      <c r="L1703" s="50"/>
      <c r="M1703" s="50"/>
      <c r="N1703" s="50"/>
      <c r="O1703" s="50"/>
      <c r="P1703" s="50"/>
      <c r="Q1703" s="50"/>
      <c r="R1703" s="50"/>
    </row>
    <row r="1704" spans="1:18" x14ac:dyDescent="0.25">
      <c r="C1704" s="50"/>
      <c r="D1704" s="50"/>
      <c r="E1704" s="50"/>
      <c r="F1704" s="50"/>
      <c r="G1704" s="50"/>
      <c r="H1704" s="50"/>
      <c r="I1704" s="50"/>
      <c r="J1704" s="50"/>
      <c r="K1704" s="50"/>
      <c r="L1704" s="50"/>
      <c r="M1704" s="50"/>
      <c r="N1704" s="50"/>
      <c r="O1704" s="50"/>
      <c r="P1704" s="50"/>
      <c r="Q1704" s="50"/>
      <c r="R1704" s="50"/>
    </row>
    <row r="1705" spans="1:18" x14ac:dyDescent="0.25">
      <c r="A1705" s="41" t="s">
        <v>165</v>
      </c>
      <c r="B1705" s="44"/>
      <c r="C1705" s="50"/>
      <c r="D1705" s="50"/>
      <c r="E1705" s="50"/>
      <c r="F1705" s="50"/>
      <c r="G1705" s="50"/>
      <c r="H1705" s="50"/>
      <c r="I1705" s="50"/>
      <c r="J1705" s="50"/>
      <c r="K1705" s="50"/>
      <c r="L1705" s="50"/>
      <c r="M1705" s="50"/>
      <c r="N1705" s="50"/>
      <c r="O1705" s="50"/>
      <c r="P1705" s="50"/>
      <c r="Q1705" s="50"/>
      <c r="R1705" s="50"/>
    </row>
    <row r="1706" spans="1:18" x14ac:dyDescent="0.25">
      <c r="C1706" s="50"/>
      <c r="D1706" s="50"/>
      <c r="E1706" s="50"/>
      <c r="F1706" s="50"/>
      <c r="G1706" s="50"/>
      <c r="H1706" s="50"/>
      <c r="I1706" s="50"/>
      <c r="J1706" s="50"/>
      <c r="K1706" s="50"/>
      <c r="L1706" s="50"/>
      <c r="M1706" s="50"/>
      <c r="N1706" s="50"/>
      <c r="O1706" s="50"/>
      <c r="P1706" s="50"/>
      <c r="Q1706" s="50"/>
      <c r="R1706" s="50"/>
    </row>
    <row r="1707" spans="1:18" x14ac:dyDescent="0.25">
      <c r="A1707" s="43" t="s">
        <v>217</v>
      </c>
      <c r="C1707" s="54">
        <v>281671</v>
      </c>
      <c r="D1707" s="54">
        <v>288685</v>
      </c>
      <c r="E1707" s="43">
        <v>292766</v>
      </c>
      <c r="F1707" s="43">
        <v>280539</v>
      </c>
      <c r="G1707" s="43">
        <v>298942</v>
      </c>
      <c r="H1707" s="43">
        <v>324400</v>
      </c>
      <c r="I1707" s="50">
        <f>H1707*1.025</f>
        <v>332510</v>
      </c>
      <c r="J1707" s="50">
        <f>I1707*1.029</f>
        <v>342152.79</v>
      </c>
      <c r="K1707" s="54">
        <f>J1707*1.031</f>
        <v>352759.52648999996</v>
      </c>
      <c r="L1707" s="54">
        <f>K1707*1.033</f>
        <v>364400.59086416994</v>
      </c>
      <c r="M1707" s="54">
        <f>L1707*1.032</f>
        <v>376061.40977182338</v>
      </c>
      <c r="N1707" s="54">
        <f>M1707*1.03</f>
        <v>387343.25206497812</v>
      </c>
      <c r="O1707" s="54">
        <f>N1707*1.032</f>
        <v>399738.23613105743</v>
      </c>
      <c r="P1707" s="54">
        <f>O1707*1.034</f>
        <v>413329.33615951339</v>
      </c>
      <c r="Q1707" s="54">
        <f>P1707*1.034</f>
        <v>427382.53358893684</v>
      </c>
      <c r="R1707" s="54">
        <f>Q1707*1.034</f>
        <v>441913.53973096074</v>
      </c>
    </row>
    <row r="1708" spans="1:18" x14ac:dyDescent="0.25">
      <c r="A1708" s="43" t="s">
        <v>1077</v>
      </c>
      <c r="C1708" s="54">
        <v>0</v>
      </c>
      <c r="D1708" s="54">
        <v>0</v>
      </c>
      <c r="E1708" s="43">
        <v>17</v>
      </c>
      <c r="F1708" s="54">
        <v>0</v>
      </c>
      <c r="G1708" s="54">
        <v>90</v>
      </c>
      <c r="H1708" s="54">
        <v>100</v>
      </c>
      <c r="I1708" s="54">
        <f>H1708*1.023</f>
        <v>102.3</v>
      </c>
      <c r="J1708" s="54">
        <f>I1708*1.024</f>
        <v>104.7552</v>
      </c>
      <c r="K1708" s="54">
        <f>J1708*1.024</f>
        <v>107.26932480000001</v>
      </c>
      <c r="L1708" s="54">
        <f>K1708*1.023</f>
        <v>109.7365192704</v>
      </c>
      <c r="M1708" s="54">
        <f>L1708*1.022</f>
        <v>112.1507226943488</v>
      </c>
      <c r="N1708" s="54">
        <f>M1708*1.023</f>
        <v>114.73018931631881</v>
      </c>
      <c r="O1708" s="54">
        <f>N1708*1.025</f>
        <v>117.59844404922677</v>
      </c>
      <c r="P1708" s="54">
        <f>O1708*1.025</f>
        <v>120.53840515045744</v>
      </c>
      <c r="Q1708" s="54">
        <f>P1708*1.024</f>
        <v>123.43132687406842</v>
      </c>
      <c r="R1708" s="54">
        <f>Q1708*1.024</f>
        <v>126.39367871904606</v>
      </c>
    </row>
    <row r="1709" spans="1:18" x14ac:dyDescent="0.25">
      <c r="A1709" s="43" t="s">
        <v>220</v>
      </c>
      <c r="C1709" s="50">
        <v>31467</v>
      </c>
      <c r="D1709" s="54">
        <v>39376</v>
      </c>
      <c r="E1709" s="43">
        <v>40564</v>
      </c>
      <c r="F1709" s="54">
        <v>32799</v>
      </c>
      <c r="G1709" s="54">
        <v>40194</v>
      </c>
      <c r="H1709" s="54">
        <v>39300</v>
      </c>
      <c r="I1709" s="50">
        <f>H1709*1.025</f>
        <v>40282.5</v>
      </c>
      <c r="J1709" s="50">
        <f>I1709*1.029</f>
        <v>41450.692499999997</v>
      </c>
      <c r="K1709" s="54">
        <f>J1709*1.031</f>
        <v>42735.663967499997</v>
      </c>
      <c r="L1709" s="54">
        <f>K1709*1.033</f>
        <v>44145.940878427493</v>
      </c>
      <c r="M1709" s="54">
        <f>L1709*1.032</f>
        <v>45558.610986537176</v>
      </c>
      <c r="N1709" s="54">
        <f>M1709*1.03</f>
        <v>46925.369316133292</v>
      </c>
      <c r="O1709" s="54">
        <f>N1709*1.032</f>
        <v>48426.98113424956</v>
      </c>
      <c r="P1709" s="54">
        <f>O1709*1.034</f>
        <v>50073.498492814047</v>
      </c>
      <c r="Q1709" s="54">
        <f>P1709*1.034</f>
        <v>51775.997441569729</v>
      </c>
      <c r="R1709" s="54">
        <f>Q1709*1.034</f>
        <v>53536.3813545831</v>
      </c>
    </row>
    <row r="1710" spans="1:18" x14ac:dyDescent="0.25">
      <c r="A1710" s="52" t="s">
        <v>226</v>
      </c>
      <c r="B1710" s="53"/>
      <c r="C1710" s="54">
        <v>1336</v>
      </c>
      <c r="D1710" s="54">
        <v>837</v>
      </c>
      <c r="E1710" s="43">
        <v>1155</v>
      </c>
      <c r="F1710" s="54">
        <v>1260</v>
      </c>
      <c r="G1710" s="54">
        <v>1214</v>
      </c>
      <c r="H1710" s="54">
        <v>2000</v>
      </c>
      <c r="I1710" s="54">
        <f t="shared" ref="I1710:I1713" si="969">H1710*1.023</f>
        <v>2045.9999999999998</v>
      </c>
      <c r="J1710" s="54">
        <f t="shared" ref="J1710:K1713" si="970">I1710*1.024</f>
        <v>2095.1039999999998</v>
      </c>
      <c r="K1710" s="54">
        <f t="shared" si="970"/>
        <v>2145.3864960000001</v>
      </c>
      <c r="L1710" s="54">
        <f t="shared" ref="L1710:L1713" si="971">K1710*1.023</f>
        <v>2194.7303854080001</v>
      </c>
      <c r="M1710" s="54">
        <f t="shared" ref="M1710:M1713" si="972">L1710*1.022</f>
        <v>2243.0144538869763</v>
      </c>
      <c r="N1710" s="54">
        <f t="shared" ref="N1710:N1713" si="973">M1710*1.023</f>
        <v>2294.6037863263764</v>
      </c>
      <c r="O1710" s="54">
        <f t="shared" ref="O1710:P1713" si="974">N1710*1.025</f>
        <v>2351.9688809845356</v>
      </c>
      <c r="P1710" s="54">
        <f t="shared" si="974"/>
        <v>2410.7681030091489</v>
      </c>
      <c r="Q1710" s="54">
        <f t="shared" ref="Q1710:R1713" si="975">P1710*1.024</f>
        <v>2468.6265374813684</v>
      </c>
      <c r="R1710" s="54">
        <f t="shared" si="975"/>
        <v>2527.8735743809211</v>
      </c>
    </row>
    <row r="1711" spans="1:18" x14ac:dyDescent="0.25">
      <c r="A1711" s="52" t="s">
        <v>1078</v>
      </c>
      <c r="B1711" s="53"/>
      <c r="C1711" s="54">
        <v>13965</v>
      </c>
      <c r="D1711" s="54">
        <v>14037</v>
      </c>
      <c r="E1711" s="43">
        <v>13799</v>
      </c>
      <c r="F1711" s="54">
        <v>14548</v>
      </c>
      <c r="G1711" s="54">
        <v>13841</v>
      </c>
      <c r="H1711" s="54">
        <v>16000</v>
      </c>
      <c r="I1711" s="54">
        <f t="shared" si="969"/>
        <v>16367.999999999998</v>
      </c>
      <c r="J1711" s="54">
        <f t="shared" si="970"/>
        <v>16760.831999999999</v>
      </c>
      <c r="K1711" s="54">
        <f t="shared" si="970"/>
        <v>17163.091968000001</v>
      </c>
      <c r="L1711" s="54">
        <f t="shared" si="971"/>
        <v>17557.843083264001</v>
      </c>
      <c r="M1711" s="54">
        <f t="shared" si="972"/>
        <v>17944.11563109581</v>
      </c>
      <c r="N1711" s="54">
        <f t="shared" si="973"/>
        <v>18356.830290611011</v>
      </c>
      <c r="O1711" s="54">
        <f t="shared" si="974"/>
        <v>18815.751047876285</v>
      </c>
      <c r="P1711" s="54">
        <f t="shared" si="974"/>
        <v>19286.144824073192</v>
      </c>
      <c r="Q1711" s="54">
        <f t="shared" si="975"/>
        <v>19749.012299850947</v>
      </c>
      <c r="R1711" s="54">
        <f t="shared" si="975"/>
        <v>20222.988595047369</v>
      </c>
    </row>
    <row r="1712" spans="1:18" x14ac:dyDescent="0.25">
      <c r="A1712" s="52" t="s">
        <v>1079</v>
      </c>
      <c r="B1712" s="53"/>
      <c r="C1712" s="54">
        <v>111026</v>
      </c>
      <c r="D1712" s="54">
        <v>116831</v>
      </c>
      <c r="E1712" s="50">
        <v>130797</v>
      </c>
      <c r="F1712" s="52">
        <v>138208</v>
      </c>
      <c r="G1712" s="52">
        <v>149746</v>
      </c>
      <c r="H1712" s="52">
        <v>230000</v>
      </c>
      <c r="I1712" s="54">
        <f t="shared" si="969"/>
        <v>235289.99999999997</v>
      </c>
      <c r="J1712" s="54">
        <f t="shared" si="970"/>
        <v>240936.95999999996</v>
      </c>
      <c r="K1712" s="54">
        <f t="shared" si="970"/>
        <v>246719.44703999997</v>
      </c>
      <c r="L1712" s="54">
        <f t="shared" si="971"/>
        <v>252393.99432191995</v>
      </c>
      <c r="M1712" s="54">
        <f t="shared" si="972"/>
        <v>257946.66219700218</v>
      </c>
      <c r="N1712" s="54">
        <f t="shared" si="973"/>
        <v>263879.43542753323</v>
      </c>
      <c r="O1712" s="54">
        <f t="shared" si="974"/>
        <v>270476.42131322151</v>
      </c>
      <c r="P1712" s="54">
        <f t="shared" si="974"/>
        <v>277238.33184605202</v>
      </c>
      <c r="Q1712" s="54">
        <f t="shared" si="975"/>
        <v>283892.05181035725</v>
      </c>
      <c r="R1712" s="54">
        <f t="shared" si="975"/>
        <v>290705.46105380583</v>
      </c>
    </row>
    <row r="1713" spans="1:18" x14ac:dyDescent="0.25">
      <c r="A1713" s="52" t="s">
        <v>1080</v>
      </c>
      <c r="B1713" s="53"/>
      <c r="C1713" s="54"/>
      <c r="D1713" s="54"/>
      <c r="E1713" s="50"/>
      <c r="F1713" s="52"/>
      <c r="G1713" s="52"/>
      <c r="H1713" s="50">
        <v>10000</v>
      </c>
      <c r="I1713" s="54">
        <f t="shared" si="969"/>
        <v>10230</v>
      </c>
      <c r="J1713" s="54">
        <f t="shared" si="970"/>
        <v>10475.52</v>
      </c>
      <c r="K1713" s="54">
        <f t="shared" si="970"/>
        <v>10726.932480000001</v>
      </c>
      <c r="L1713" s="54">
        <f t="shared" si="971"/>
        <v>10973.65192704</v>
      </c>
      <c r="M1713" s="54">
        <f t="shared" si="972"/>
        <v>11215.072269434881</v>
      </c>
      <c r="N1713" s="54">
        <f t="shared" si="973"/>
        <v>11473.018931631881</v>
      </c>
      <c r="O1713" s="54">
        <f t="shared" si="974"/>
        <v>11759.844404922676</v>
      </c>
      <c r="P1713" s="54">
        <f t="shared" si="974"/>
        <v>12053.840515045742</v>
      </c>
      <c r="Q1713" s="54">
        <f t="shared" si="975"/>
        <v>12343.13268740684</v>
      </c>
      <c r="R1713" s="54">
        <f t="shared" si="975"/>
        <v>12639.367871904604</v>
      </c>
    </row>
    <row r="1714" spans="1:18" x14ac:dyDescent="0.25">
      <c r="A1714" s="52" t="s">
        <v>1081</v>
      </c>
      <c r="B1714" s="53"/>
      <c r="C1714" s="54"/>
      <c r="D1714" s="54"/>
      <c r="E1714" s="50"/>
      <c r="F1714" s="52"/>
      <c r="G1714" s="52"/>
      <c r="H1714" s="50">
        <v>45000</v>
      </c>
      <c r="I1714" s="50">
        <f>H1714*1.025</f>
        <v>46124.999999999993</v>
      </c>
      <c r="J1714" s="50">
        <f>I1714*1.029</f>
        <v>47462.624999999985</v>
      </c>
      <c r="K1714" s="54">
        <f>J1714*1.031</f>
        <v>48933.966374999982</v>
      </c>
      <c r="L1714" s="54">
        <f>K1714*1.033</f>
        <v>50548.78726537498</v>
      </c>
      <c r="M1714" s="54">
        <f>L1714*1.032</f>
        <v>52166.348457866981</v>
      </c>
      <c r="N1714" s="54">
        <f>M1714*1.03</f>
        <v>53731.338911602994</v>
      </c>
      <c r="O1714" s="54">
        <f>N1714*1.032</f>
        <v>55450.741756774289</v>
      </c>
      <c r="P1714" s="54">
        <f>O1714*1.034</f>
        <v>57336.066976504619</v>
      </c>
      <c r="Q1714" s="54">
        <f>P1714*1.034</f>
        <v>59285.493253705776</v>
      </c>
      <c r="R1714" s="54">
        <f>Q1714*1.034</f>
        <v>61301.200024331774</v>
      </c>
    </row>
    <row r="1715" spans="1:18" s="43" customFormat="1" x14ac:dyDescent="0.25">
      <c r="A1715" s="52" t="s">
        <v>1076</v>
      </c>
      <c r="B1715" s="53"/>
      <c r="C1715" s="50"/>
      <c r="D1715" s="50"/>
      <c r="E1715" s="50"/>
      <c r="F1715" s="122">
        <v>294703</v>
      </c>
      <c r="G1715" s="52"/>
      <c r="H1715" s="50"/>
      <c r="I1715" s="50"/>
      <c r="J1715" s="50"/>
      <c r="K1715" s="50"/>
      <c r="L1715" s="50"/>
      <c r="M1715" s="50"/>
      <c r="N1715" s="50"/>
      <c r="O1715" s="50"/>
      <c r="P1715" s="50"/>
      <c r="Q1715" s="50"/>
      <c r="R1715" s="50"/>
    </row>
    <row r="1716" spans="1:18" x14ac:dyDescent="0.25">
      <c r="C1716" s="50"/>
      <c r="D1716" s="50"/>
      <c r="E1716" s="50"/>
      <c r="F1716" s="50"/>
      <c r="G1716" s="50"/>
      <c r="H1716" s="50"/>
      <c r="I1716" s="50"/>
      <c r="J1716" s="50"/>
      <c r="K1716" s="50"/>
      <c r="L1716" s="50"/>
      <c r="M1716" s="50"/>
      <c r="N1716" s="50"/>
      <c r="O1716" s="50"/>
      <c r="P1716" s="50"/>
      <c r="Q1716" s="50"/>
      <c r="R1716" s="50"/>
    </row>
    <row r="1717" spans="1:18" x14ac:dyDescent="0.25">
      <c r="A1717" s="41" t="s">
        <v>230</v>
      </c>
      <c r="B1717" s="44"/>
      <c r="C1717" s="51">
        <f t="shared" ref="C1717" si="976">SUM(C1707:C1716)</f>
        <v>439465</v>
      </c>
      <c r="D1717" s="51">
        <f t="shared" ref="D1717:E1717" si="977">SUM(D1707:D1716)</f>
        <v>459766</v>
      </c>
      <c r="E1717" s="51">
        <f t="shared" si="977"/>
        <v>479098</v>
      </c>
      <c r="F1717" s="51">
        <f>SUM(F1707:F1716)</f>
        <v>762057</v>
      </c>
      <c r="G1717" s="51">
        <f>SUM(G1707:G1716)</f>
        <v>504027</v>
      </c>
      <c r="H1717" s="51">
        <f t="shared" ref="H1717:R1717" si="978">SUM(H1707:H1716)</f>
        <v>666800</v>
      </c>
      <c r="I1717" s="51">
        <f t="shared" si="978"/>
        <v>682953.79999999993</v>
      </c>
      <c r="J1717" s="51">
        <f t="shared" si="978"/>
        <v>701439.27869999991</v>
      </c>
      <c r="K1717" s="51">
        <f t="shared" si="978"/>
        <v>721291.28414129978</v>
      </c>
      <c r="L1717" s="51">
        <f t="shared" si="978"/>
        <v>742325.27524487476</v>
      </c>
      <c r="M1717" s="51">
        <f t="shared" si="978"/>
        <v>763247.38449034176</v>
      </c>
      <c r="N1717" s="51">
        <f t="shared" si="978"/>
        <v>784118.57891813328</v>
      </c>
      <c r="O1717" s="51">
        <f t="shared" si="978"/>
        <v>807137.54311313538</v>
      </c>
      <c r="P1717" s="51">
        <f t="shared" si="978"/>
        <v>831848.52532216266</v>
      </c>
      <c r="Q1717" s="51">
        <f t="shared" si="978"/>
        <v>857020.27894618292</v>
      </c>
      <c r="R1717" s="51">
        <f t="shared" si="978"/>
        <v>882973.20588373346</v>
      </c>
    </row>
    <row r="1718" spans="1:18" x14ac:dyDescent="0.25">
      <c r="C1718" s="50"/>
      <c r="D1718" s="50"/>
      <c r="E1718" s="50"/>
      <c r="F1718" s="50"/>
      <c r="G1718" s="50"/>
      <c r="H1718" s="50"/>
      <c r="I1718" s="50"/>
      <c r="J1718" s="50"/>
      <c r="K1718" s="50"/>
      <c r="L1718" s="50"/>
      <c r="M1718" s="50"/>
      <c r="N1718" s="50"/>
      <c r="O1718" s="50"/>
      <c r="P1718" s="50"/>
      <c r="Q1718" s="50"/>
      <c r="R1718" s="50"/>
    </row>
    <row r="1719" spans="1:18" x14ac:dyDescent="0.25">
      <c r="A1719" s="41" t="s">
        <v>171</v>
      </c>
      <c r="B1719" s="44"/>
      <c r="C1719" s="50"/>
      <c r="D1719" s="50"/>
      <c r="E1719" s="50"/>
      <c r="F1719" s="50"/>
      <c r="G1719" s="50"/>
      <c r="H1719" s="50"/>
      <c r="I1719" s="50"/>
      <c r="J1719" s="50"/>
      <c r="K1719" s="50"/>
      <c r="L1719" s="50"/>
      <c r="M1719" s="50"/>
      <c r="N1719" s="50"/>
      <c r="O1719" s="50"/>
      <c r="P1719" s="50"/>
      <c r="Q1719" s="50"/>
      <c r="R1719" s="50"/>
    </row>
    <row r="1720" spans="1:18" x14ac:dyDescent="0.25">
      <c r="C1720" s="50"/>
      <c r="D1720" s="50"/>
      <c r="E1720" s="50"/>
      <c r="F1720" s="50"/>
      <c r="G1720" s="50"/>
      <c r="H1720" s="50"/>
      <c r="I1720" s="50"/>
      <c r="J1720" s="50"/>
      <c r="K1720" s="50"/>
      <c r="L1720" s="50"/>
      <c r="M1720" s="50"/>
      <c r="N1720" s="50"/>
      <c r="O1720" s="50"/>
      <c r="P1720" s="50"/>
      <c r="Q1720" s="50"/>
      <c r="R1720" s="50"/>
    </row>
    <row r="1721" spans="1:18" x14ac:dyDescent="0.25">
      <c r="A1721" s="43" t="s">
        <v>1082</v>
      </c>
      <c r="C1721" s="50"/>
      <c r="D1721" s="50"/>
      <c r="E1721" s="50"/>
      <c r="F1721" s="50"/>
      <c r="G1721" s="50"/>
      <c r="H1721" s="50"/>
      <c r="I1721" s="50"/>
      <c r="J1721" s="50"/>
      <c r="K1721" s="50"/>
      <c r="L1721" s="50"/>
      <c r="M1721" s="50"/>
      <c r="N1721" s="50"/>
      <c r="O1721" s="50"/>
      <c r="P1721" s="50"/>
      <c r="Q1721" s="50"/>
      <c r="R1721" s="50"/>
    </row>
    <row r="1722" spans="1:18" x14ac:dyDescent="0.25">
      <c r="A1722" s="43" t="s">
        <v>1083</v>
      </c>
      <c r="C1722" s="54">
        <v>30104</v>
      </c>
      <c r="D1722" s="50">
        <v>30357</v>
      </c>
      <c r="E1722" s="50">
        <v>6902</v>
      </c>
      <c r="F1722" s="50">
        <v>7390</v>
      </c>
      <c r="G1722" s="50">
        <v>40562</v>
      </c>
      <c r="H1722" s="50">
        <v>70000</v>
      </c>
      <c r="I1722" s="50">
        <v>47000</v>
      </c>
      <c r="J1722" s="50">
        <v>25000</v>
      </c>
      <c r="K1722" s="50">
        <v>70000</v>
      </c>
      <c r="L1722" s="50">
        <v>64000</v>
      </c>
      <c r="M1722" s="50">
        <v>25000</v>
      </c>
      <c r="N1722" s="50">
        <v>45000</v>
      </c>
      <c r="O1722" s="50">
        <v>25000</v>
      </c>
      <c r="P1722" s="50">
        <v>25000</v>
      </c>
      <c r="Q1722" s="50">
        <v>25000</v>
      </c>
      <c r="R1722" s="50">
        <v>25000</v>
      </c>
    </row>
    <row r="1723" spans="1:18" x14ac:dyDescent="0.25">
      <c r="A1723" s="43" t="s">
        <v>1084</v>
      </c>
      <c r="C1723" s="54">
        <v>29233</v>
      </c>
      <c r="D1723" s="50">
        <v>13340</v>
      </c>
      <c r="E1723" s="43">
        <v>16749</v>
      </c>
      <c r="F1723" s="50">
        <v>6600</v>
      </c>
      <c r="G1723" s="50">
        <v>47663.5</v>
      </c>
      <c r="H1723" s="50">
        <v>30000</v>
      </c>
      <c r="I1723" s="50"/>
      <c r="J1723" s="50">
        <v>30000</v>
      </c>
      <c r="K1723" s="50">
        <v>30000</v>
      </c>
      <c r="L1723" s="50">
        <v>30000</v>
      </c>
      <c r="M1723" s="50">
        <v>30000</v>
      </c>
      <c r="N1723" s="50">
        <v>45000</v>
      </c>
      <c r="O1723" s="50">
        <v>30000</v>
      </c>
      <c r="P1723" s="50">
        <v>30000</v>
      </c>
      <c r="Q1723" s="50">
        <v>30000</v>
      </c>
      <c r="R1723" s="50">
        <v>30000</v>
      </c>
    </row>
    <row r="1724" spans="1:18" x14ac:dyDescent="0.25">
      <c r="A1724" s="43" t="s">
        <v>1085</v>
      </c>
      <c r="C1724" s="54"/>
      <c r="D1724" s="50"/>
      <c r="F1724" s="50"/>
      <c r="G1724" s="50"/>
      <c r="H1724" s="50"/>
      <c r="I1724" s="50">
        <v>45000</v>
      </c>
      <c r="J1724" s="50"/>
      <c r="K1724" s="50"/>
      <c r="L1724" s="50"/>
      <c r="M1724" s="50"/>
      <c r="N1724" s="50"/>
      <c r="O1724" s="50"/>
      <c r="P1724" s="50"/>
      <c r="Q1724" s="50"/>
      <c r="R1724" s="50"/>
    </row>
    <row r="1725" spans="1:18" x14ac:dyDescent="0.25">
      <c r="A1725" s="52" t="s">
        <v>1086</v>
      </c>
      <c r="C1725" s="54"/>
      <c r="D1725" s="50"/>
      <c r="F1725" s="50"/>
      <c r="G1725" s="50"/>
      <c r="H1725" s="50"/>
      <c r="I1725" s="50"/>
      <c r="J1725" s="50"/>
      <c r="K1725" s="50"/>
      <c r="L1725" s="50"/>
      <c r="M1725" s="50"/>
      <c r="N1725" s="50"/>
      <c r="O1725" s="50"/>
      <c r="P1725" s="50"/>
      <c r="Q1725" s="50"/>
      <c r="R1725" s="50"/>
    </row>
    <row r="1726" spans="1:18" x14ac:dyDescent="0.25">
      <c r="A1726" s="43" t="s">
        <v>1087</v>
      </c>
      <c r="B1726" s="53"/>
      <c r="C1726" s="68"/>
      <c r="D1726" s="50"/>
      <c r="E1726" s="43">
        <v>0</v>
      </c>
      <c r="F1726" s="50"/>
      <c r="G1726" s="50"/>
      <c r="H1726" s="50"/>
      <c r="I1726" s="50"/>
      <c r="J1726" s="50"/>
      <c r="K1726" s="50"/>
      <c r="L1726" s="50"/>
      <c r="M1726" s="50"/>
      <c r="N1726" s="50"/>
      <c r="O1726" s="50"/>
      <c r="P1726" s="50"/>
      <c r="Q1726" s="50"/>
      <c r="R1726" s="50"/>
    </row>
    <row r="1727" spans="1:18" x14ac:dyDescent="0.25">
      <c r="A1727" s="43" t="s">
        <v>1088</v>
      </c>
      <c r="B1727" s="53"/>
      <c r="C1727" s="54">
        <v>24830</v>
      </c>
      <c r="D1727" s="50">
        <v>0</v>
      </c>
      <c r="E1727" s="43">
        <v>0</v>
      </c>
      <c r="F1727" s="50">
        <v>0</v>
      </c>
      <c r="G1727" s="50">
        <v>0</v>
      </c>
      <c r="H1727" s="50">
        <v>65000</v>
      </c>
      <c r="I1727" s="50">
        <v>0</v>
      </c>
      <c r="J1727" s="50">
        <v>0</v>
      </c>
      <c r="K1727" s="50">
        <v>0</v>
      </c>
      <c r="L1727" s="50">
        <v>0</v>
      </c>
      <c r="M1727" s="50">
        <v>0</v>
      </c>
      <c r="N1727" s="50">
        <v>0</v>
      </c>
      <c r="O1727" s="50">
        <v>0</v>
      </c>
      <c r="P1727" s="50">
        <v>0</v>
      </c>
      <c r="Q1727" s="50">
        <v>0</v>
      </c>
      <c r="R1727" s="50">
        <v>0</v>
      </c>
    </row>
    <row r="1728" spans="1:18" x14ac:dyDescent="0.25">
      <c r="A1728" s="43" t="s">
        <v>1089</v>
      </c>
      <c r="B1728" s="53"/>
      <c r="C1728" s="68"/>
      <c r="D1728" s="50">
        <v>0</v>
      </c>
      <c r="E1728" s="43">
        <v>0</v>
      </c>
      <c r="F1728" s="50">
        <v>0</v>
      </c>
      <c r="G1728" s="50">
        <v>0</v>
      </c>
      <c r="H1728" s="50">
        <v>0</v>
      </c>
      <c r="I1728" s="50">
        <v>0</v>
      </c>
      <c r="J1728" s="50">
        <v>0</v>
      </c>
      <c r="K1728" s="50">
        <v>0</v>
      </c>
      <c r="L1728" s="50">
        <v>0</v>
      </c>
      <c r="M1728" s="50">
        <v>0</v>
      </c>
      <c r="N1728" s="50">
        <v>0</v>
      </c>
      <c r="O1728" s="50">
        <v>0</v>
      </c>
      <c r="P1728" s="50">
        <v>0</v>
      </c>
      <c r="Q1728" s="50">
        <v>0</v>
      </c>
      <c r="R1728" s="50">
        <v>0</v>
      </c>
    </row>
    <row r="1729" spans="1:18" x14ac:dyDescent="0.25">
      <c r="A1729" s="52" t="s">
        <v>1090</v>
      </c>
      <c r="B1729" s="53"/>
      <c r="C1729" s="59"/>
      <c r="D1729" s="50">
        <v>4975</v>
      </c>
      <c r="E1729" s="43">
        <v>0</v>
      </c>
      <c r="F1729" s="50"/>
      <c r="G1729" s="50"/>
      <c r="H1729" s="50">
        <v>56000</v>
      </c>
      <c r="I1729" s="50">
        <v>0</v>
      </c>
      <c r="J1729" s="50"/>
      <c r="K1729" s="50"/>
      <c r="L1729" s="50"/>
      <c r="M1729" s="50"/>
      <c r="N1729" s="50"/>
      <c r="O1729" s="50"/>
      <c r="P1729" s="50"/>
      <c r="Q1729" s="50"/>
      <c r="R1729" s="50"/>
    </row>
    <row r="1730" spans="1:18" x14ac:dyDescent="0.25">
      <c r="A1730" s="52" t="s">
        <v>1091</v>
      </c>
      <c r="B1730" s="53"/>
      <c r="C1730" s="59"/>
      <c r="D1730" s="50"/>
      <c r="F1730" s="50"/>
      <c r="G1730" s="50"/>
      <c r="H1730" s="50">
        <v>300000</v>
      </c>
      <c r="I1730" s="50">
        <v>0</v>
      </c>
      <c r="J1730" s="50"/>
      <c r="K1730" s="50"/>
      <c r="L1730" s="50"/>
      <c r="M1730" s="50"/>
      <c r="N1730" s="50"/>
      <c r="O1730" s="50"/>
      <c r="P1730" s="50"/>
      <c r="Q1730" s="50"/>
      <c r="R1730" s="50"/>
    </row>
    <row r="1731" spans="1:18" x14ac:dyDescent="0.25">
      <c r="A1731" s="43" t="s">
        <v>1092</v>
      </c>
      <c r="B1731" s="53"/>
      <c r="C1731" s="50"/>
      <c r="D1731" s="50"/>
      <c r="E1731" s="43">
        <v>16281</v>
      </c>
      <c r="F1731" s="50"/>
      <c r="G1731" s="50"/>
      <c r="H1731" s="50"/>
      <c r="I1731" s="50"/>
      <c r="J1731" s="50"/>
      <c r="K1731" s="50"/>
      <c r="L1731" s="50"/>
      <c r="M1731" s="50"/>
      <c r="N1731" s="50"/>
      <c r="O1731" s="50"/>
      <c r="P1731" s="50"/>
      <c r="Q1731" s="50"/>
      <c r="R1731" s="50"/>
    </row>
    <row r="1732" spans="1:18" x14ac:dyDescent="0.25">
      <c r="A1732" s="43" t="s">
        <v>1093</v>
      </c>
      <c r="B1732" s="53"/>
      <c r="C1732" s="50"/>
      <c r="D1732" s="50">
        <v>0</v>
      </c>
      <c r="E1732" s="43">
        <v>0</v>
      </c>
      <c r="F1732" s="50"/>
      <c r="G1732" s="50"/>
      <c r="H1732" s="50"/>
      <c r="I1732" s="50"/>
      <c r="J1732" s="50"/>
      <c r="K1732" s="50"/>
      <c r="L1732" s="50"/>
      <c r="M1732" s="50"/>
      <c r="N1732" s="50"/>
      <c r="O1732" s="50"/>
      <c r="P1732" s="50"/>
      <c r="Q1732" s="50"/>
      <c r="R1732" s="50"/>
    </row>
    <row r="1733" spans="1:18" x14ac:dyDescent="0.25">
      <c r="A1733" s="43" t="s">
        <v>1094</v>
      </c>
      <c r="B1733" s="53"/>
      <c r="C1733" s="50">
        <v>0</v>
      </c>
      <c r="D1733" s="50">
        <v>18800</v>
      </c>
      <c r="E1733" s="43">
        <v>0</v>
      </c>
      <c r="F1733" s="50"/>
      <c r="G1733" s="50"/>
      <c r="H1733" s="50"/>
      <c r="I1733" s="50"/>
      <c r="J1733" s="50"/>
      <c r="K1733" s="50"/>
      <c r="L1733" s="50"/>
      <c r="M1733" s="50"/>
      <c r="N1733" s="50"/>
      <c r="O1733" s="50"/>
      <c r="P1733" s="50"/>
      <c r="Q1733" s="50"/>
      <c r="R1733" s="50"/>
    </row>
    <row r="1734" spans="1:18" x14ac:dyDescent="0.25">
      <c r="A1734" s="43" t="s">
        <v>1095</v>
      </c>
      <c r="B1734" s="53"/>
      <c r="C1734" s="50"/>
      <c r="D1734" s="50"/>
      <c r="E1734" s="43">
        <v>0</v>
      </c>
      <c r="F1734" s="50"/>
      <c r="G1734" s="50"/>
      <c r="H1734" s="50"/>
      <c r="I1734" s="50"/>
      <c r="J1734" s="50"/>
      <c r="K1734" s="50"/>
      <c r="L1734" s="50"/>
      <c r="M1734" s="50"/>
      <c r="N1734" s="50"/>
      <c r="O1734" s="50"/>
      <c r="P1734" s="50"/>
      <c r="Q1734" s="50"/>
      <c r="R1734" s="50"/>
    </row>
    <row r="1735" spans="1:18" x14ac:dyDescent="0.25">
      <c r="A1735" s="43" t="s">
        <v>1096</v>
      </c>
      <c r="B1735" s="53"/>
      <c r="C1735" s="50">
        <v>50404</v>
      </c>
      <c r="D1735" s="50">
        <v>0</v>
      </c>
      <c r="E1735" s="43">
        <v>1500</v>
      </c>
      <c r="F1735" s="50"/>
      <c r="G1735" s="50"/>
      <c r="H1735" s="50"/>
      <c r="I1735" s="50"/>
      <c r="J1735" s="50"/>
      <c r="K1735" s="50"/>
      <c r="L1735" s="50"/>
      <c r="M1735" s="50"/>
      <c r="N1735" s="50"/>
      <c r="O1735" s="50"/>
      <c r="P1735" s="50"/>
      <c r="Q1735" s="50"/>
      <c r="R1735" s="50"/>
    </row>
    <row r="1736" spans="1:18" x14ac:dyDescent="0.25">
      <c r="A1736" s="109" t="s">
        <v>1097</v>
      </c>
      <c r="B1736" s="53"/>
      <c r="C1736" s="50"/>
      <c r="D1736" s="50"/>
      <c r="F1736" s="50"/>
      <c r="G1736" s="50">
        <v>0</v>
      </c>
      <c r="H1736" s="50">
        <v>60000</v>
      </c>
      <c r="I1736" s="50"/>
      <c r="J1736" s="50"/>
      <c r="K1736" s="50"/>
      <c r="L1736" s="50"/>
      <c r="M1736" s="50"/>
      <c r="N1736" s="50"/>
      <c r="O1736" s="50"/>
      <c r="P1736" s="50"/>
      <c r="Q1736" s="50"/>
      <c r="R1736" s="50"/>
    </row>
    <row r="1737" spans="1:18" x14ac:dyDescent="0.25">
      <c r="C1737" s="50"/>
      <c r="D1737" s="50"/>
      <c r="E1737" s="50"/>
      <c r="F1737" s="50"/>
      <c r="G1737" s="50"/>
      <c r="H1737" s="50"/>
      <c r="I1737" s="50"/>
      <c r="J1737" s="50"/>
      <c r="K1737" s="50"/>
      <c r="L1737" s="50"/>
      <c r="M1737" s="50"/>
      <c r="N1737" s="50"/>
      <c r="O1737" s="50"/>
      <c r="P1737" s="50"/>
      <c r="Q1737" s="50"/>
      <c r="R1737" s="50"/>
    </row>
    <row r="1738" spans="1:18" x14ac:dyDescent="0.25">
      <c r="A1738" s="41" t="s">
        <v>107</v>
      </c>
      <c r="B1738" s="44"/>
      <c r="C1738" s="51">
        <f t="shared" ref="C1738:R1738" si="979">SUM(C1721:C1737)</f>
        <v>134571</v>
      </c>
      <c r="D1738" s="51">
        <f t="shared" si="979"/>
        <v>67472</v>
      </c>
      <c r="E1738" s="51">
        <f t="shared" si="979"/>
        <v>41432</v>
      </c>
      <c r="F1738" s="51">
        <f t="shared" si="979"/>
        <v>13990</v>
      </c>
      <c r="G1738" s="51">
        <f>SUM(G1721:G1737)</f>
        <v>88225.5</v>
      </c>
      <c r="H1738" s="51">
        <f t="shared" si="979"/>
        <v>581000</v>
      </c>
      <c r="I1738" s="51">
        <f t="shared" si="979"/>
        <v>92000</v>
      </c>
      <c r="J1738" s="51">
        <f t="shared" si="979"/>
        <v>55000</v>
      </c>
      <c r="K1738" s="51">
        <f t="shared" si="979"/>
        <v>100000</v>
      </c>
      <c r="L1738" s="51">
        <f t="shared" si="979"/>
        <v>94000</v>
      </c>
      <c r="M1738" s="51">
        <f t="shared" si="979"/>
        <v>55000</v>
      </c>
      <c r="N1738" s="51">
        <f t="shared" si="979"/>
        <v>90000</v>
      </c>
      <c r="O1738" s="51">
        <f t="shared" si="979"/>
        <v>55000</v>
      </c>
      <c r="P1738" s="51">
        <f t="shared" si="979"/>
        <v>55000</v>
      </c>
      <c r="Q1738" s="51">
        <f t="shared" si="979"/>
        <v>55000</v>
      </c>
      <c r="R1738" s="51">
        <f t="shared" si="979"/>
        <v>55000</v>
      </c>
    </row>
    <row r="1739" spans="1:18" x14ac:dyDescent="0.25">
      <c r="C1739" s="50"/>
      <c r="D1739" s="50"/>
      <c r="E1739" s="50"/>
      <c r="F1739" s="50"/>
      <c r="G1739" s="50"/>
      <c r="H1739" s="50"/>
      <c r="I1739" s="50"/>
      <c r="J1739" s="50"/>
      <c r="K1739" s="50"/>
      <c r="L1739" s="50"/>
      <c r="M1739" s="50"/>
      <c r="N1739" s="50"/>
      <c r="O1739" s="50"/>
      <c r="P1739" s="50"/>
      <c r="Q1739" s="50"/>
      <c r="R1739" s="50"/>
    </row>
    <row r="1740" spans="1:18" x14ac:dyDescent="0.25">
      <c r="A1740" s="41" t="s">
        <v>1098</v>
      </c>
      <c r="B1740" s="44"/>
      <c r="C1740" s="51">
        <f>C1738+C1717</f>
        <v>574036</v>
      </c>
      <c r="D1740" s="51">
        <f>D1738+D1717</f>
        <v>527238</v>
      </c>
      <c r="E1740" s="51">
        <f>E1738+E1717</f>
        <v>520530</v>
      </c>
      <c r="F1740" s="51">
        <f>F1738+F1717-F1703</f>
        <v>481344</v>
      </c>
      <c r="G1740" s="51">
        <f>G1738+G1717-G1703</f>
        <v>592001.5</v>
      </c>
      <c r="H1740" s="51">
        <f t="shared" ref="H1740:R1740" si="980">H1738+H1717</f>
        <v>1247800</v>
      </c>
      <c r="I1740" s="51">
        <f t="shared" si="980"/>
        <v>774953.79999999993</v>
      </c>
      <c r="J1740" s="51">
        <f t="shared" si="980"/>
        <v>756439.27869999991</v>
      </c>
      <c r="K1740" s="51">
        <f t="shared" si="980"/>
        <v>821291.28414129978</v>
      </c>
      <c r="L1740" s="51">
        <f t="shared" si="980"/>
        <v>836325.27524487476</v>
      </c>
      <c r="M1740" s="51">
        <f t="shared" si="980"/>
        <v>818247.38449034176</v>
      </c>
      <c r="N1740" s="51">
        <f t="shared" si="980"/>
        <v>874118.57891813328</v>
      </c>
      <c r="O1740" s="51">
        <f t="shared" si="980"/>
        <v>862137.54311313538</v>
      </c>
      <c r="P1740" s="51">
        <f t="shared" si="980"/>
        <v>886848.52532216266</v>
      </c>
      <c r="Q1740" s="51">
        <f t="shared" si="980"/>
        <v>912020.27894618292</v>
      </c>
      <c r="R1740" s="51">
        <f t="shared" si="980"/>
        <v>937973.20588373346</v>
      </c>
    </row>
    <row r="1741" spans="1:18" x14ac:dyDescent="0.25">
      <c r="C1741" s="50"/>
      <c r="D1741" s="50"/>
      <c r="E1741" s="50"/>
      <c r="F1741" s="50"/>
      <c r="G1741" s="50"/>
      <c r="H1741" s="50"/>
      <c r="I1741" s="50"/>
      <c r="J1741" s="50"/>
      <c r="K1741" s="50"/>
      <c r="L1741" s="50"/>
      <c r="M1741" s="50"/>
      <c r="N1741" s="50"/>
      <c r="O1741" s="50"/>
      <c r="P1741" s="50"/>
      <c r="Q1741" s="50"/>
      <c r="R1741" s="50"/>
    </row>
    <row r="1742" spans="1:18" x14ac:dyDescent="0.25">
      <c r="C1742" s="50"/>
      <c r="D1742" s="50"/>
      <c r="E1742" s="50"/>
      <c r="F1742" s="50"/>
      <c r="G1742" s="50"/>
      <c r="H1742" s="50"/>
      <c r="I1742" s="50"/>
      <c r="J1742" s="50"/>
      <c r="K1742" s="50"/>
      <c r="L1742" s="50"/>
      <c r="M1742" s="50"/>
      <c r="N1742" s="50"/>
      <c r="O1742" s="50"/>
      <c r="P1742" s="50"/>
      <c r="Q1742" s="50"/>
      <c r="R1742" s="50"/>
    </row>
    <row r="1743" spans="1:18" x14ac:dyDescent="0.25">
      <c r="A1743" s="41" t="s">
        <v>1099</v>
      </c>
      <c r="B1743" s="44"/>
      <c r="C1743" s="50"/>
      <c r="D1743" s="50"/>
      <c r="E1743" s="50"/>
      <c r="F1743" s="50"/>
      <c r="G1743" s="50"/>
      <c r="H1743" s="50"/>
      <c r="I1743" s="50"/>
      <c r="J1743" s="50"/>
      <c r="K1743" s="50"/>
      <c r="L1743" s="50"/>
      <c r="M1743" s="50"/>
      <c r="N1743" s="50"/>
      <c r="O1743" s="50"/>
      <c r="P1743" s="50"/>
      <c r="Q1743" s="50"/>
      <c r="R1743" s="50"/>
    </row>
    <row r="1744" spans="1:18" x14ac:dyDescent="0.25">
      <c r="A1744" s="41"/>
      <c r="B1744" s="44"/>
      <c r="C1744" s="50"/>
      <c r="D1744" s="50"/>
      <c r="E1744" s="50"/>
      <c r="F1744" s="50"/>
      <c r="G1744" s="50"/>
      <c r="H1744" s="50"/>
      <c r="I1744" s="50"/>
      <c r="J1744" s="50"/>
      <c r="K1744" s="50"/>
      <c r="L1744" s="50"/>
      <c r="M1744" s="50"/>
      <c r="N1744" s="50"/>
      <c r="O1744" s="50"/>
      <c r="P1744" s="50"/>
      <c r="Q1744" s="50"/>
      <c r="R1744" s="50"/>
    </row>
    <row r="1745" spans="1:18" x14ac:dyDescent="0.25">
      <c r="A1745" s="41" t="s">
        <v>202</v>
      </c>
      <c r="B1745" s="44"/>
      <c r="C1745" s="50"/>
      <c r="D1745" s="50"/>
      <c r="E1745" s="50"/>
      <c r="F1745" s="50"/>
      <c r="G1745" s="50"/>
      <c r="H1745" s="50"/>
      <c r="I1745" s="50"/>
      <c r="J1745" s="50"/>
      <c r="K1745" s="50"/>
      <c r="L1745" s="50"/>
      <c r="M1745" s="50"/>
      <c r="N1745" s="50"/>
      <c r="O1745" s="50"/>
      <c r="P1745" s="50"/>
      <c r="Q1745" s="50"/>
      <c r="R1745" s="50"/>
    </row>
    <row r="1746" spans="1:18" x14ac:dyDescent="0.25">
      <c r="A1746" s="41"/>
      <c r="B1746" s="44"/>
      <c r="C1746" s="50"/>
      <c r="D1746" s="50"/>
      <c r="E1746" s="50"/>
      <c r="F1746" s="50"/>
      <c r="G1746" s="50"/>
      <c r="H1746" s="50"/>
      <c r="I1746" s="50"/>
      <c r="J1746" s="50"/>
      <c r="K1746" s="50"/>
      <c r="L1746" s="50"/>
      <c r="M1746" s="50"/>
      <c r="N1746" s="50"/>
      <c r="O1746" s="50"/>
      <c r="P1746" s="50"/>
      <c r="Q1746" s="50"/>
      <c r="R1746" s="50"/>
    </row>
    <row r="1747" spans="1:18" x14ac:dyDescent="0.25">
      <c r="A1747" s="52" t="s">
        <v>1100</v>
      </c>
      <c r="B1747" s="53"/>
      <c r="C1747" s="54">
        <v>15930</v>
      </c>
      <c r="D1747" s="54">
        <v>18037</v>
      </c>
      <c r="E1747" s="43">
        <v>16866</v>
      </c>
      <c r="F1747" s="54">
        <v>26694</v>
      </c>
      <c r="G1747" s="54">
        <v>15240</v>
      </c>
      <c r="H1747" s="54">
        <v>15500</v>
      </c>
      <c r="I1747" s="54">
        <f t="shared" ref="I1747" si="981">H1747*1.023</f>
        <v>15856.499999999998</v>
      </c>
      <c r="J1747" s="54">
        <f t="shared" ref="J1747:K1747" si="982">I1747*1.024</f>
        <v>16237.055999999999</v>
      </c>
      <c r="K1747" s="54">
        <f t="shared" si="982"/>
        <v>16626.745343999999</v>
      </c>
      <c r="L1747" s="54">
        <f t="shared" ref="L1747" si="983">K1747*1.023</f>
        <v>17009.160486911998</v>
      </c>
      <c r="M1747" s="54">
        <f t="shared" ref="M1747" si="984">L1747*1.022</f>
        <v>17383.362017624062</v>
      </c>
      <c r="N1747" s="54">
        <f t="shared" ref="N1747" si="985">M1747*1.023</f>
        <v>17783.179344029413</v>
      </c>
      <c r="O1747" s="54">
        <f t="shared" ref="O1747:P1747" si="986">N1747*1.025</f>
        <v>18227.758827630147</v>
      </c>
      <c r="P1747" s="54">
        <f t="shared" si="986"/>
        <v>18683.452798320897</v>
      </c>
      <c r="Q1747" s="54">
        <f t="shared" ref="Q1747:R1747" si="987">P1747*1.024</f>
        <v>19131.855665480598</v>
      </c>
      <c r="R1747" s="54">
        <f t="shared" si="987"/>
        <v>19591.020201452131</v>
      </c>
    </row>
    <row r="1748" spans="1:18" x14ac:dyDescent="0.25">
      <c r="A1748" s="52" t="s">
        <v>1101</v>
      </c>
      <c r="B1748" s="53"/>
      <c r="C1748" s="54">
        <v>9279</v>
      </c>
      <c r="D1748" s="54"/>
      <c r="E1748" s="54"/>
      <c r="F1748" s="54">
        <v>12107</v>
      </c>
      <c r="G1748" s="54"/>
      <c r="H1748" s="54"/>
      <c r="I1748" s="54"/>
      <c r="J1748" s="54"/>
      <c r="K1748" s="54"/>
      <c r="L1748" s="54"/>
      <c r="M1748" s="54"/>
      <c r="N1748" s="54"/>
      <c r="O1748" s="54"/>
      <c r="P1748" s="54"/>
      <c r="Q1748" s="54"/>
      <c r="R1748" s="54"/>
    </row>
    <row r="1749" spans="1:18" x14ac:dyDescent="0.25">
      <c r="A1749" s="41"/>
      <c r="B1749" s="44"/>
      <c r="C1749" s="50"/>
      <c r="D1749" s="50"/>
      <c r="E1749" s="50"/>
      <c r="F1749" s="50"/>
      <c r="G1749" s="50"/>
      <c r="H1749" s="50"/>
      <c r="I1749" s="50"/>
      <c r="J1749" s="50"/>
      <c r="K1749" s="50"/>
      <c r="L1749" s="50"/>
      <c r="M1749" s="50"/>
      <c r="N1749" s="50"/>
      <c r="O1749" s="50"/>
      <c r="P1749" s="50"/>
      <c r="Q1749" s="50"/>
      <c r="R1749" s="50"/>
    </row>
    <row r="1750" spans="1:18" x14ac:dyDescent="0.25">
      <c r="A1750" s="41" t="s">
        <v>216</v>
      </c>
      <c r="B1750" s="44"/>
      <c r="C1750" s="51">
        <f t="shared" ref="C1750" si="988">SUM(C1747:C1749)</f>
        <v>25209</v>
      </c>
      <c r="D1750" s="51">
        <f t="shared" ref="D1750:R1750" si="989">SUM(D1747:D1749)</f>
        <v>18037</v>
      </c>
      <c r="E1750" s="51">
        <f t="shared" si="989"/>
        <v>16866</v>
      </c>
      <c r="F1750" s="51">
        <f t="shared" si="989"/>
        <v>38801</v>
      </c>
      <c r="G1750" s="51">
        <f t="shared" si="989"/>
        <v>15240</v>
      </c>
      <c r="H1750" s="51">
        <f t="shared" si="989"/>
        <v>15500</v>
      </c>
      <c r="I1750" s="51">
        <f t="shared" si="989"/>
        <v>15856.499999999998</v>
      </c>
      <c r="J1750" s="51">
        <f t="shared" si="989"/>
        <v>16237.055999999999</v>
      </c>
      <c r="K1750" s="51">
        <f t="shared" si="989"/>
        <v>16626.745343999999</v>
      </c>
      <c r="L1750" s="51">
        <f t="shared" si="989"/>
        <v>17009.160486911998</v>
      </c>
      <c r="M1750" s="51">
        <f t="shared" si="989"/>
        <v>17383.362017624062</v>
      </c>
      <c r="N1750" s="51">
        <f t="shared" si="989"/>
        <v>17783.179344029413</v>
      </c>
      <c r="O1750" s="51">
        <f t="shared" si="989"/>
        <v>18227.758827630147</v>
      </c>
      <c r="P1750" s="51">
        <f t="shared" si="989"/>
        <v>18683.452798320897</v>
      </c>
      <c r="Q1750" s="51">
        <f t="shared" si="989"/>
        <v>19131.855665480598</v>
      </c>
      <c r="R1750" s="51">
        <f t="shared" si="989"/>
        <v>19591.020201452131</v>
      </c>
    </row>
    <row r="1751" spans="1:18" x14ac:dyDescent="0.25">
      <c r="A1751" s="41"/>
      <c r="B1751" s="44"/>
      <c r="C1751" s="50"/>
      <c r="D1751" s="50"/>
      <c r="E1751" s="50"/>
      <c r="F1751" s="50"/>
      <c r="G1751" s="50"/>
      <c r="H1751" s="50"/>
      <c r="I1751" s="50"/>
      <c r="J1751" s="50"/>
      <c r="K1751" s="50"/>
      <c r="L1751" s="50"/>
      <c r="M1751" s="50"/>
      <c r="N1751" s="50"/>
      <c r="O1751" s="50"/>
      <c r="P1751" s="50"/>
      <c r="Q1751" s="50"/>
      <c r="R1751" s="50"/>
    </row>
    <row r="1752" spans="1:18" x14ac:dyDescent="0.25">
      <c r="A1752" s="41" t="s">
        <v>165</v>
      </c>
      <c r="B1752" s="44"/>
      <c r="C1752" s="50"/>
      <c r="D1752" s="50"/>
      <c r="E1752" s="50"/>
      <c r="F1752" s="50"/>
      <c r="G1752" s="50"/>
      <c r="H1752" s="50"/>
      <c r="I1752" s="50"/>
      <c r="J1752" s="50"/>
      <c r="K1752" s="50"/>
      <c r="L1752" s="50"/>
      <c r="M1752" s="50"/>
      <c r="N1752" s="50"/>
      <c r="O1752" s="50"/>
      <c r="P1752" s="50"/>
      <c r="Q1752" s="50"/>
      <c r="R1752" s="50"/>
    </row>
    <row r="1753" spans="1:18" x14ac:dyDescent="0.25">
      <c r="A1753" s="41"/>
      <c r="B1753" s="44"/>
      <c r="C1753" s="50"/>
      <c r="D1753" s="50"/>
      <c r="E1753" s="50"/>
      <c r="F1753" s="50"/>
      <c r="G1753" s="50"/>
      <c r="H1753" s="50"/>
      <c r="I1753" s="50"/>
      <c r="J1753" s="50"/>
      <c r="K1753" s="50"/>
      <c r="L1753" s="50"/>
      <c r="M1753" s="50"/>
      <c r="N1753" s="50"/>
      <c r="O1753" s="50"/>
      <c r="P1753" s="50"/>
      <c r="Q1753" s="50"/>
      <c r="R1753" s="50"/>
    </row>
    <row r="1754" spans="1:18" x14ac:dyDescent="0.25">
      <c r="A1754" s="43" t="s">
        <v>217</v>
      </c>
      <c r="C1754" s="54">
        <f>148169+25</f>
        <v>148194</v>
      </c>
      <c r="D1754" s="54">
        <f>166266+93</f>
        <v>166359</v>
      </c>
      <c r="E1754" s="43">
        <v>158870</v>
      </c>
      <c r="F1754" s="52">
        <v>181971</v>
      </c>
      <c r="G1754" s="52">
        <v>192691</v>
      </c>
      <c r="H1754" s="52">
        <v>189300</v>
      </c>
      <c r="I1754" s="50">
        <f>H1754*1.025</f>
        <v>194032.49999999997</v>
      </c>
      <c r="J1754" s="50">
        <f>I1754*1.029</f>
        <v>199659.44249999995</v>
      </c>
      <c r="K1754" s="54">
        <f>J1754*1.031</f>
        <v>205848.88521749992</v>
      </c>
      <c r="L1754" s="54">
        <f>K1754*1.033</f>
        <v>212641.89842967741</v>
      </c>
      <c r="M1754" s="54">
        <f>L1754*1.032</f>
        <v>219446.43917942711</v>
      </c>
      <c r="N1754" s="54">
        <f>M1754*1.03</f>
        <v>226029.83235480991</v>
      </c>
      <c r="O1754" s="54">
        <f>N1754*1.032</f>
        <v>233262.78699016385</v>
      </c>
      <c r="P1754" s="54">
        <f t="shared" ref="P1754:R1755" si="990">O1754*1.034</f>
        <v>241193.72174782943</v>
      </c>
      <c r="Q1754" s="54">
        <f t="shared" si="990"/>
        <v>249394.30828725564</v>
      </c>
      <c r="R1754" s="54">
        <f t="shared" si="990"/>
        <v>257873.71476902234</v>
      </c>
    </row>
    <row r="1755" spans="1:18" x14ac:dyDescent="0.25">
      <c r="A1755" s="43" t="s">
        <v>220</v>
      </c>
      <c r="C1755" s="50">
        <v>17408</v>
      </c>
      <c r="D1755" s="54">
        <v>24136</v>
      </c>
      <c r="E1755" s="43">
        <v>24567</v>
      </c>
      <c r="F1755" s="54">
        <v>18077</v>
      </c>
      <c r="G1755" s="54">
        <v>28568</v>
      </c>
      <c r="H1755" s="54">
        <v>22700</v>
      </c>
      <c r="I1755" s="50">
        <f>H1755*1.025</f>
        <v>23267.499999999996</v>
      </c>
      <c r="J1755" s="50">
        <f>I1755*1.029</f>
        <v>23942.257499999996</v>
      </c>
      <c r="K1755" s="54">
        <f>J1755*1.031</f>
        <v>24684.467482499993</v>
      </c>
      <c r="L1755" s="54">
        <f>K1755*1.033</f>
        <v>25499.054909422492</v>
      </c>
      <c r="M1755" s="54">
        <f>L1755*1.032</f>
        <v>26315.024666524012</v>
      </c>
      <c r="N1755" s="54">
        <f>M1755*1.03</f>
        <v>27104.475406519734</v>
      </c>
      <c r="O1755" s="54">
        <f>N1755*1.032</f>
        <v>27971.818619528367</v>
      </c>
      <c r="P1755" s="54">
        <f t="shared" si="990"/>
        <v>28922.860452592333</v>
      </c>
      <c r="Q1755" s="54">
        <f t="shared" si="990"/>
        <v>29906.237707980472</v>
      </c>
      <c r="R1755" s="54">
        <f t="shared" si="990"/>
        <v>30923.049790051809</v>
      </c>
    </row>
    <row r="1756" spans="1:18" x14ac:dyDescent="0.25">
      <c r="A1756" s="52" t="s">
        <v>1102</v>
      </c>
      <c r="B1756" s="53"/>
      <c r="C1756" s="54">
        <v>19370</v>
      </c>
      <c r="D1756" s="54">
        <v>13251</v>
      </c>
      <c r="E1756" s="43">
        <v>5779</v>
      </c>
      <c r="F1756" s="54">
        <v>20768</v>
      </c>
      <c r="G1756" s="54">
        <v>5059</v>
      </c>
      <c r="H1756" s="54">
        <v>15500</v>
      </c>
      <c r="I1756" s="54">
        <f t="shared" ref="I1756:I1757" si="991">H1756*1.023</f>
        <v>15856.499999999998</v>
      </c>
      <c r="J1756" s="54">
        <f t="shared" ref="J1756:K1757" si="992">I1756*1.024</f>
        <v>16237.055999999999</v>
      </c>
      <c r="K1756" s="54">
        <f t="shared" si="992"/>
        <v>16626.745343999999</v>
      </c>
      <c r="L1756" s="54">
        <f t="shared" ref="L1756:L1757" si="993">K1756*1.023</f>
        <v>17009.160486911998</v>
      </c>
      <c r="M1756" s="54">
        <f t="shared" ref="M1756:M1757" si="994">L1756*1.022</f>
        <v>17383.362017624062</v>
      </c>
      <c r="N1756" s="54">
        <f t="shared" ref="N1756:N1757" si="995">M1756*1.023</f>
        <v>17783.179344029413</v>
      </c>
      <c r="O1756" s="54">
        <f t="shared" ref="O1756:P1757" si="996">N1756*1.025</f>
        <v>18227.758827630147</v>
      </c>
      <c r="P1756" s="54">
        <f t="shared" si="996"/>
        <v>18683.452798320897</v>
      </c>
      <c r="Q1756" s="54">
        <f t="shared" ref="Q1756:R1757" si="997">P1756*1.024</f>
        <v>19131.855665480598</v>
      </c>
      <c r="R1756" s="54">
        <f t="shared" si="997"/>
        <v>19591.020201452131</v>
      </c>
    </row>
    <row r="1757" spans="1:18" x14ac:dyDescent="0.25">
      <c r="A1757" s="43" t="s">
        <v>1103</v>
      </c>
      <c r="C1757" s="54">
        <f>46409+5</f>
        <v>46414</v>
      </c>
      <c r="D1757" s="54">
        <v>40115</v>
      </c>
      <c r="E1757" s="43">
        <v>57607</v>
      </c>
      <c r="F1757" s="54">
        <v>35319</v>
      </c>
      <c r="G1757" s="50">
        <v>43897</v>
      </c>
      <c r="H1757" s="50">
        <f>53000-1000-2000</f>
        <v>50000</v>
      </c>
      <c r="I1757" s="54">
        <f t="shared" si="991"/>
        <v>51149.999999999993</v>
      </c>
      <c r="J1757" s="54">
        <f t="shared" si="992"/>
        <v>52377.599999999991</v>
      </c>
      <c r="K1757" s="54">
        <f t="shared" si="992"/>
        <v>53634.662399999994</v>
      </c>
      <c r="L1757" s="54">
        <f t="shared" si="993"/>
        <v>54868.259635199989</v>
      </c>
      <c r="M1757" s="54">
        <f t="shared" si="994"/>
        <v>56075.361347174388</v>
      </c>
      <c r="N1757" s="54">
        <f t="shared" si="995"/>
        <v>57365.094658159396</v>
      </c>
      <c r="O1757" s="54">
        <f t="shared" si="996"/>
        <v>58799.222024613373</v>
      </c>
      <c r="P1757" s="54">
        <f t="shared" si="996"/>
        <v>60269.202575228701</v>
      </c>
      <c r="Q1757" s="54">
        <f t="shared" si="997"/>
        <v>61715.663437034193</v>
      </c>
      <c r="R1757" s="54">
        <f t="shared" si="997"/>
        <v>63196.839359523015</v>
      </c>
    </row>
    <row r="1758" spans="1:18" x14ac:dyDescent="0.25">
      <c r="A1758" s="43" t="s">
        <v>1104</v>
      </c>
      <c r="C1758" s="54">
        <v>3484</v>
      </c>
      <c r="D1758" s="54">
        <v>4380</v>
      </c>
      <c r="E1758" s="43">
        <v>15158</v>
      </c>
      <c r="F1758" s="54">
        <v>9363</v>
      </c>
      <c r="G1758" s="54">
        <v>2493</v>
      </c>
      <c r="H1758" s="54">
        <v>20000</v>
      </c>
      <c r="I1758" s="50">
        <f>H1758*1.025</f>
        <v>20500</v>
      </c>
      <c r="J1758" s="50">
        <f>I1758*1.029</f>
        <v>21094.5</v>
      </c>
      <c r="K1758" s="54">
        <f>J1758*1.031</f>
        <v>21748.429499999998</v>
      </c>
      <c r="L1758" s="54">
        <f>K1758*1.033</f>
        <v>22466.127673499996</v>
      </c>
      <c r="M1758" s="54">
        <f>L1758*1.032</f>
        <v>23185.043759051998</v>
      </c>
      <c r="N1758" s="54">
        <f>M1758*1.03</f>
        <v>23880.595071823558</v>
      </c>
      <c r="O1758" s="54">
        <f>N1758*1.032</f>
        <v>24644.774114121912</v>
      </c>
      <c r="P1758" s="54">
        <f>O1758*1.034</f>
        <v>25482.696434002057</v>
      </c>
      <c r="Q1758" s="54">
        <f>P1758*1.034</f>
        <v>26349.108112758127</v>
      </c>
      <c r="R1758" s="54">
        <f>Q1758*1.034</f>
        <v>27244.977788591903</v>
      </c>
    </row>
    <row r="1759" spans="1:18" x14ac:dyDescent="0.25">
      <c r="A1759" s="43" t="s">
        <v>1105</v>
      </c>
      <c r="C1759" s="54">
        <v>0</v>
      </c>
      <c r="D1759" s="54">
        <f>C1759*1.038</f>
        <v>0</v>
      </c>
      <c r="E1759" s="43">
        <f>1188-1188</f>
        <v>0</v>
      </c>
      <c r="F1759" s="54">
        <v>0</v>
      </c>
      <c r="G1759" s="54">
        <v>0</v>
      </c>
      <c r="H1759" s="54">
        <v>0</v>
      </c>
      <c r="I1759" s="54">
        <v>0</v>
      </c>
      <c r="J1759" s="54">
        <v>0</v>
      </c>
      <c r="K1759" s="54">
        <v>0</v>
      </c>
      <c r="L1759" s="54">
        <v>0</v>
      </c>
      <c r="M1759" s="54">
        <v>0</v>
      </c>
      <c r="N1759" s="54">
        <v>0</v>
      </c>
      <c r="O1759" s="54">
        <v>0</v>
      </c>
      <c r="P1759" s="54">
        <v>0</v>
      </c>
      <c r="Q1759" s="54">
        <f>P1759*1.042</f>
        <v>0</v>
      </c>
      <c r="R1759" s="54">
        <f>Q1759*1.042</f>
        <v>0</v>
      </c>
    </row>
    <row r="1760" spans="1:18" x14ac:dyDescent="0.25">
      <c r="A1760" s="43" t="s">
        <v>1106</v>
      </c>
      <c r="C1760" s="54">
        <v>802</v>
      </c>
      <c r="D1760" s="54">
        <v>5928</v>
      </c>
      <c r="E1760" s="43">
        <v>11330</v>
      </c>
      <c r="F1760" s="54">
        <v>7480</v>
      </c>
      <c r="G1760" s="54">
        <v>0</v>
      </c>
      <c r="H1760" s="54">
        <v>11000</v>
      </c>
      <c r="I1760" s="54">
        <f t="shared" ref="I1760:I1761" si="998">H1760*1.023</f>
        <v>11252.999999999998</v>
      </c>
      <c r="J1760" s="54">
        <f t="shared" ref="J1760:K1761" si="999">I1760*1.024</f>
        <v>11523.071999999998</v>
      </c>
      <c r="K1760" s="54">
        <f t="shared" si="999"/>
        <v>11799.625727999999</v>
      </c>
      <c r="L1760" s="54">
        <f t="shared" ref="L1760:L1761" si="1000">K1760*1.023</f>
        <v>12071.017119743998</v>
      </c>
      <c r="M1760" s="54">
        <f t="shared" ref="M1760:M1761" si="1001">L1760*1.022</f>
        <v>12336.579496378366</v>
      </c>
      <c r="N1760" s="54">
        <f t="shared" ref="N1760:N1761" si="1002">M1760*1.023</f>
        <v>12620.320824795068</v>
      </c>
      <c r="O1760" s="54">
        <f t="shared" ref="O1760:P1761" si="1003">N1760*1.025</f>
        <v>12935.828845414944</v>
      </c>
      <c r="P1760" s="54">
        <f t="shared" si="1003"/>
        <v>13259.224566550316</v>
      </c>
      <c r="Q1760" s="54">
        <f t="shared" ref="Q1760:R1761" si="1004">P1760*1.024</f>
        <v>13577.445956147523</v>
      </c>
      <c r="R1760" s="54">
        <f t="shared" si="1004"/>
        <v>13903.304659095063</v>
      </c>
    </row>
    <row r="1761" spans="1:18" x14ac:dyDescent="0.25">
      <c r="A1761" s="52" t="s">
        <v>226</v>
      </c>
      <c r="B1761" s="53"/>
      <c r="C1761" s="54">
        <v>0</v>
      </c>
      <c r="D1761" s="54">
        <v>44</v>
      </c>
      <c r="E1761" s="43">
        <v>0</v>
      </c>
      <c r="F1761" s="54">
        <v>8</v>
      </c>
      <c r="G1761" s="54">
        <v>705</v>
      </c>
      <c r="H1761" s="54">
        <v>800</v>
      </c>
      <c r="I1761" s="54">
        <f t="shared" si="998"/>
        <v>818.4</v>
      </c>
      <c r="J1761" s="54">
        <f t="shared" si="999"/>
        <v>838.04160000000002</v>
      </c>
      <c r="K1761" s="54">
        <f t="shared" si="999"/>
        <v>858.15459840000005</v>
      </c>
      <c r="L1761" s="54">
        <f t="shared" si="1000"/>
        <v>877.89215416319996</v>
      </c>
      <c r="M1761" s="54">
        <f t="shared" si="1001"/>
        <v>897.20578155479041</v>
      </c>
      <c r="N1761" s="54">
        <f t="shared" si="1002"/>
        <v>917.84151453055051</v>
      </c>
      <c r="O1761" s="54">
        <f t="shared" si="1003"/>
        <v>940.78755239381417</v>
      </c>
      <c r="P1761" s="54">
        <f t="shared" si="1003"/>
        <v>964.30724120365949</v>
      </c>
      <c r="Q1761" s="54">
        <f t="shared" si="1004"/>
        <v>987.45061499254734</v>
      </c>
      <c r="R1761" s="54">
        <f t="shared" si="1004"/>
        <v>1011.1494297523685</v>
      </c>
    </row>
    <row r="1762" spans="1:18" x14ac:dyDescent="0.25">
      <c r="A1762" s="52" t="s">
        <v>1107</v>
      </c>
      <c r="B1762" s="53"/>
      <c r="C1762" s="59"/>
      <c r="D1762" s="50"/>
      <c r="E1762" s="43">
        <v>0</v>
      </c>
      <c r="F1762" s="50"/>
      <c r="G1762" s="50"/>
      <c r="H1762" s="50"/>
      <c r="I1762" s="50"/>
      <c r="J1762" s="50"/>
      <c r="K1762" s="50"/>
      <c r="L1762" s="50"/>
      <c r="M1762" s="50"/>
      <c r="N1762" s="50"/>
      <c r="O1762" s="50"/>
      <c r="P1762" s="50"/>
      <c r="Q1762" s="50"/>
      <c r="R1762" s="50"/>
    </row>
    <row r="1763" spans="1:18" x14ac:dyDescent="0.25">
      <c r="A1763" s="43" t="s">
        <v>1108</v>
      </c>
      <c r="C1763" s="50">
        <v>20496</v>
      </c>
      <c r="D1763" s="54">
        <v>19472</v>
      </c>
      <c r="E1763" s="43">
        <v>21424</v>
      </c>
      <c r="F1763" s="54">
        <v>18084</v>
      </c>
      <c r="G1763" s="54">
        <v>94614</v>
      </c>
      <c r="H1763" s="54">
        <v>46700</v>
      </c>
      <c r="I1763" s="50">
        <f>H1763*1.025</f>
        <v>47867.499999999993</v>
      </c>
      <c r="J1763" s="50">
        <f>I1763*1.029</f>
        <v>49255.657499999987</v>
      </c>
      <c r="K1763" s="54">
        <f>J1763*1.031</f>
        <v>50782.582882499984</v>
      </c>
      <c r="L1763" s="54">
        <f>K1763*1.033</f>
        <v>52458.408117622479</v>
      </c>
      <c r="M1763" s="54">
        <f>L1763*1.032</f>
        <v>54137.077177386403</v>
      </c>
      <c r="N1763" s="54">
        <f>M1763*1.03</f>
        <v>55761.189492707999</v>
      </c>
      <c r="O1763" s="54">
        <f>N1763*1.032</f>
        <v>57545.547556474659</v>
      </c>
      <c r="P1763" s="54">
        <f t="shared" ref="P1763:R1766" si="1005">O1763*1.034</f>
        <v>59502.096173394799</v>
      </c>
      <c r="Q1763" s="54">
        <f t="shared" si="1005"/>
        <v>61525.167443290222</v>
      </c>
      <c r="R1763" s="54">
        <f t="shared" si="1005"/>
        <v>63617.023136362091</v>
      </c>
    </row>
    <row r="1764" spans="1:18" x14ac:dyDescent="0.25">
      <c r="A1764" s="43" t="s">
        <v>1109</v>
      </c>
      <c r="B1764" s="53"/>
      <c r="C1764" s="50">
        <v>506919</v>
      </c>
      <c r="D1764" s="54">
        <v>536218</v>
      </c>
      <c r="E1764" s="50">
        <f>565560-282.75+62.73</f>
        <v>565339.98</v>
      </c>
      <c r="F1764" s="50">
        <v>511389</v>
      </c>
      <c r="G1764" s="50">
        <v>505577</v>
      </c>
      <c r="H1764" s="50">
        <v>584300</v>
      </c>
      <c r="I1764" s="50">
        <f>H1764*1.025</f>
        <v>598907.5</v>
      </c>
      <c r="J1764" s="50">
        <f>I1764*1.029</f>
        <v>616275.8175</v>
      </c>
      <c r="K1764" s="54">
        <f>J1764*(1.031+0.053)</f>
        <v>668042.98616999993</v>
      </c>
      <c r="L1764" s="54">
        <f>K1764*(1.033+0.05)</f>
        <v>723490.55402210995</v>
      </c>
      <c r="M1764" s="54">
        <f>L1764*(1.032+0.048)</f>
        <v>781369.79834387882</v>
      </c>
      <c r="N1764" s="54">
        <f>M1764*(1.03+0.045)</f>
        <v>839972.53321966971</v>
      </c>
      <c r="O1764" s="54">
        <f>N1764*(1.032+0.043)</f>
        <v>902970.47321114491</v>
      </c>
      <c r="P1764" s="54">
        <f t="shared" si="1005"/>
        <v>933671.46930032386</v>
      </c>
      <c r="Q1764" s="54">
        <f t="shared" si="1005"/>
        <v>965416.2992565349</v>
      </c>
      <c r="R1764" s="54">
        <f t="shared" si="1005"/>
        <v>998240.45343125716</v>
      </c>
    </row>
    <row r="1765" spans="1:18" x14ac:dyDescent="0.25">
      <c r="A1765" s="43" t="s">
        <v>1110</v>
      </c>
      <c r="C1765" s="50">
        <v>39811</v>
      </c>
      <c r="D1765" s="54">
        <v>55549</v>
      </c>
      <c r="E1765" s="50">
        <f>40753+678.08</f>
        <v>41431.08</v>
      </c>
      <c r="F1765" s="54">
        <v>51401</v>
      </c>
      <c r="G1765" s="54">
        <v>54991</v>
      </c>
      <c r="H1765" s="54">
        <v>52600</v>
      </c>
      <c r="I1765" s="50">
        <f t="shared" ref="I1765:I1766" si="1006">H1765*1.025</f>
        <v>53914.999999999993</v>
      </c>
      <c r="J1765" s="50">
        <f t="shared" ref="J1765:J1766" si="1007">I1765*1.029</f>
        <v>55478.534999999989</v>
      </c>
      <c r="K1765" s="54">
        <f t="shared" ref="K1765:K1766" si="1008">J1765*1.031</f>
        <v>57198.369584999986</v>
      </c>
      <c r="L1765" s="54">
        <f t="shared" ref="L1765:L1766" si="1009">K1765*1.033</f>
        <v>59085.915781304982</v>
      </c>
      <c r="M1765" s="54">
        <f t="shared" ref="M1765:M1766" si="1010">L1765*1.032</f>
        <v>60976.665086306741</v>
      </c>
      <c r="N1765" s="54">
        <f t="shared" ref="N1765:N1766" si="1011">M1765*1.03</f>
        <v>62805.965038895942</v>
      </c>
      <c r="O1765" s="54">
        <f t="shared" ref="O1765:O1766" si="1012">N1765*1.032</f>
        <v>64815.755920140611</v>
      </c>
      <c r="P1765" s="54">
        <f t="shared" si="1005"/>
        <v>67019.49162142539</v>
      </c>
      <c r="Q1765" s="54">
        <f t="shared" si="1005"/>
        <v>69298.154336553853</v>
      </c>
      <c r="R1765" s="54">
        <f t="shared" si="1005"/>
        <v>71654.291583996688</v>
      </c>
    </row>
    <row r="1766" spans="1:18" x14ac:dyDescent="0.25">
      <c r="A1766" s="43" t="s">
        <v>1111</v>
      </c>
      <c r="C1766" s="50">
        <v>49572</v>
      </c>
      <c r="D1766" s="50">
        <v>56614</v>
      </c>
      <c r="E1766" s="43">
        <v>88262</v>
      </c>
      <c r="F1766" s="50">
        <v>88855</v>
      </c>
      <c r="G1766" s="67">
        <v>81997</v>
      </c>
      <c r="H1766" s="50">
        <v>104700</v>
      </c>
      <c r="I1766" s="50">
        <f t="shared" si="1006"/>
        <v>107317.49999999999</v>
      </c>
      <c r="J1766" s="50">
        <f t="shared" si="1007"/>
        <v>110429.70749999997</v>
      </c>
      <c r="K1766" s="54">
        <f t="shared" si="1008"/>
        <v>113853.02843249997</v>
      </c>
      <c r="L1766" s="54">
        <f t="shared" si="1009"/>
        <v>117610.17837077245</v>
      </c>
      <c r="M1766" s="54">
        <f t="shared" si="1010"/>
        <v>121373.70407863718</v>
      </c>
      <c r="N1766" s="54">
        <f t="shared" si="1011"/>
        <v>125014.9152009963</v>
      </c>
      <c r="O1766" s="54">
        <f t="shared" si="1012"/>
        <v>129015.39248742818</v>
      </c>
      <c r="P1766" s="54">
        <f t="shared" si="1005"/>
        <v>133401.91583200076</v>
      </c>
      <c r="Q1766" s="54">
        <f t="shared" si="1005"/>
        <v>137937.58097028878</v>
      </c>
      <c r="R1766" s="54">
        <f t="shared" si="1005"/>
        <v>142627.4587232786</v>
      </c>
    </row>
    <row r="1767" spans="1:18" x14ac:dyDescent="0.25">
      <c r="A1767" s="43" t="s">
        <v>1112</v>
      </c>
      <c r="C1767" s="54">
        <v>54650</v>
      </c>
      <c r="D1767" s="54">
        <v>56236</v>
      </c>
      <c r="E1767" s="43">
        <v>54463</v>
      </c>
      <c r="F1767" s="54">
        <v>37229</v>
      </c>
      <c r="G1767" s="54">
        <v>43454</v>
      </c>
      <c r="H1767" s="54">
        <v>37200</v>
      </c>
      <c r="I1767" s="54">
        <f t="shared" ref="I1767" si="1013">H1767*1.023</f>
        <v>38055.599999999999</v>
      </c>
      <c r="J1767" s="54">
        <f t="shared" ref="J1767:K1767" si="1014">I1767*1.024</f>
        <v>38968.934399999998</v>
      </c>
      <c r="K1767" s="54">
        <f t="shared" si="1014"/>
        <v>39904.188825600002</v>
      </c>
      <c r="L1767" s="54">
        <f t="shared" ref="L1767" si="1015">K1767*1.023</f>
        <v>40821.985168588799</v>
      </c>
      <c r="M1767" s="54">
        <f t="shared" ref="M1767" si="1016">L1767*1.022</f>
        <v>41720.068842297755</v>
      </c>
      <c r="N1767" s="54">
        <f t="shared" ref="N1767" si="1017">M1767*1.023</f>
        <v>42679.630425670599</v>
      </c>
      <c r="O1767" s="54">
        <f t="shared" ref="O1767:P1767" si="1018">N1767*1.025</f>
        <v>43746.621186312361</v>
      </c>
      <c r="P1767" s="54">
        <f t="shared" si="1018"/>
        <v>44840.286715970164</v>
      </c>
      <c r="Q1767" s="54">
        <f t="shared" ref="Q1767:R1767" si="1019">P1767*1.024</f>
        <v>45916.45359715345</v>
      </c>
      <c r="R1767" s="54">
        <f t="shared" si="1019"/>
        <v>47018.448483485132</v>
      </c>
    </row>
    <row r="1768" spans="1:18" x14ac:dyDescent="0.25">
      <c r="A1768" s="43" t="s">
        <v>1113</v>
      </c>
      <c r="C1768" s="54">
        <f>47225-716</f>
        <v>46509</v>
      </c>
      <c r="D1768" s="54">
        <v>46964</v>
      </c>
      <c r="E1768" s="43">
        <f>38561+2314+1899</f>
        <v>42774</v>
      </c>
      <c r="F1768" s="54">
        <f>36212+28</f>
        <v>36240</v>
      </c>
      <c r="G1768" s="50">
        <v>50399</v>
      </c>
      <c r="H1768" s="50">
        <f>47500+1500</f>
        <v>49000</v>
      </c>
      <c r="I1768" s="50">
        <f t="shared" ref="I1768:I1769" si="1020">H1768*1.025</f>
        <v>50224.999999999993</v>
      </c>
      <c r="J1768" s="50">
        <f t="shared" ref="J1768:J1769" si="1021">I1768*1.029</f>
        <v>51681.524999999987</v>
      </c>
      <c r="K1768" s="54">
        <f t="shared" ref="K1768:K1769" si="1022">J1768*1.031</f>
        <v>53283.652274999986</v>
      </c>
      <c r="L1768" s="54">
        <f t="shared" ref="L1768:L1769" si="1023">K1768*1.033</f>
        <v>55042.012800074983</v>
      </c>
      <c r="M1768" s="54">
        <f t="shared" ref="M1768:M1769" si="1024">L1768*1.032</f>
        <v>56803.357209677386</v>
      </c>
      <c r="N1768" s="54">
        <f t="shared" ref="N1768:N1769" si="1025">M1768*1.03</f>
        <v>58507.457925967712</v>
      </c>
      <c r="O1768" s="54">
        <f t="shared" ref="O1768:O1769" si="1026">N1768*1.032</f>
        <v>60379.696579598683</v>
      </c>
      <c r="P1768" s="54">
        <f t="shared" ref="P1768:R1769" si="1027">O1768*1.034</f>
        <v>62432.606263305039</v>
      </c>
      <c r="Q1768" s="54">
        <f t="shared" si="1027"/>
        <v>64555.314876257413</v>
      </c>
      <c r="R1768" s="54">
        <f t="shared" si="1027"/>
        <v>66750.195582050161</v>
      </c>
    </row>
    <row r="1769" spans="1:18" x14ac:dyDescent="0.25">
      <c r="A1769" s="43" t="s">
        <v>1114</v>
      </c>
      <c r="C1769" s="54">
        <v>4945</v>
      </c>
      <c r="D1769" s="54">
        <v>7933</v>
      </c>
      <c r="E1769" s="43">
        <v>11341</v>
      </c>
      <c r="F1769" s="54">
        <v>10610</v>
      </c>
      <c r="G1769" s="54">
        <v>2633</v>
      </c>
      <c r="H1769" s="54">
        <v>3000</v>
      </c>
      <c r="I1769" s="50">
        <f t="shared" si="1020"/>
        <v>3074.9999999999995</v>
      </c>
      <c r="J1769" s="50">
        <f t="shared" si="1021"/>
        <v>3164.1749999999993</v>
      </c>
      <c r="K1769" s="54">
        <f t="shared" si="1022"/>
        <v>3262.2644249999989</v>
      </c>
      <c r="L1769" s="54">
        <f t="shared" si="1023"/>
        <v>3369.9191510249984</v>
      </c>
      <c r="M1769" s="54">
        <f t="shared" si="1024"/>
        <v>3477.7565638577985</v>
      </c>
      <c r="N1769" s="54">
        <f t="shared" si="1025"/>
        <v>3582.0892607735327</v>
      </c>
      <c r="O1769" s="54">
        <f t="shared" si="1026"/>
        <v>3696.7161171182856</v>
      </c>
      <c r="P1769" s="54">
        <f t="shared" si="1027"/>
        <v>3822.4044651003073</v>
      </c>
      <c r="Q1769" s="54">
        <f t="shared" si="1027"/>
        <v>3952.3662169137178</v>
      </c>
      <c r="R1769" s="54">
        <f t="shared" si="1027"/>
        <v>4086.7466682887843</v>
      </c>
    </row>
    <row r="1770" spans="1:18" x14ac:dyDescent="0.25">
      <c r="A1770" s="43" t="s">
        <v>1115</v>
      </c>
      <c r="C1770" s="54"/>
      <c r="D1770" s="54"/>
      <c r="F1770" s="54"/>
      <c r="G1770" s="54"/>
      <c r="H1770" s="54"/>
      <c r="I1770" s="50"/>
      <c r="J1770" s="50"/>
      <c r="K1770" s="54"/>
      <c r="L1770" s="54"/>
      <c r="M1770" s="54"/>
      <c r="N1770" s="54"/>
      <c r="O1770" s="54"/>
      <c r="P1770" s="54"/>
      <c r="Q1770" s="54"/>
      <c r="R1770" s="54"/>
    </row>
    <row r="1771" spans="1:18" x14ac:dyDescent="0.25">
      <c r="A1771" s="43" t="s">
        <v>1116</v>
      </c>
      <c r="C1771" s="54">
        <v>600</v>
      </c>
      <c r="D1771" s="54">
        <v>240</v>
      </c>
      <c r="E1771" s="43">
        <v>240</v>
      </c>
      <c r="F1771" s="54">
        <v>720</v>
      </c>
      <c r="G1771" s="50">
        <v>450</v>
      </c>
      <c r="H1771" s="50">
        <v>900</v>
      </c>
      <c r="I1771" s="54">
        <f t="shared" ref="I1771" si="1028">H1771*1.023</f>
        <v>920.69999999999993</v>
      </c>
      <c r="J1771" s="54">
        <f t="shared" ref="J1771:K1771" si="1029">I1771*1.024</f>
        <v>942.79679999999996</v>
      </c>
      <c r="K1771" s="54">
        <f t="shared" si="1029"/>
        <v>965.42392319999999</v>
      </c>
      <c r="L1771" s="54">
        <f t="shared" ref="L1771" si="1030">K1771*1.023</f>
        <v>987.62867343359994</v>
      </c>
      <c r="M1771" s="54">
        <f t="shared" ref="M1771" si="1031">L1771*1.022</f>
        <v>1009.3565042491391</v>
      </c>
      <c r="N1771" s="54">
        <f t="shared" ref="N1771" si="1032">M1771*1.023</f>
        <v>1032.5717038468692</v>
      </c>
      <c r="O1771" s="54">
        <f t="shared" ref="O1771:P1771" si="1033">N1771*1.025</f>
        <v>1058.3859964430408</v>
      </c>
      <c r="P1771" s="54">
        <f t="shared" si="1033"/>
        <v>1084.8456463541168</v>
      </c>
      <c r="Q1771" s="54">
        <f t="shared" ref="Q1771:R1771" si="1034">P1771*1.024</f>
        <v>1110.8819418666155</v>
      </c>
      <c r="R1771" s="54">
        <f t="shared" si="1034"/>
        <v>1137.5431084714144</v>
      </c>
    </row>
    <row r="1772" spans="1:18" x14ac:dyDescent="0.25">
      <c r="A1772" s="52" t="s">
        <v>1101</v>
      </c>
      <c r="C1772" s="54">
        <v>9332</v>
      </c>
      <c r="D1772" s="54">
        <v>0</v>
      </c>
      <c r="E1772" s="43">
        <v>0</v>
      </c>
      <c r="F1772" s="54">
        <v>12107</v>
      </c>
      <c r="G1772" s="54"/>
      <c r="H1772" s="54"/>
      <c r="I1772" s="54"/>
      <c r="J1772" s="54"/>
      <c r="K1772" s="54"/>
      <c r="L1772" s="54"/>
      <c r="M1772" s="54"/>
      <c r="N1772" s="54"/>
      <c r="O1772" s="54"/>
      <c r="P1772" s="54"/>
      <c r="Q1772" s="54"/>
      <c r="R1772" s="54"/>
    </row>
    <row r="1773" spans="1:18" x14ac:dyDescent="0.25">
      <c r="A1773" s="41"/>
      <c r="B1773" s="44"/>
      <c r="C1773" s="51"/>
      <c r="D1773" s="51"/>
      <c r="E1773" s="51"/>
      <c r="F1773" s="51"/>
      <c r="G1773" s="51"/>
      <c r="H1773" s="51"/>
      <c r="I1773" s="51"/>
      <c r="J1773" s="51"/>
      <c r="K1773" s="51"/>
      <c r="L1773" s="51"/>
      <c r="M1773" s="51"/>
      <c r="N1773" s="51"/>
      <c r="O1773" s="51"/>
      <c r="P1773" s="51"/>
      <c r="Q1773" s="51"/>
      <c r="R1773" s="51"/>
    </row>
    <row r="1774" spans="1:18" x14ac:dyDescent="0.25">
      <c r="A1774" s="41" t="s">
        <v>230</v>
      </c>
      <c r="B1774" s="44"/>
      <c r="C1774" s="51">
        <f>SUM(C1754:C1773)</f>
        <v>968506</v>
      </c>
      <c r="D1774" s="51">
        <f>SUM(D1754:D1773)</f>
        <v>1033439</v>
      </c>
      <c r="E1774" s="51">
        <f>SUM(E1754:E1773)</f>
        <v>1098586.06</v>
      </c>
      <c r="F1774" s="51">
        <f>SUM(F1754:F1773)</f>
        <v>1039621</v>
      </c>
      <c r="G1774" s="51">
        <f t="shared" ref="G1774:R1774" si="1035">SUM(G1754:G1773)</f>
        <v>1107528</v>
      </c>
      <c r="H1774" s="51">
        <f t="shared" si="1035"/>
        <v>1187700</v>
      </c>
      <c r="I1774" s="51">
        <f t="shared" si="1035"/>
        <v>1217161.7</v>
      </c>
      <c r="J1774" s="51">
        <f t="shared" si="1035"/>
        <v>1251869.1182999997</v>
      </c>
      <c r="K1774" s="51">
        <f t="shared" si="1035"/>
        <v>1322493.4667891997</v>
      </c>
      <c r="L1774" s="51">
        <f t="shared" si="1035"/>
        <v>1398300.012493551</v>
      </c>
      <c r="M1774" s="51">
        <f t="shared" si="1035"/>
        <v>1476506.8000540256</v>
      </c>
      <c r="N1774" s="51">
        <f t="shared" si="1035"/>
        <v>1555057.691443196</v>
      </c>
      <c r="O1774" s="51">
        <f t="shared" si="1035"/>
        <v>1640011.5660285268</v>
      </c>
      <c r="P1774" s="51">
        <f t="shared" si="1035"/>
        <v>1694550.5818336019</v>
      </c>
      <c r="Q1774" s="51">
        <f t="shared" si="1035"/>
        <v>1750774.2884205082</v>
      </c>
      <c r="R1774" s="51">
        <f t="shared" si="1035"/>
        <v>1808876.2167146783</v>
      </c>
    </row>
    <row r="1775" spans="1:18" x14ac:dyDescent="0.25">
      <c r="C1775" s="50"/>
      <c r="D1775" s="50"/>
      <c r="E1775" s="50"/>
      <c r="F1775" s="50"/>
      <c r="G1775" s="50"/>
      <c r="H1775" s="50"/>
      <c r="I1775" s="50"/>
      <c r="J1775" s="50"/>
      <c r="K1775" s="50"/>
      <c r="L1775" s="50"/>
      <c r="M1775" s="50"/>
      <c r="N1775" s="50"/>
      <c r="O1775" s="50"/>
      <c r="P1775" s="50"/>
      <c r="Q1775" s="50"/>
      <c r="R1775" s="50"/>
    </row>
    <row r="1776" spans="1:18" x14ac:dyDescent="0.25">
      <c r="A1776" s="41" t="s">
        <v>1117</v>
      </c>
      <c r="B1776" s="44"/>
      <c r="C1776" s="51">
        <f>C1774-C1750</f>
        <v>943297</v>
      </c>
      <c r="D1776" s="51">
        <f>D1774-D1750</f>
        <v>1015402</v>
      </c>
      <c r="E1776" s="51">
        <f>E1774-E1750</f>
        <v>1081720.06</v>
      </c>
      <c r="F1776" s="51">
        <f>F1774-F1750</f>
        <v>1000820</v>
      </c>
      <c r="G1776" s="51">
        <f t="shared" ref="G1776:R1776" si="1036">G1774-G1750</f>
        <v>1092288</v>
      </c>
      <c r="H1776" s="51">
        <f t="shared" si="1036"/>
        <v>1172200</v>
      </c>
      <c r="I1776" s="51">
        <f t="shared" si="1036"/>
        <v>1201305.2</v>
      </c>
      <c r="J1776" s="51">
        <f t="shared" si="1036"/>
        <v>1235632.0622999996</v>
      </c>
      <c r="K1776" s="51">
        <f t="shared" si="1036"/>
        <v>1305866.7214451998</v>
      </c>
      <c r="L1776" s="51">
        <f t="shared" si="1036"/>
        <v>1381290.8520066391</v>
      </c>
      <c r="M1776" s="51">
        <f t="shared" si="1036"/>
        <v>1459123.4380364015</v>
      </c>
      <c r="N1776" s="51">
        <f t="shared" si="1036"/>
        <v>1537274.5120991666</v>
      </c>
      <c r="O1776" s="51">
        <f t="shared" si="1036"/>
        <v>1621783.8072008966</v>
      </c>
      <c r="P1776" s="51">
        <f t="shared" si="1036"/>
        <v>1675867.129035281</v>
      </c>
      <c r="Q1776" s="51">
        <f t="shared" si="1036"/>
        <v>1731642.4327550277</v>
      </c>
      <c r="R1776" s="51">
        <f t="shared" si="1036"/>
        <v>1789285.1965132263</v>
      </c>
    </row>
    <row r="1777" spans="1:18" x14ac:dyDescent="0.25">
      <c r="C1777" s="50"/>
      <c r="D1777" s="50"/>
      <c r="E1777" s="50"/>
      <c r="F1777" s="50"/>
      <c r="G1777" s="50"/>
      <c r="H1777" s="50"/>
      <c r="I1777" s="50"/>
      <c r="J1777" s="50"/>
      <c r="K1777" s="50"/>
      <c r="L1777" s="50"/>
      <c r="M1777" s="50"/>
      <c r="N1777" s="50"/>
      <c r="O1777" s="50"/>
      <c r="P1777" s="50"/>
      <c r="Q1777" s="50"/>
      <c r="R1777" s="50"/>
    </row>
    <row r="1778" spans="1:18" x14ac:dyDescent="0.25">
      <c r="C1778" s="50"/>
      <c r="D1778" s="50"/>
      <c r="E1778" s="50"/>
      <c r="F1778" s="50"/>
      <c r="G1778" s="50"/>
      <c r="H1778" s="50"/>
      <c r="I1778" s="50"/>
      <c r="J1778" s="50"/>
      <c r="K1778" s="50"/>
      <c r="L1778" s="50"/>
      <c r="M1778" s="50"/>
      <c r="N1778" s="50"/>
      <c r="O1778" s="50"/>
      <c r="P1778" s="50"/>
      <c r="Q1778" s="50"/>
      <c r="R1778" s="50"/>
    </row>
    <row r="1779" spans="1:18" x14ac:dyDescent="0.25">
      <c r="A1779" s="41" t="s">
        <v>1118</v>
      </c>
      <c r="B1779" s="44"/>
      <c r="C1779" s="50"/>
      <c r="D1779" s="50"/>
      <c r="E1779" s="50"/>
      <c r="F1779" s="50"/>
      <c r="G1779" s="50"/>
      <c r="H1779" s="50"/>
      <c r="I1779" s="50"/>
      <c r="J1779" s="50"/>
      <c r="K1779" s="50"/>
      <c r="L1779" s="50"/>
      <c r="M1779" s="50"/>
      <c r="N1779" s="50"/>
      <c r="O1779" s="50"/>
      <c r="P1779" s="50"/>
      <c r="Q1779" s="50"/>
      <c r="R1779" s="50"/>
    </row>
    <row r="1780" spans="1:18" x14ac:dyDescent="0.25">
      <c r="C1780" s="50"/>
      <c r="D1780" s="50"/>
      <c r="E1780" s="50"/>
      <c r="F1780" s="50"/>
      <c r="G1780" s="50"/>
      <c r="H1780" s="50"/>
      <c r="I1780" s="50"/>
      <c r="J1780" s="50"/>
      <c r="K1780" s="50"/>
      <c r="L1780" s="50"/>
      <c r="M1780" s="50"/>
      <c r="N1780" s="50"/>
      <c r="O1780" s="50"/>
      <c r="P1780" s="50"/>
      <c r="Q1780" s="50"/>
      <c r="R1780" s="50"/>
    </row>
    <row r="1781" spans="1:18" x14ac:dyDescent="0.25">
      <c r="A1781" s="41" t="s">
        <v>165</v>
      </c>
      <c r="B1781" s="44"/>
      <c r="C1781" s="50"/>
      <c r="D1781" s="50"/>
      <c r="E1781" s="50"/>
      <c r="F1781" s="50"/>
      <c r="G1781" s="50"/>
      <c r="H1781" s="50"/>
      <c r="I1781" s="50"/>
      <c r="J1781" s="50"/>
      <c r="K1781" s="50"/>
      <c r="L1781" s="50"/>
      <c r="M1781" s="50"/>
      <c r="N1781" s="50"/>
      <c r="O1781" s="50"/>
      <c r="P1781" s="50"/>
      <c r="Q1781" s="50"/>
      <c r="R1781" s="50"/>
    </row>
    <row r="1782" spans="1:18" x14ac:dyDescent="0.25">
      <c r="C1782" s="50"/>
      <c r="D1782" s="50"/>
      <c r="E1782" s="50"/>
      <c r="F1782" s="50"/>
      <c r="G1782" s="50"/>
      <c r="H1782" s="50"/>
      <c r="I1782" s="50"/>
      <c r="J1782" s="50"/>
      <c r="K1782" s="50"/>
      <c r="L1782" s="50"/>
      <c r="M1782" s="50"/>
      <c r="N1782" s="50"/>
      <c r="O1782" s="50"/>
      <c r="P1782" s="50"/>
      <c r="Q1782" s="50"/>
      <c r="R1782" s="50"/>
    </row>
    <row r="1783" spans="1:18" x14ac:dyDescent="0.25">
      <c r="A1783" s="43" t="s">
        <v>217</v>
      </c>
      <c r="C1783" s="54">
        <v>114212</v>
      </c>
      <c r="D1783" s="54">
        <v>111999</v>
      </c>
      <c r="E1783" s="43">
        <v>113997</v>
      </c>
      <c r="F1783" s="43">
        <v>121983</v>
      </c>
      <c r="G1783" s="43">
        <v>122100</v>
      </c>
      <c r="H1783" s="43">
        <v>135600</v>
      </c>
      <c r="I1783" s="50">
        <f>H1783*1.025</f>
        <v>138990</v>
      </c>
      <c r="J1783" s="50">
        <f>I1783*1.029</f>
        <v>143020.71</v>
      </c>
      <c r="K1783" s="54">
        <f>J1783*1.031</f>
        <v>147454.35200999997</v>
      </c>
      <c r="L1783" s="54">
        <f>K1783*1.033</f>
        <v>152320.34562632997</v>
      </c>
      <c r="M1783" s="54">
        <f>L1783*1.032</f>
        <v>157194.59668637253</v>
      </c>
      <c r="N1783" s="54">
        <f>M1783*1.03</f>
        <v>161910.4345869637</v>
      </c>
      <c r="O1783" s="54">
        <f>N1783*1.032</f>
        <v>167091.56849374654</v>
      </c>
      <c r="P1783" s="54">
        <f>O1783*1.034</f>
        <v>172772.68182253392</v>
      </c>
      <c r="Q1783" s="54">
        <f>P1783*1.034</f>
        <v>178646.95300450007</v>
      </c>
      <c r="R1783" s="54">
        <f>Q1783*1.034</f>
        <v>184720.94940665309</v>
      </c>
    </row>
    <row r="1784" spans="1:18" x14ac:dyDescent="0.25">
      <c r="A1784" s="43" t="s">
        <v>219</v>
      </c>
      <c r="C1784" s="54">
        <v>5183</v>
      </c>
      <c r="D1784" s="54">
        <v>5364</v>
      </c>
      <c r="E1784" s="50">
        <v>4296</v>
      </c>
      <c r="F1784" s="68">
        <v>6141</v>
      </c>
      <c r="G1784" s="68">
        <v>4310</v>
      </c>
      <c r="H1784" s="67">
        <v>6000</v>
      </c>
      <c r="I1784" s="54">
        <f t="shared" ref="I1784" si="1037">H1784*1.023</f>
        <v>6137.9999999999991</v>
      </c>
      <c r="J1784" s="54">
        <f t="shared" ref="J1784:K1784" si="1038">I1784*1.024</f>
        <v>6285.311999999999</v>
      </c>
      <c r="K1784" s="54">
        <f t="shared" si="1038"/>
        <v>6436.1594879999993</v>
      </c>
      <c r="L1784" s="54">
        <f t="shared" ref="L1784" si="1039">K1784*1.023</f>
        <v>6584.1911562239984</v>
      </c>
      <c r="M1784" s="54">
        <f t="shared" ref="M1784" si="1040">L1784*1.022</f>
        <v>6729.0433616609262</v>
      </c>
      <c r="N1784" s="54">
        <f t="shared" ref="N1784" si="1041">M1784*1.023</f>
        <v>6883.8113589791265</v>
      </c>
      <c r="O1784" s="54">
        <f t="shared" ref="O1784:P1784" si="1042">N1784*1.025</f>
        <v>7055.9066429536042</v>
      </c>
      <c r="P1784" s="54">
        <f t="shared" si="1042"/>
        <v>7232.3043090274441</v>
      </c>
      <c r="Q1784" s="54">
        <f t="shared" ref="Q1784:R1784" si="1043">P1784*1.024</f>
        <v>7405.8796124441033</v>
      </c>
      <c r="R1784" s="54">
        <f t="shared" si="1043"/>
        <v>7583.6207231427616</v>
      </c>
    </row>
    <row r="1785" spans="1:18" x14ac:dyDescent="0.25">
      <c r="A1785" s="43" t="s">
        <v>220</v>
      </c>
      <c r="C1785" s="50">
        <v>14591</v>
      </c>
      <c r="D1785" s="54">
        <v>15825</v>
      </c>
      <c r="E1785" s="43">
        <v>17367</v>
      </c>
      <c r="F1785" s="54">
        <v>15623</v>
      </c>
      <c r="G1785" s="54">
        <v>15485</v>
      </c>
      <c r="H1785" s="54">
        <v>17900</v>
      </c>
      <c r="I1785" s="50">
        <f>H1785*1.025</f>
        <v>18347.5</v>
      </c>
      <c r="J1785" s="50">
        <f>I1785*1.029</f>
        <v>18879.577499999999</v>
      </c>
      <c r="K1785" s="54">
        <f>J1785*1.031</f>
        <v>19464.844402499999</v>
      </c>
      <c r="L1785" s="54">
        <f>K1785*1.033</f>
        <v>20107.184267782497</v>
      </c>
      <c r="M1785" s="54">
        <f>L1785*1.032</f>
        <v>20750.614164351537</v>
      </c>
      <c r="N1785" s="54">
        <f>M1785*1.03</f>
        <v>21373.132589282082</v>
      </c>
      <c r="O1785" s="54">
        <f>N1785*1.032</f>
        <v>22057.072832139111</v>
      </c>
      <c r="P1785" s="54">
        <f>O1785*1.034</f>
        <v>22807.01330843184</v>
      </c>
      <c r="Q1785" s="54">
        <f>P1785*1.034</f>
        <v>23582.451760918524</v>
      </c>
      <c r="R1785" s="54">
        <f>Q1785*1.034</f>
        <v>24384.255120789756</v>
      </c>
    </row>
    <row r="1786" spans="1:18" x14ac:dyDescent="0.25">
      <c r="A1786" s="43" t="s">
        <v>1032</v>
      </c>
      <c r="C1786" s="57">
        <v>7317</v>
      </c>
      <c r="D1786" s="218">
        <v>7334</v>
      </c>
      <c r="E1786" s="60">
        <v>6356</v>
      </c>
      <c r="F1786" s="218">
        <v>6096</v>
      </c>
      <c r="G1786" s="180">
        <v>6660</v>
      </c>
      <c r="H1786" s="98">
        <v>6900</v>
      </c>
      <c r="I1786" s="180">
        <v>6900</v>
      </c>
      <c r="J1786" s="180">
        <v>6800</v>
      </c>
      <c r="K1786" s="180">
        <v>6800</v>
      </c>
      <c r="L1786" s="180">
        <v>6800</v>
      </c>
      <c r="M1786" s="180">
        <v>7300</v>
      </c>
      <c r="N1786" s="180">
        <v>7300</v>
      </c>
      <c r="O1786" s="180">
        <v>7300</v>
      </c>
      <c r="P1786" s="180">
        <v>7800</v>
      </c>
      <c r="Q1786" s="180">
        <v>7700</v>
      </c>
      <c r="R1786" s="180">
        <v>7700</v>
      </c>
    </row>
    <row r="1787" spans="1:18" x14ac:dyDescent="0.25">
      <c r="A1787" s="52" t="s">
        <v>1119</v>
      </c>
      <c r="B1787" s="53"/>
      <c r="C1787" s="54">
        <v>0</v>
      </c>
      <c r="D1787" s="54">
        <f>C1787*1.038</f>
        <v>0</v>
      </c>
      <c r="E1787" s="43">
        <v>0</v>
      </c>
      <c r="F1787" s="54">
        <v>0</v>
      </c>
      <c r="G1787" s="54">
        <v>0</v>
      </c>
      <c r="H1787" s="54">
        <v>0</v>
      </c>
      <c r="I1787" s="54">
        <v>0</v>
      </c>
      <c r="J1787" s="54">
        <v>0</v>
      </c>
      <c r="K1787" s="54">
        <v>0</v>
      </c>
      <c r="L1787" s="54">
        <v>0</v>
      </c>
      <c r="M1787" s="54">
        <v>0</v>
      </c>
      <c r="N1787" s="54">
        <v>0</v>
      </c>
      <c r="O1787" s="54">
        <v>0</v>
      </c>
      <c r="P1787" s="54">
        <v>0</v>
      </c>
      <c r="Q1787" s="54">
        <f>P1787*1.042</f>
        <v>0</v>
      </c>
      <c r="R1787" s="54">
        <f>Q1787*1.042</f>
        <v>0</v>
      </c>
    </row>
    <row r="1788" spans="1:18" x14ac:dyDescent="0.25">
      <c r="A1788" s="52" t="s">
        <v>226</v>
      </c>
      <c r="B1788" s="53"/>
      <c r="C1788" s="54">
        <v>3743</v>
      </c>
      <c r="D1788" s="54">
        <v>2813</v>
      </c>
      <c r="E1788" s="43">
        <v>2416</v>
      </c>
      <c r="F1788" s="54">
        <v>2779</v>
      </c>
      <c r="G1788" s="50">
        <v>3049</v>
      </c>
      <c r="H1788" s="54">
        <v>6000</v>
      </c>
      <c r="I1788" s="54">
        <f t="shared" ref="I1788:I1791" si="1044">H1788*1.023</f>
        <v>6137.9999999999991</v>
      </c>
      <c r="J1788" s="54">
        <f t="shared" ref="J1788:K1791" si="1045">I1788*1.024</f>
        <v>6285.311999999999</v>
      </c>
      <c r="K1788" s="54">
        <f t="shared" si="1045"/>
        <v>6436.1594879999993</v>
      </c>
      <c r="L1788" s="54">
        <f t="shared" ref="L1788:L1791" si="1046">K1788*1.023</f>
        <v>6584.1911562239984</v>
      </c>
      <c r="M1788" s="54">
        <f t="shared" ref="M1788:M1791" si="1047">L1788*1.022</f>
        <v>6729.0433616609262</v>
      </c>
      <c r="N1788" s="54">
        <f t="shared" ref="N1788:N1791" si="1048">M1788*1.023</f>
        <v>6883.8113589791265</v>
      </c>
      <c r="O1788" s="54">
        <f t="shared" ref="O1788:P1791" si="1049">N1788*1.025</f>
        <v>7055.9066429536042</v>
      </c>
      <c r="P1788" s="54">
        <f t="shared" si="1049"/>
        <v>7232.3043090274441</v>
      </c>
      <c r="Q1788" s="54">
        <f t="shared" ref="Q1788:R1791" si="1050">P1788*1.024</f>
        <v>7405.8796124441033</v>
      </c>
      <c r="R1788" s="54">
        <f t="shared" si="1050"/>
        <v>7583.6207231427616</v>
      </c>
    </row>
    <row r="1789" spans="1:18" x14ac:dyDescent="0.25">
      <c r="A1789" s="52" t="s">
        <v>1120</v>
      </c>
      <c r="B1789" s="53"/>
      <c r="C1789" s="54">
        <v>27200</v>
      </c>
      <c r="D1789" s="54">
        <v>27100</v>
      </c>
      <c r="E1789" s="43">
        <v>28500</v>
      </c>
      <c r="F1789" s="54">
        <v>59962</v>
      </c>
      <c r="G1789" s="50">
        <v>44000</v>
      </c>
      <c r="H1789" s="50">
        <v>45000</v>
      </c>
      <c r="I1789" s="54">
        <f t="shared" si="1044"/>
        <v>46034.999999999993</v>
      </c>
      <c r="J1789" s="54">
        <f t="shared" si="1045"/>
        <v>47139.839999999997</v>
      </c>
      <c r="K1789" s="54">
        <f t="shared" si="1045"/>
        <v>48271.19616</v>
      </c>
      <c r="L1789" s="54">
        <f t="shared" si="1046"/>
        <v>49381.433671679995</v>
      </c>
      <c r="M1789" s="54">
        <f t="shared" si="1047"/>
        <v>50467.825212456955</v>
      </c>
      <c r="N1789" s="54">
        <f t="shared" si="1048"/>
        <v>51628.58519234346</v>
      </c>
      <c r="O1789" s="54">
        <f t="shared" si="1049"/>
        <v>52919.299822152039</v>
      </c>
      <c r="P1789" s="54">
        <f t="shared" si="1049"/>
        <v>54242.282317705838</v>
      </c>
      <c r="Q1789" s="54">
        <f t="shared" si="1050"/>
        <v>55544.097093330776</v>
      </c>
      <c r="R1789" s="54">
        <f t="shared" si="1050"/>
        <v>56877.155423570715</v>
      </c>
    </row>
    <row r="1790" spans="1:18" x14ac:dyDescent="0.25">
      <c r="A1790" s="52" t="s">
        <v>1121</v>
      </c>
      <c r="B1790" s="53"/>
      <c r="C1790" s="54">
        <v>46345</v>
      </c>
      <c r="D1790" s="50">
        <v>46366</v>
      </c>
      <c r="E1790" s="43">
        <v>47424</v>
      </c>
      <c r="F1790" s="50">
        <v>53603</v>
      </c>
      <c r="G1790" s="50">
        <v>47376</v>
      </c>
      <c r="H1790" s="50">
        <v>53800</v>
      </c>
      <c r="I1790" s="50">
        <v>61690</v>
      </c>
      <c r="J1790" s="54">
        <f t="shared" si="1045"/>
        <v>63170.560000000005</v>
      </c>
      <c r="K1790" s="54">
        <f t="shared" si="1045"/>
        <v>64686.653440000009</v>
      </c>
      <c r="L1790" s="54">
        <f t="shared" si="1046"/>
        <v>66174.446469119997</v>
      </c>
      <c r="M1790" s="54">
        <f t="shared" si="1047"/>
        <v>67630.284291440636</v>
      </c>
      <c r="N1790" s="54">
        <f t="shared" si="1048"/>
        <v>69185.780830143762</v>
      </c>
      <c r="O1790" s="54">
        <f t="shared" si="1049"/>
        <v>70915.425350897349</v>
      </c>
      <c r="P1790" s="54">
        <f t="shared" si="1049"/>
        <v>72688.310984669777</v>
      </c>
      <c r="Q1790" s="54">
        <f t="shared" si="1050"/>
        <v>74432.830448301858</v>
      </c>
      <c r="R1790" s="54">
        <f t="shared" si="1050"/>
        <v>76219.218379061102</v>
      </c>
    </row>
    <row r="1791" spans="1:18" x14ac:dyDescent="0.25">
      <c r="A1791" s="52" t="s">
        <v>1122</v>
      </c>
      <c r="B1791" s="53"/>
      <c r="C1791" s="54">
        <v>0</v>
      </c>
      <c r="D1791" s="50">
        <v>0</v>
      </c>
      <c r="E1791" s="43">
        <v>0</v>
      </c>
      <c r="F1791" s="50">
        <v>0</v>
      </c>
      <c r="G1791" s="50">
        <v>0</v>
      </c>
      <c r="H1791" s="50">
        <v>8000</v>
      </c>
      <c r="I1791" s="54">
        <f t="shared" si="1044"/>
        <v>8183.9999999999991</v>
      </c>
      <c r="J1791" s="54">
        <f t="shared" si="1045"/>
        <v>8380.4159999999993</v>
      </c>
      <c r="K1791" s="54">
        <f t="shared" si="1045"/>
        <v>8581.5459840000003</v>
      </c>
      <c r="L1791" s="54">
        <f t="shared" si="1046"/>
        <v>8778.9215416320003</v>
      </c>
      <c r="M1791" s="54">
        <f t="shared" si="1047"/>
        <v>8972.0578155479052</v>
      </c>
      <c r="N1791" s="54">
        <f t="shared" si="1048"/>
        <v>9178.4151453055056</v>
      </c>
      <c r="O1791" s="54">
        <f t="shared" si="1049"/>
        <v>9407.8755239381426</v>
      </c>
      <c r="P1791" s="54">
        <f t="shared" si="1049"/>
        <v>9643.0724120365958</v>
      </c>
      <c r="Q1791" s="54">
        <f t="shared" si="1050"/>
        <v>9874.5061499254734</v>
      </c>
      <c r="R1791" s="54">
        <f t="shared" si="1050"/>
        <v>10111.494297523685</v>
      </c>
    </row>
    <row r="1792" spans="1:18" x14ac:dyDescent="0.25">
      <c r="A1792" s="52" t="s">
        <v>1090</v>
      </c>
      <c r="B1792" s="53"/>
      <c r="C1792" s="54">
        <v>30000</v>
      </c>
      <c r="D1792" s="50"/>
      <c r="E1792" s="43">
        <v>0</v>
      </c>
      <c r="F1792" s="50"/>
      <c r="G1792" s="50">
        <v>0</v>
      </c>
      <c r="H1792" s="50"/>
      <c r="I1792" s="50"/>
      <c r="J1792" s="50"/>
      <c r="K1792" s="50"/>
      <c r="L1792" s="50"/>
      <c r="M1792" s="50"/>
      <c r="N1792" s="50"/>
      <c r="O1792" s="50"/>
      <c r="P1792" s="50"/>
      <c r="Q1792" s="50"/>
      <c r="R1792" s="50"/>
    </row>
    <row r="1793" spans="1:18" x14ac:dyDescent="0.25">
      <c r="A1793" s="52" t="s">
        <v>1123</v>
      </c>
      <c r="B1793" s="53"/>
      <c r="C1793" s="52"/>
      <c r="D1793" s="50">
        <v>56310</v>
      </c>
      <c r="E1793" s="43">
        <v>4470</v>
      </c>
      <c r="F1793" s="50">
        <v>5000</v>
      </c>
      <c r="G1793" s="50">
        <v>32699</v>
      </c>
      <c r="H1793" s="54">
        <v>7000</v>
      </c>
      <c r="I1793" s="54">
        <v>42000</v>
      </c>
      <c r="J1793" s="54">
        <v>10000</v>
      </c>
      <c r="K1793" s="54">
        <v>10000</v>
      </c>
      <c r="L1793" s="54">
        <v>60000</v>
      </c>
      <c r="M1793" s="54">
        <v>10000</v>
      </c>
      <c r="N1793" s="54">
        <v>51000</v>
      </c>
      <c r="O1793" s="54">
        <v>11000</v>
      </c>
      <c r="P1793" s="54">
        <v>11000</v>
      </c>
      <c r="Q1793" s="54">
        <v>11000</v>
      </c>
      <c r="R1793" s="54">
        <v>11000</v>
      </c>
    </row>
    <row r="1794" spans="1:18" x14ac:dyDescent="0.25">
      <c r="A1794" s="52" t="s">
        <v>1124</v>
      </c>
      <c r="B1794" s="53"/>
      <c r="C1794" s="52"/>
      <c r="D1794" s="50"/>
      <c r="F1794" s="50"/>
      <c r="G1794" s="50">
        <v>0</v>
      </c>
      <c r="H1794" s="50"/>
      <c r="I1794" s="54">
        <v>0</v>
      </c>
      <c r="J1794" s="54">
        <f t="shared" ref="J1794" si="1051">I1794*1.021</f>
        <v>0</v>
      </c>
      <c r="K1794" s="54">
        <f t="shared" ref="K1794" si="1052">J1794*1.023</f>
        <v>0</v>
      </c>
      <c r="L1794" s="54">
        <f t="shared" ref="L1794" si="1053">K1794*1.024</f>
        <v>0</v>
      </c>
      <c r="M1794" s="54">
        <f t="shared" ref="M1794" si="1054">L1794*1.023</f>
        <v>0</v>
      </c>
      <c r="N1794" s="54">
        <f t="shared" ref="N1794" si="1055">M1794*1.021</f>
        <v>0</v>
      </c>
      <c r="O1794" s="54">
        <f t="shared" ref="O1794" si="1056">N1794*1.022</f>
        <v>0</v>
      </c>
      <c r="P1794" s="54">
        <f t="shared" ref="P1794:R1794" si="1057">O1794*1.025</f>
        <v>0</v>
      </c>
      <c r="Q1794" s="54">
        <f t="shared" si="1057"/>
        <v>0</v>
      </c>
      <c r="R1794" s="54">
        <f t="shared" si="1057"/>
        <v>0</v>
      </c>
    </row>
    <row r="1795" spans="1:18" x14ac:dyDescent="0.25">
      <c r="C1795" s="50"/>
      <c r="D1795" s="50"/>
      <c r="E1795" s="50"/>
      <c r="F1795" s="50"/>
      <c r="G1795" s="50"/>
      <c r="H1795" s="50"/>
      <c r="I1795" s="50"/>
      <c r="J1795" s="50"/>
      <c r="K1795" s="50"/>
      <c r="L1795" s="50"/>
      <c r="M1795" s="50"/>
      <c r="N1795" s="50"/>
      <c r="O1795" s="50"/>
      <c r="P1795" s="50"/>
      <c r="Q1795" s="50"/>
      <c r="R1795" s="50"/>
    </row>
    <row r="1796" spans="1:18" x14ac:dyDescent="0.25">
      <c r="A1796" s="41" t="s">
        <v>230</v>
      </c>
      <c r="B1796" s="44"/>
      <c r="C1796" s="51">
        <f t="shared" ref="C1796" si="1058">SUM(C1783:C1795)</f>
        <v>248591</v>
      </c>
      <c r="D1796" s="51">
        <f t="shared" ref="D1796:R1796" si="1059">SUM(D1783:D1795)</f>
        <v>273111</v>
      </c>
      <c r="E1796" s="51">
        <f t="shared" si="1059"/>
        <v>224826</v>
      </c>
      <c r="F1796" s="51">
        <f t="shared" si="1059"/>
        <v>271187</v>
      </c>
      <c r="G1796" s="51">
        <f t="shared" si="1059"/>
        <v>275679</v>
      </c>
      <c r="H1796" s="51">
        <f t="shared" si="1059"/>
        <v>286200</v>
      </c>
      <c r="I1796" s="51">
        <f t="shared" si="1059"/>
        <v>334422.5</v>
      </c>
      <c r="J1796" s="51">
        <f t="shared" si="1059"/>
        <v>309961.72750000004</v>
      </c>
      <c r="K1796" s="51">
        <f t="shared" si="1059"/>
        <v>318130.91097249999</v>
      </c>
      <c r="L1796" s="51">
        <f t="shared" si="1059"/>
        <v>376730.71388899244</v>
      </c>
      <c r="M1796" s="51">
        <f t="shared" si="1059"/>
        <v>335773.46489349147</v>
      </c>
      <c r="N1796" s="51">
        <f t="shared" si="1059"/>
        <v>385343.97106199677</v>
      </c>
      <c r="O1796" s="51">
        <f t="shared" si="1059"/>
        <v>354803.05530878046</v>
      </c>
      <c r="P1796" s="51">
        <f t="shared" si="1059"/>
        <v>365417.96946343285</v>
      </c>
      <c r="Q1796" s="51">
        <f t="shared" si="1059"/>
        <v>375592.59768186492</v>
      </c>
      <c r="R1796" s="51">
        <f t="shared" si="1059"/>
        <v>386180.31407388387</v>
      </c>
    </row>
    <row r="1797" spans="1:18" x14ac:dyDescent="0.25">
      <c r="C1797" s="50"/>
      <c r="D1797" s="50"/>
      <c r="E1797" s="50"/>
      <c r="F1797" s="50"/>
      <c r="G1797" s="50"/>
      <c r="H1797" s="50"/>
      <c r="I1797" s="50"/>
      <c r="J1797" s="50"/>
      <c r="K1797" s="50"/>
      <c r="L1797" s="50"/>
      <c r="M1797" s="50"/>
      <c r="N1797" s="50"/>
      <c r="O1797" s="50"/>
      <c r="P1797" s="50"/>
      <c r="Q1797" s="50"/>
      <c r="R1797" s="50"/>
    </row>
    <row r="1798" spans="1:18" x14ac:dyDescent="0.25">
      <c r="A1798" s="41" t="s">
        <v>251</v>
      </c>
      <c r="B1798" s="44"/>
      <c r="C1798" s="50"/>
      <c r="D1798" s="50"/>
      <c r="E1798" s="50"/>
      <c r="F1798" s="50"/>
      <c r="G1798" s="50"/>
      <c r="H1798" s="50"/>
      <c r="I1798" s="50"/>
      <c r="J1798" s="50"/>
      <c r="K1798" s="50"/>
      <c r="L1798" s="50"/>
      <c r="M1798" s="50"/>
      <c r="N1798" s="50"/>
      <c r="O1798" s="50"/>
      <c r="P1798" s="50"/>
      <c r="Q1798" s="50"/>
      <c r="R1798" s="50"/>
    </row>
    <row r="1799" spans="1:18" x14ac:dyDescent="0.25">
      <c r="A1799" s="41"/>
      <c r="B1799" s="44"/>
      <c r="C1799" s="50"/>
      <c r="D1799" s="50"/>
      <c r="E1799" s="50"/>
      <c r="F1799" s="50"/>
      <c r="G1799" s="50"/>
      <c r="H1799" s="50"/>
      <c r="I1799" s="50"/>
      <c r="J1799" s="50"/>
      <c r="K1799" s="50"/>
      <c r="L1799" s="50"/>
      <c r="M1799" s="50"/>
      <c r="N1799" s="50"/>
      <c r="O1799" s="50"/>
      <c r="P1799" s="50"/>
      <c r="Q1799" s="50"/>
      <c r="R1799" s="50"/>
    </row>
    <row r="1800" spans="1:18" x14ac:dyDescent="0.25">
      <c r="A1800" s="52" t="s">
        <v>1125</v>
      </c>
      <c r="B1800" s="53"/>
      <c r="C1800" s="50"/>
      <c r="D1800" s="50"/>
      <c r="E1800" s="50"/>
      <c r="F1800" s="50"/>
      <c r="G1800" s="50"/>
      <c r="H1800" s="50"/>
      <c r="I1800" s="50"/>
      <c r="J1800" s="50"/>
      <c r="K1800" s="50"/>
      <c r="L1800" s="50"/>
      <c r="M1800" s="50"/>
      <c r="N1800" s="50"/>
      <c r="O1800" s="50"/>
      <c r="P1800" s="50"/>
      <c r="Q1800" s="50"/>
      <c r="R1800" s="50"/>
    </row>
    <row r="1801" spans="1:18" x14ac:dyDescent="0.25">
      <c r="A1801" s="52" t="s">
        <v>1126</v>
      </c>
      <c r="B1801" s="53"/>
      <c r="C1801" s="50">
        <v>26498.09</v>
      </c>
      <c r="D1801" s="50">
        <v>104868</v>
      </c>
      <c r="E1801" s="50">
        <v>63549</v>
      </c>
      <c r="F1801" s="43">
        <v>86273</v>
      </c>
      <c r="G1801" s="50">
        <v>91205</v>
      </c>
      <c r="H1801" s="50">
        <v>134490</v>
      </c>
      <c r="I1801" s="50">
        <v>9468</v>
      </c>
      <c r="J1801" s="50">
        <v>114203</v>
      </c>
      <c r="K1801" s="50">
        <v>105342</v>
      </c>
      <c r="L1801" s="50">
        <v>92416</v>
      </c>
      <c r="M1801" s="50">
        <v>94500</v>
      </c>
      <c r="N1801" s="50">
        <v>136336</v>
      </c>
      <c r="O1801" s="50">
        <v>35578</v>
      </c>
      <c r="P1801" s="43">
        <v>125858</v>
      </c>
      <c r="Q1801" s="43">
        <v>130673</v>
      </c>
      <c r="R1801" s="43">
        <v>130673</v>
      </c>
    </row>
    <row r="1802" spans="1:18" x14ac:dyDescent="0.25">
      <c r="A1802" s="52" t="s">
        <v>1127</v>
      </c>
      <c r="B1802" s="53"/>
      <c r="C1802" s="50">
        <v>40809</v>
      </c>
      <c r="D1802" s="43">
        <v>0</v>
      </c>
      <c r="E1802">
        <v>15279</v>
      </c>
      <c r="F1802">
        <v>0</v>
      </c>
      <c r="G1802" s="43">
        <v>0</v>
      </c>
      <c r="H1802" s="43">
        <v>0</v>
      </c>
      <c r="I1802" s="43">
        <v>0</v>
      </c>
      <c r="J1802" s="43">
        <v>0</v>
      </c>
      <c r="K1802" s="43">
        <v>0</v>
      </c>
      <c r="L1802" s="43">
        <v>0</v>
      </c>
      <c r="M1802" s="43">
        <v>0</v>
      </c>
      <c r="N1802" s="43">
        <v>0</v>
      </c>
      <c r="O1802" s="43">
        <v>0</v>
      </c>
      <c r="P1802" s="43">
        <v>0</v>
      </c>
      <c r="Q1802" s="43">
        <v>0</v>
      </c>
      <c r="R1802" s="43">
        <v>0</v>
      </c>
    </row>
    <row r="1803" spans="1:18" x14ac:dyDescent="0.25">
      <c r="A1803" s="52" t="s">
        <v>1128</v>
      </c>
      <c r="B1803" s="53"/>
      <c r="C1803" s="50"/>
      <c r="D1803" s="50"/>
      <c r="E1803" s="50"/>
      <c r="F1803" s="50"/>
      <c r="G1803" s="50"/>
      <c r="H1803" s="50"/>
      <c r="I1803" s="50"/>
      <c r="J1803" s="50"/>
      <c r="K1803" s="50"/>
      <c r="L1803" s="50"/>
      <c r="M1803" s="50"/>
      <c r="N1803" s="50"/>
      <c r="O1803" s="50"/>
      <c r="P1803" s="50"/>
      <c r="Q1803" s="50"/>
      <c r="R1803" s="50"/>
    </row>
    <row r="1804" spans="1:18" x14ac:dyDescent="0.25">
      <c r="A1804" s="43" t="s">
        <v>1129</v>
      </c>
      <c r="C1804" s="67">
        <v>101681.33</v>
      </c>
      <c r="D1804" s="50">
        <v>88204</v>
      </c>
      <c r="E1804" s="50">
        <v>83539</v>
      </c>
      <c r="F1804" s="43">
        <v>74597</v>
      </c>
      <c r="G1804" s="50">
        <v>48109.36</v>
      </c>
      <c r="H1804" s="50">
        <v>111259.95699428571</v>
      </c>
      <c r="I1804" s="50">
        <v>140926.62366095238</v>
      </c>
      <c r="J1804" s="50">
        <v>139475.30366095237</v>
      </c>
      <c r="K1804" s="50">
        <v>136059.34366095238</v>
      </c>
      <c r="L1804" s="50">
        <v>131561.19238095239</v>
      </c>
      <c r="M1804" s="50">
        <v>91780.952380952367</v>
      </c>
      <c r="N1804" s="50">
        <v>105280.95238095237</v>
      </c>
      <c r="O1804" s="50">
        <v>76214.28571428571</v>
      </c>
      <c r="P1804" s="50">
        <v>106214.28571428571</v>
      </c>
      <c r="Q1804" s="50">
        <v>99381.28571428571</v>
      </c>
      <c r="R1804" s="50">
        <v>99381.28571428571</v>
      </c>
    </row>
    <row r="1805" spans="1:18" x14ac:dyDescent="0.25">
      <c r="A1805" s="52" t="s">
        <v>1130</v>
      </c>
      <c r="B1805" s="53"/>
      <c r="C1805" s="219">
        <v>14825</v>
      </c>
      <c r="D1805" s="219">
        <f>D459+D464+D467+D624+D627+D763+D989+D995</f>
        <v>15116</v>
      </c>
      <c r="E1805" s="219">
        <f>E459+E464+E467+E624+E627+E763+E989+E995</f>
        <v>16550</v>
      </c>
      <c r="F1805" s="220">
        <v>19449</v>
      </c>
      <c r="G1805" s="219">
        <v>18467</v>
      </c>
      <c r="H1805" s="219">
        <v>19910</v>
      </c>
      <c r="I1805" s="219">
        <v>20510</v>
      </c>
      <c r="J1805" s="219">
        <v>21000</v>
      </c>
      <c r="K1805" s="219">
        <v>21510</v>
      </c>
      <c r="L1805" s="219">
        <v>21990</v>
      </c>
      <c r="M1805" s="219">
        <v>22490</v>
      </c>
      <c r="N1805" s="219">
        <v>22990</v>
      </c>
      <c r="O1805" s="219">
        <v>23580</v>
      </c>
      <c r="P1805" s="219">
        <v>24170</v>
      </c>
      <c r="Q1805" s="219">
        <v>24750</v>
      </c>
      <c r="R1805" s="219">
        <v>24750</v>
      </c>
    </row>
    <row r="1806" spans="1:18" x14ac:dyDescent="0.25">
      <c r="A1806" s="52" t="s">
        <v>1131</v>
      </c>
      <c r="B1806" s="53"/>
      <c r="C1806" s="221">
        <v>118961</v>
      </c>
      <c r="D1806" s="221">
        <f t="shared" ref="D1806" si="1060">D2183</f>
        <v>107353</v>
      </c>
      <c r="E1806" s="221">
        <f>E2183</f>
        <v>87976</v>
      </c>
      <c r="F1806" s="222">
        <v>56695</v>
      </c>
      <c r="G1806" s="221">
        <v>53177</v>
      </c>
      <c r="H1806" s="221">
        <v>54040</v>
      </c>
      <c r="I1806" s="221">
        <v>55280</v>
      </c>
      <c r="J1806" s="221">
        <v>54225</v>
      </c>
      <c r="K1806" s="221">
        <v>55365</v>
      </c>
      <c r="L1806" s="221">
        <v>59300</v>
      </c>
      <c r="M1806" s="221">
        <v>60610</v>
      </c>
      <c r="N1806" s="221">
        <v>62000</v>
      </c>
      <c r="O1806" s="221">
        <v>63550</v>
      </c>
      <c r="P1806" s="221">
        <v>65140</v>
      </c>
      <c r="Q1806" s="221">
        <v>66700</v>
      </c>
      <c r="R1806" s="221">
        <v>66700</v>
      </c>
    </row>
    <row r="1807" spans="1:18" x14ac:dyDescent="0.25">
      <c r="A1807" s="52" t="s">
        <v>1132</v>
      </c>
      <c r="B1807" s="53"/>
      <c r="C1807" s="58">
        <v>78038</v>
      </c>
      <c r="D1807" s="98">
        <v>69424</v>
      </c>
      <c r="E1807" s="98">
        <v>83639</v>
      </c>
      <c r="F1807" s="98">
        <v>69292</v>
      </c>
      <c r="G1807" s="98">
        <v>67008</v>
      </c>
      <c r="H1807" s="98">
        <v>74700</v>
      </c>
      <c r="I1807" s="98">
        <v>78900</v>
      </c>
      <c r="J1807" s="98">
        <v>86900</v>
      </c>
      <c r="K1807" s="98">
        <v>89000</v>
      </c>
      <c r="L1807" s="98">
        <v>90800</v>
      </c>
      <c r="M1807" s="98">
        <v>95500</v>
      </c>
      <c r="N1807" s="98">
        <v>97000</v>
      </c>
      <c r="O1807" s="98">
        <v>97600</v>
      </c>
      <c r="P1807" s="98">
        <v>101300</v>
      </c>
      <c r="Q1807" s="98">
        <v>102600</v>
      </c>
      <c r="R1807" s="98">
        <v>102600</v>
      </c>
    </row>
    <row r="1808" spans="1:18" x14ac:dyDescent="0.25">
      <c r="A1808" s="52" t="s">
        <v>1133</v>
      </c>
      <c r="C1808" s="223">
        <v>138603</v>
      </c>
      <c r="D1808" s="223">
        <f>D606+D609+D617+D621+D733+D736+D743+D750+D761+D770+D997+D1579+D1581+D757</f>
        <v>183196</v>
      </c>
      <c r="E1808" s="223">
        <f>E606+E609+E617+E621+E733+E736+E743+E750+E761+E770+E997+E1579+E1581+E757</f>
        <v>202116</v>
      </c>
      <c r="F1808" s="115">
        <v>208163</v>
      </c>
      <c r="G1808" s="223">
        <v>220807</v>
      </c>
      <c r="H1808" s="223">
        <v>218360</v>
      </c>
      <c r="I1808" s="115">
        <v>223350</v>
      </c>
      <c r="J1808" s="115">
        <v>228740</v>
      </c>
      <c r="K1808" s="115">
        <v>234210</v>
      </c>
      <c r="L1808" s="115">
        <v>239670</v>
      </c>
      <c r="M1808" s="115">
        <v>244840</v>
      </c>
      <c r="N1808" s="115">
        <v>250480</v>
      </c>
      <c r="O1808" s="115">
        <v>256700</v>
      </c>
      <c r="P1808" s="115">
        <v>263150</v>
      </c>
      <c r="Q1808" s="115">
        <v>269470</v>
      </c>
      <c r="R1808" s="115">
        <v>269470</v>
      </c>
    </row>
    <row r="1809" spans="1:18" x14ac:dyDescent="0.25">
      <c r="A1809" s="52" t="s">
        <v>1134</v>
      </c>
      <c r="B1809" s="53"/>
      <c r="C1809" s="120">
        <v>315520</v>
      </c>
      <c r="D1809" s="100">
        <f>D460+D462+D465+D468+D605+D608+D616+D620+D625+D628+D732+D735+D751+D756+D758+D764+D769+D987+D990+D993+D996+D999+D1450+D1482+D1578+D2184</f>
        <v>325322</v>
      </c>
      <c r="E1809" s="100">
        <f>E460+E462+E465+E468+E605+E608+E616+E620+E625+E628+E732+E735+E751+E756+E758+E764+E769+E987+E990+E993+E996+E999+E1450+E1482+E1578+E2184</f>
        <v>327725</v>
      </c>
      <c r="F1809" s="100">
        <v>333300</v>
      </c>
      <c r="G1809" s="100">
        <v>339270</v>
      </c>
      <c r="H1809" s="100">
        <f>372760+1390</f>
        <v>374150</v>
      </c>
      <c r="I1809" s="100">
        <f>381350+1420</f>
        <v>382770</v>
      </c>
      <c r="J1809" s="100">
        <f>390500+1450</f>
        <v>391950</v>
      </c>
      <c r="K1809" s="100">
        <f>399870+1480</f>
        <v>401350</v>
      </c>
      <c r="L1809" s="100">
        <f>409070+1520</f>
        <v>410590</v>
      </c>
      <c r="M1809" s="100">
        <f>418060+1550</f>
        <v>419610</v>
      </c>
      <c r="N1809" s="100">
        <f>427690+1580</f>
        <v>429270</v>
      </c>
      <c r="O1809" s="100">
        <f>438370+1620</f>
        <v>439990</v>
      </c>
      <c r="P1809" s="100">
        <f>449340+1670</f>
        <v>451010</v>
      </c>
      <c r="Q1809" s="100">
        <f>460090+1670</f>
        <v>461760</v>
      </c>
      <c r="R1809" s="100">
        <f>460090+1670</f>
        <v>461760</v>
      </c>
    </row>
    <row r="1810" spans="1:18" x14ac:dyDescent="0.25">
      <c r="A1810" s="52" t="s">
        <v>1135</v>
      </c>
      <c r="B1810" s="53"/>
      <c r="C1810" s="224">
        <v>1117509</v>
      </c>
      <c r="D1810" s="224">
        <f>D1459</f>
        <v>1136688</v>
      </c>
      <c r="E1810" s="224">
        <f>E1459</f>
        <v>1359118</v>
      </c>
      <c r="F1810" s="224">
        <v>1365401</v>
      </c>
      <c r="G1810" s="224">
        <v>1374148</v>
      </c>
      <c r="H1810" s="224"/>
      <c r="I1810" s="224"/>
      <c r="J1810" s="224"/>
      <c r="K1810" s="224"/>
      <c r="L1810" s="224"/>
      <c r="M1810" s="224"/>
      <c r="N1810" s="224"/>
      <c r="O1810" s="224"/>
      <c r="P1810" s="224"/>
      <c r="Q1810" s="224"/>
      <c r="R1810" s="224"/>
    </row>
    <row r="1811" spans="1:18" x14ac:dyDescent="0.25">
      <c r="A1811" s="52" t="s">
        <v>916</v>
      </c>
      <c r="B1811" s="53"/>
      <c r="C1811" s="224"/>
      <c r="D1811" s="224"/>
      <c r="E1811" s="224"/>
      <c r="F1811" s="224"/>
      <c r="G1811" s="224"/>
      <c r="H1811" s="199">
        <v>938567</v>
      </c>
      <c r="I1811" s="199">
        <v>946359</v>
      </c>
      <c r="J1811" s="199">
        <v>954915</v>
      </c>
      <c r="K1811" s="199">
        <v>957495</v>
      </c>
      <c r="L1811" s="200">
        <v>963853</v>
      </c>
      <c r="M1811" s="201">
        <f t="shared" ref="M1811" si="1061">L1811*1.022</f>
        <v>985057.76600000006</v>
      </c>
      <c r="N1811" s="201">
        <f t="shared" ref="N1811" si="1062">M1811*1.023</f>
        <v>1007714.094618</v>
      </c>
      <c r="O1811" s="201">
        <f t="shared" ref="O1811:P1811" si="1063">N1811*1.025</f>
        <v>1032906.9469834499</v>
      </c>
      <c r="P1811" s="201">
        <f t="shared" si="1063"/>
        <v>1058729.6206580361</v>
      </c>
      <c r="Q1811" s="201">
        <f t="shared" ref="Q1811:R1811" si="1064">P1811*1.024</f>
        <v>1084139.1315538289</v>
      </c>
      <c r="R1811" s="201">
        <f t="shared" si="1064"/>
        <v>1110158.4707111209</v>
      </c>
    </row>
    <row r="1812" spans="1:18" x14ac:dyDescent="0.25">
      <c r="A1812" s="52" t="s">
        <v>917</v>
      </c>
      <c r="B1812" s="53"/>
      <c r="C1812" s="224"/>
      <c r="D1812" s="224"/>
      <c r="E1812" s="224"/>
      <c r="F1812" s="224"/>
      <c r="G1812" s="224"/>
      <c r="H1812" s="199">
        <v>31500</v>
      </c>
      <c r="I1812" s="199">
        <v>32200</v>
      </c>
      <c r="J1812" s="199">
        <v>33000</v>
      </c>
      <c r="K1812" s="199">
        <v>33800</v>
      </c>
      <c r="L1812" s="200">
        <v>34600</v>
      </c>
      <c r="M1812" s="201">
        <v>35400</v>
      </c>
      <c r="N1812" s="201">
        <v>36200</v>
      </c>
      <c r="O1812" s="201">
        <v>37100</v>
      </c>
      <c r="P1812" s="201">
        <v>38000</v>
      </c>
      <c r="Q1812" s="201">
        <v>38900</v>
      </c>
      <c r="R1812" s="201">
        <v>38900</v>
      </c>
    </row>
    <row r="1813" spans="1:18" x14ac:dyDescent="0.25">
      <c r="A1813" s="52" t="s">
        <v>918</v>
      </c>
      <c r="B1813" s="53"/>
      <c r="C1813" s="224"/>
      <c r="D1813" s="224"/>
      <c r="E1813" s="224"/>
      <c r="F1813" s="224"/>
      <c r="G1813" s="224"/>
      <c r="H1813" s="199">
        <v>273100</v>
      </c>
      <c r="I1813" s="199">
        <v>279400</v>
      </c>
      <c r="J1813" s="199">
        <v>286100</v>
      </c>
      <c r="K1813" s="199">
        <v>293000</v>
      </c>
      <c r="L1813" s="199">
        <v>299700</v>
      </c>
      <c r="M1813" s="199">
        <v>306300</v>
      </c>
      <c r="N1813" s="199">
        <v>313300</v>
      </c>
      <c r="O1813" s="199">
        <v>321100</v>
      </c>
      <c r="P1813" s="199">
        <v>329100</v>
      </c>
      <c r="Q1813" s="199">
        <v>337000</v>
      </c>
      <c r="R1813" s="199">
        <v>337000</v>
      </c>
    </row>
    <row r="1814" spans="1:18" x14ac:dyDescent="0.25">
      <c r="A1814" s="52" t="s">
        <v>919</v>
      </c>
      <c r="B1814" s="53"/>
      <c r="C1814" s="224"/>
      <c r="D1814" s="224"/>
      <c r="E1814" s="224"/>
      <c r="F1814" s="224"/>
      <c r="G1814" s="224"/>
      <c r="H1814" s="199">
        <v>124200</v>
      </c>
      <c r="I1814" s="199">
        <v>127100</v>
      </c>
      <c r="J1814" s="199">
        <v>130200</v>
      </c>
      <c r="K1814" s="199">
        <v>133300</v>
      </c>
      <c r="L1814" s="199">
        <v>136400</v>
      </c>
      <c r="M1814" s="199">
        <v>139400</v>
      </c>
      <c r="N1814" s="199">
        <v>142600</v>
      </c>
      <c r="O1814" s="199">
        <v>146200</v>
      </c>
      <c r="P1814" s="199">
        <v>149900</v>
      </c>
      <c r="Q1814" s="199">
        <v>153500</v>
      </c>
      <c r="R1814" s="199">
        <v>153500</v>
      </c>
    </row>
    <row r="1815" spans="1:18" x14ac:dyDescent="0.25">
      <c r="A1815" s="52" t="s">
        <v>1136</v>
      </c>
      <c r="B1815" s="53"/>
      <c r="C1815" s="224">
        <v>10985</v>
      </c>
      <c r="D1815" s="224">
        <f>D1573</f>
        <v>11046</v>
      </c>
      <c r="E1815" s="224">
        <f>E1573</f>
        <v>9655</v>
      </c>
      <c r="F1815" s="224">
        <v>9945</v>
      </c>
      <c r="G1815" s="224">
        <v>9945</v>
      </c>
      <c r="H1815" s="224">
        <v>10200</v>
      </c>
      <c r="I1815" s="224">
        <v>10400</v>
      </c>
      <c r="J1815" s="224">
        <v>10700</v>
      </c>
      <c r="K1815" s="224">
        <v>10900</v>
      </c>
      <c r="L1815" s="224">
        <v>11200</v>
      </c>
      <c r="M1815" s="224">
        <v>11400</v>
      </c>
      <c r="N1815" s="224">
        <v>11700</v>
      </c>
      <c r="O1815" s="224">
        <v>12000</v>
      </c>
      <c r="P1815" s="224">
        <v>12300</v>
      </c>
      <c r="Q1815" s="224">
        <v>12600</v>
      </c>
      <c r="R1815" s="224">
        <v>12600</v>
      </c>
    </row>
    <row r="1816" spans="1:18" x14ac:dyDescent="0.25">
      <c r="A1816" s="52" t="s">
        <v>1137</v>
      </c>
      <c r="B1816" s="53"/>
      <c r="C1816" s="225">
        <v>77312</v>
      </c>
      <c r="D1816" s="226">
        <f>D1273</f>
        <v>78879</v>
      </c>
      <c r="E1816" s="226">
        <f>E1273</f>
        <v>111853</v>
      </c>
      <c r="F1816" s="226">
        <v>112181</v>
      </c>
      <c r="G1816" s="226">
        <v>112661</v>
      </c>
      <c r="H1816" s="226">
        <v>114900</v>
      </c>
      <c r="I1816" s="226">
        <v>117600</v>
      </c>
      <c r="J1816" s="226">
        <v>120400</v>
      </c>
      <c r="K1816" s="226">
        <v>123300</v>
      </c>
      <c r="L1816" s="226">
        <v>126100</v>
      </c>
      <c r="M1816" s="226">
        <v>128900</v>
      </c>
      <c r="N1816" s="226">
        <v>131900</v>
      </c>
      <c r="O1816" s="226">
        <v>135200</v>
      </c>
      <c r="P1816" s="226">
        <v>138500</v>
      </c>
      <c r="Q1816" s="226">
        <v>141900</v>
      </c>
      <c r="R1816" s="226">
        <v>141900</v>
      </c>
    </row>
    <row r="1817" spans="1:18" x14ac:dyDescent="0.25">
      <c r="A1817" s="52" t="s">
        <v>1138</v>
      </c>
      <c r="B1817" s="53"/>
      <c r="C1817" s="50"/>
      <c r="D1817" s="98"/>
      <c r="E1817" s="98"/>
      <c r="F1817" s="98"/>
      <c r="G1817" s="98"/>
      <c r="H1817" s="57"/>
      <c r="I1817" s="57"/>
      <c r="J1817" s="57"/>
      <c r="K1817" s="57"/>
      <c r="L1817" s="57"/>
      <c r="M1817" s="57"/>
      <c r="N1817" s="57"/>
      <c r="O1817" s="57"/>
      <c r="P1817" s="57"/>
      <c r="Q1817" s="57"/>
      <c r="R1817" s="57"/>
    </row>
    <row r="1818" spans="1:18" x14ac:dyDescent="0.25">
      <c r="A1818" s="43" t="s">
        <v>1139</v>
      </c>
      <c r="C1818" s="67">
        <v>390025</v>
      </c>
      <c r="D1818" s="43">
        <v>400947</v>
      </c>
      <c r="E1818" s="43">
        <v>518042</v>
      </c>
      <c r="F1818" s="43">
        <v>498955</v>
      </c>
      <c r="G1818" s="43">
        <v>440179</v>
      </c>
      <c r="H1818" s="43">
        <v>1045700</v>
      </c>
      <c r="I1818" s="43">
        <v>648300</v>
      </c>
      <c r="J1818" s="43">
        <v>577000</v>
      </c>
      <c r="K1818" s="50">
        <v>576200</v>
      </c>
      <c r="L1818" s="54">
        <f>K1818*1.033</f>
        <v>595214.6</v>
      </c>
      <c r="M1818" s="54">
        <f>L1818*1.032</f>
        <v>614261.46719999996</v>
      </c>
      <c r="N1818" s="54">
        <f>M1818*1.03</f>
        <v>632689.311216</v>
      </c>
      <c r="O1818" s="54">
        <f>N1818*1.032</f>
        <v>652935.36917491199</v>
      </c>
      <c r="P1818" s="54">
        <f>O1818*1.034</f>
        <v>675135.17172685906</v>
      </c>
      <c r="Q1818" s="54">
        <f>P1818*1.034</f>
        <v>698089.76756557229</v>
      </c>
      <c r="R1818" s="54">
        <f>Q1818*1.034</f>
        <v>721824.8196628018</v>
      </c>
    </row>
    <row r="1819" spans="1:18" x14ac:dyDescent="0.25">
      <c r="A1819" s="43" t="s">
        <v>1140</v>
      </c>
      <c r="C1819" s="67">
        <v>0</v>
      </c>
      <c r="D1819" s="67">
        <v>0</v>
      </c>
      <c r="E1819" s="67">
        <v>50332</v>
      </c>
      <c r="F1819" s="67">
        <v>0</v>
      </c>
      <c r="G1819" s="67">
        <v>0</v>
      </c>
      <c r="H1819" s="67">
        <v>143000</v>
      </c>
      <c r="I1819" s="67">
        <v>106000</v>
      </c>
      <c r="J1819" s="67">
        <v>42000</v>
      </c>
      <c r="K1819" s="67">
        <v>19000</v>
      </c>
      <c r="L1819" s="67">
        <v>39800</v>
      </c>
      <c r="M1819" s="67">
        <v>95500</v>
      </c>
      <c r="N1819" s="67">
        <v>101000</v>
      </c>
      <c r="O1819" s="67">
        <v>42000</v>
      </c>
      <c r="P1819" s="67">
        <v>106000</v>
      </c>
      <c r="Q1819" s="67">
        <v>18000</v>
      </c>
      <c r="R1819" s="67">
        <v>18000</v>
      </c>
    </row>
    <row r="1820" spans="1:18" x14ac:dyDescent="0.25">
      <c r="A1820" s="43" t="s">
        <v>1141</v>
      </c>
      <c r="C1820" s="50">
        <v>0</v>
      </c>
      <c r="D1820" s="50">
        <v>0</v>
      </c>
      <c r="E1820" s="50">
        <v>0</v>
      </c>
      <c r="F1820" s="50">
        <v>0</v>
      </c>
      <c r="G1820" s="50">
        <v>0</v>
      </c>
      <c r="H1820" s="50">
        <v>0</v>
      </c>
      <c r="I1820" s="50">
        <v>0</v>
      </c>
      <c r="J1820" s="50">
        <v>0</v>
      </c>
      <c r="K1820" s="50">
        <v>0</v>
      </c>
      <c r="L1820" s="50">
        <v>0</v>
      </c>
      <c r="M1820" s="50">
        <v>0</v>
      </c>
      <c r="N1820" s="50">
        <v>0</v>
      </c>
      <c r="O1820" s="50">
        <v>0</v>
      </c>
      <c r="P1820" s="50">
        <v>0</v>
      </c>
      <c r="Q1820" s="50">
        <v>0</v>
      </c>
      <c r="R1820" s="50">
        <v>0</v>
      </c>
    </row>
    <row r="1821" spans="1:18" x14ac:dyDescent="0.25">
      <c r="A1821" s="52" t="s">
        <v>1142</v>
      </c>
      <c r="C1821" s="52">
        <v>0</v>
      </c>
      <c r="D1821" s="50">
        <v>0</v>
      </c>
      <c r="E1821" s="50">
        <v>0</v>
      </c>
      <c r="F1821" s="50">
        <v>0</v>
      </c>
      <c r="G1821" s="50">
        <v>0</v>
      </c>
      <c r="H1821" s="50">
        <v>0</v>
      </c>
      <c r="I1821" s="50">
        <v>0</v>
      </c>
      <c r="J1821" s="50">
        <v>0</v>
      </c>
      <c r="K1821" s="50">
        <v>0</v>
      </c>
      <c r="L1821" s="50">
        <v>0</v>
      </c>
      <c r="M1821" s="50">
        <v>0</v>
      </c>
      <c r="N1821" s="50">
        <v>0</v>
      </c>
      <c r="O1821" s="50">
        <v>0</v>
      </c>
      <c r="P1821" s="50">
        <v>0</v>
      </c>
      <c r="Q1821" s="50">
        <v>0</v>
      </c>
      <c r="R1821" s="50">
        <v>0</v>
      </c>
    </row>
    <row r="1822" spans="1:18" x14ac:dyDescent="0.25">
      <c r="A1822" s="43" t="s">
        <v>1070</v>
      </c>
      <c r="C1822" s="52">
        <v>0</v>
      </c>
      <c r="D1822" s="50">
        <v>0</v>
      </c>
      <c r="E1822" s="50">
        <v>0</v>
      </c>
      <c r="F1822" s="50">
        <v>0</v>
      </c>
      <c r="G1822" s="50">
        <v>0</v>
      </c>
      <c r="H1822" s="50">
        <v>0</v>
      </c>
      <c r="I1822" s="50">
        <v>0</v>
      </c>
      <c r="J1822" s="54">
        <v>91500</v>
      </c>
      <c r="K1822" s="50">
        <v>0</v>
      </c>
      <c r="L1822" s="50">
        <v>0</v>
      </c>
      <c r="M1822" s="50">
        <v>0</v>
      </c>
      <c r="N1822" s="50">
        <v>100000</v>
      </c>
      <c r="O1822" s="50">
        <v>0</v>
      </c>
      <c r="P1822" s="50">
        <v>0</v>
      </c>
      <c r="Q1822" s="50">
        <v>0</v>
      </c>
      <c r="R1822" s="50">
        <v>0</v>
      </c>
    </row>
    <row r="1823" spans="1:18" x14ac:dyDescent="0.25">
      <c r="A1823" s="43" t="s">
        <v>1143</v>
      </c>
      <c r="C1823" s="59">
        <v>128870</v>
      </c>
      <c r="D1823" s="50">
        <v>37164</v>
      </c>
      <c r="E1823" s="50">
        <v>3057</v>
      </c>
      <c r="F1823" s="50">
        <v>66152</v>
      </c>
      <c r="G1823" s="50">
        <v>0</v>
      </c>
      <c r="H1823" s="50">
        <v>0</v>
      </c>
      <c r="I1823" s="54">
        <v>0</v>
      </c>
      <c r="J1823" s="50">
        <v>82835.959999999963</v>
      </c>
      <c r="K1823" s="50">
        <v>104090.87475999992</v>
      </c>
      <c r="L1823" s="54">
        <f>K1823*1.033</f>
        <v>107525.87362707991</v>
      </c>
      <c r="M1823" s="54">
        <f>L1823*1.032</f>
        <v>110966.70158314647</v>
      </c>
      <c r="N1823" s="54">
        <f>M1823*1.03</f>
        <v>114295.70263064087</v>
      </c>
      <c r="O1823" s="54">
        <f>N1823*1.032</f>
        <v>117953.16511482137</v>
      </c>
      <c r="P1823" s="54">
        <f>O1823*1.034</f>
        <v>121963.5727287253</v>
      </c>
      <c r="Q1823" s="54">
        <f>P1823*1.034</f>
        <v>126110.33420150196</v>
      </c>
      <c r="R1823" s="54">
        <f>Q1823*1.034</f>
        <v>130398.08556435302</v>
      </c>
    </row>
    <row r="1824" spans="1:18" x14ac:dyDescent="0.25">
      <c r="A1824" s="43" t="s">
        <v>1144</v>
      </c>
      <c r="C1824" s="50">
        <v>0</v>
      </c>
      <c r="D1824" s="50">
        <v>0</v>
      </c>
      <c r="E1824" s="50">
        <v>0</v>
      </c>
      <c r="F1824" s="50">
        <v>0</v>
      </c>
      <c r="G1824" s="50">
        <v>0</v>
      </c>
      <c r="H1824" s="50">
        <v>0</v>
      </c>
      <c r="I1824" s="50">
        <v>0</v>
      </c>
      <c r="J1824" s="50">
        <v>0</v>
      </c>
      <c r="K1824" s="50">
        <v>0</v>
      </c>
      <c r="L1824" s="50">
        <v>0</v>
      </c>
      <c r="M1824" s="50">
        <v>0</v>
      </c>
      <c r="N1824" s="50">
        <v>0</v>
      </c>
      <c r="O1824" s="50">
        <v>0</v>
      </c>
      <c r="P1824" s="50">
        <v>0</v>
      </c>
      <c r="Q1824" s="50">
        <v>0</v>
      </c>
      <c r="R1824" s="50">
        <v>0</v>
      </c>
    </row>
    <row r="1825" spans="1:18" x14ac:dyDescent="0.25">
      <c r="A1825" s="43" t="s">
        <v>1145</v>
      </c>
      <c r="C1825" s="52">
        <v>0</v>
      </c>
      <c r="D1825" s="50"/>
      <c r="E1825" s="50"/>
      <c r="F1825" s="50"/>
      <c r="G1825" s="50"/>
      <c r="H1825" s="50"/>
      <c r="I1825" s="50"/>
      <c r="J1825" s="50"/>
      <c r="K1825" s="50"/>
      <c r="L1825" s="50"/>
      <c r="M1825" s="50"/>
      <c r="N1825" s="50"/>
      <c r="O1825" s="50"/>
      <c r="P1825" s="50"/>
      <c r="Q1825" s="50"/>
      <c r="R1825" s="50"/>
    </row>
    <row r="1826" spans="1:18" x14ac:dyDescent="0.25">
      <c r="A1826" s="52" t="s">
        <v>1146</v>
      </c>
      <c r="C1826" s="52"/>
      <c r="D1826" s="50"/>
      <c r="E1826" s="50"/>
      <c r="F1826" s="50"/>
      <c r="G1826" s="50"/>
      <c r="H1826" s="50"/>
      <c r="I1826" s="50"/>
      <c r="J1826" s="50"/>
      <c r="K1826" s="50"/>
      <c r="L1826" s="50"/>
      <c r="M1826" s="50"/>
      <c r="N1826" s="50"/>
      <c r="O1826" s="50"/>
      <c r="P1826" s="50"/>
      <c r="Q1826" s="50"/>
      <c r="R1826" s="50"/>
    </row>
    <row r="1827" spans="1:18" x14ac:dyDescent="0.25">
      <c r="A1827" s="52" t="s">
        <v>901</v>
      </c>
      <c r="C1827" s="52"/>
      <c r="D1827" s="50">
        <v>50000</v>
      </c>
      <c r="E1827" s="50"/>
      <c r="F1827" s="50"/>
      <c r="G1827" s="50"/>
      <c r="H1827" s="50"/>
      <c r="I1827" s="50"/>
      <c r="J1827" s="50"/>
      <c r="K1827" s="50"/>
      <c r="L1827" s="50"/>
      <c r="M1827" s="50"/>
      <c r="N1827" s="50"/>
      <c r="O1827" s="50"/>
      <c r="P1827" s="50"/>
      <c r="Q1827" s="50"/>
      <c r="R1827" s="50"/>
    </row>
    <row r="1828" spans="1:18" x14ac:dyDescent="0.25">
      <c r="A1828" s="52" t="s">
        <v>1147</v>
      </c>
      <c r="B1828" s="53"/>
      <c r="C1828" s="50"/>
      <c r="D1828" s="50"/>
      <c r="E1828" s="50"/>
      <c r="F1828" s="50"/>
      <c r="G1828" s="50"/>
      <c r="H1828" s="50"/>
      <c r="I1828" s="50"/>
      <c r="J1828" s="50"/>
      <c r="K1828" s="50"/>
      <c r="L1828" s="50"/>
      <c r="M1828" s="50"/>
      <c r="N1828" s="50"/>
      <c r="O1828" s="50"/>
      <c r="P1828" s="50"/>
      <c r="Q1828" s="50"/>
      <c r="R1828" s="50"/>
    </row>
    <row r="1829" spans="1:18" x14ac:dyDescent="0.25">
      <c r="A1829" s="52" t="s">
        <v>1148</v>
      </c>
      <c r="B1829" s="53"/>
      <c r="C1829" s="50"/>
      <c r="D1829" s="50">
        <f t="shared" ref="D1829" si="1065">764000-319200</f>
        <v>444800</v>
      </c>
      <c r="E1829" s="50"/>
      <c r="F1829" s="50"/>
      <c r="G1829" s="50"/>
      <c r="H1829" s="50"/>
      <c r="I1829" s="50">
        <v>0</v>
      </c>
      <c r="J1829" s="50"/>
      <c r="K1829" s="50"/>
      <c r="L1829" s="50"/>
      <c r="M1829" s="50"/>
      <c r="N1829" s="50"/>
      <c r="O1829" s="50"/>
      <c r="P1829" s="50"/>
      <c r="Q1829" s="50"/>
      <c r="R1829" s="50"/>
    </row>
    <row r="1830" spans="1:18" s="43" customFormat="1" x14ac:dyDescent="0.25">
      <c r="A1830" s="59" t="s">
        <v>1149</v>
      </c>
      <c r="B1830" s="66"/>
      <c r="C1830" s="50">
        <v>0</v>
      </c>
      <c r="D1830" s="50">
        <v>0</v>
      </c>
      <c r="E1830" s="50">
        <v>0</v>
      </c>
      <c r="F1830" s="50">
        <v>0</v>
      </c>
      <c r="G1830" s="50">
        <v>0</v>
      </c>
      <c r="H1830" s="50">
        <v>0</v>
      </c>
      <c r="I1830" s="50">
        <v>0</v>
      </c>
      <c r="J1830" s="50">
        <v>0</v>
      </c>
      <c r="K1830" s="50">
        <v>0</v>
      </c>
      <c r="L1830" s="50">
        <v>0</v>
      </c>
      <c r="M1830" s="50">
        <v>0</v>
      </c>
      <c r="N1830" s="50">
        <v>0</v>
      </c>
      <c r="O1830" s="50">
        <v>0</v>
      </c>
      <c r="P1830" s="50">
        <v>0</v>
      </c>
      <c r="Q1830" s="50">
        <v>0</v>
      </c>
      <c r="R1830" s="50">
        <v>0</v>
      </c>
    </row>
    <row r="1831" spans="1:18" s="43" customFormat="1" x14ac:dyDescent="0.25">
      <c r="A1831" s="52" t="s">
        <v>1150</v>
      </c>
      <c r="B1831" s="53"/>
      <c r="C1831" s="50">
        <v>0</v>
      </c>
      <c r="D1831" s="50">
        <v>0</v>
      </c>
      <c r="E1831" s="50">
        <v>0</v>
      </c>
      <c r="F1831" s="50">
        <v>0</v>
      </c>
      <c r="G1831" s="50">
        <v>0</v>
      </c>
      <c r="H1831" s="50">
        <v>0</v>
      </c>
      <c r="I1831" s="50">
        <v>0</v>
      </c>
      <c r="J1831" s="50">
        <v>0</v>
      </c>
      <c r="K1831" s="50">
        <v>0</v>
      </c>
      <c r="L1831" s="50">
        <v>0</v>
      </c>
      <c r="M1831" s="50">
        <v>0</v>
      </c>
      <c r="N1831" s="50">
        <v>0</v>
      </c>
      <c r="O1831" s="50">
        <v>0</v>
      </c>
      <c r="P1831" s="50">
        <v>0</v>
      </c>
      <c r="Q1831" s="50">
        <v>0</v>
      </c>
      <c r="R1831" s="50">
        <v>0</v>
      </c>
    </row>
    <row r="1832" spans="1:18" s="43" customFormat="1" x14ac:dyDescent="0.25">
      <c r="A1832" s="52" t="s">
        <v>1151</v>
      </c>
      <c r="B1832" s="53"/>
      <c r="C1832" s="50">
        <v>0</v>
      </c>
      <c r="D1832" s="50">
        <v>0</v>
      </c>
      <c r="E1832" s="50">
        <v>0</v>
      </c>
      <c r="F1832" s="50">
        <v>0</v>
      </c>
      <c r="G1832" s="50">
        <v>0</v>
      </c>
      <c r="H1832" s="50">
        <v>0</v>
      </c>
      <c r="I1832" s="50">
        <v>0</v>
      </c>
      <c r="J1832" s="50">
        <v>0</v>
      </c>
      <c r="K1832" s="50">
        <v>0</v>
      </c>
      <c r="L1832" s="50">
        <v>0</v>
      </c>
      <c r="M1832" s="50">
        <v>0</v>
      </c>
      <c r="N1832" s="50">
        <v>0</v>
      </c>
      <c r="O1832" s="50">
        <v>0</v>
      </c>
      <c r="P1832" s="50">
        <v>0</v>
      </c>
      <c r="Q1832" s="50">
        <v>0</v>
      </c>
      <c r="R1832" s="50">
        <v>0</v>
      </c>
    </row>
    <row r="1833" spans="1:18" s="43" customFormat="1" x14ac:dyDescent="0.25">
      <c r="A1833" s="227" t="s">
        <v>1152</v>
      </c>
      <c r="B1833" s="42"/>
      <c r="C1833" s="50"/>
      <c r="D1833" s="50"/>
      <c r="E1833" s="50"/>
      <c r="F1833" s="50"/>
      <c r="G1833" s="50"/>
      <c r="H1833" s="50"/>
      <c r="I1833" s="50"/>
      <c r="J1833" s="50"/>
      <c r="K1833" s="50"/>
      <c r="L1833" s="50"/>
      <c r="M1833" s="50"/>
      <c r="N1833" s="50"/>
      <c r="O1833" s="50"/>
      <c r="P1833" s="50"/>
      <c r="Q1833" s="50"/>
      <c r="R1833" s="50"/>
    </row>
    <row r="1834" spans="1:18" s="43" customFormat="1" x14ac:dyDescent="0.25">
      <c r="A1834" s="52" t="s">
        <v>732</v>
      </c>
      <c r="B1834" s="42"/>
      <c r="C1834" s="50">
        <v>0</v>
      </c>
      <c r="D1834" s="50">
        <v>0</v>
      </c>
      <c r="E1834" s="50">
        <v>0</v>
      </c>
      <c r="F1834" s="50">
        <v>0</v>
      </c>
      <c r="G1834" s="50">
        <v>0</v>
      </c>
      <c r="H1834" s="50">
        <v>0</v>
      </c>
      <c r="I1834" s="50">
        <v>0</v>
      </c>
      <c r="J1834" s="50">
        <v>0</v>
      </c>
      <c r="K1834" s="50">
        <v>0</v>
      </c>
      <c r="L1834" s="50">
        <v>0</v>
      </c>
      <c r="M1834" s="50">
        <v>0</v>
      </c>
      <c r="N1834" s="50">
        <v>0</v>
      </c>
      <c r="O1834" s="50">
        <v>0</v>
      </c>
      <c r="P1834" s="50">
        <v>0</v>
      </c>
      <c r="Q1834" s="50">
        <v>0</v>
      </c>
      <c r="R1834" s="50">
        <v>0</v>
      </c>
    </row>
    <row r="1835" spans="1:18" s="43" customFormat="1" x14ac:dyDescent="0.25">
      <c r="A1835" s="59" t="s">
        <v>1153</v>
      </c>
      <c r="B1835" s="42"/>
      <c r="C1835" s="50">
        <v>0</v>
      </c>
      <c r="D1835" s="50">
        <v>0</v>
      </c>
      <c r="E1835" s="50">
        <v>0</v>
      </c>
      <c r="F1835" s="50">
        <v>0</v>
      </c>
      <c r="G1835" s="50">
        <v>0</v>
      </c>
      <c r="H1835" s="50">
        <v>0</v>
      </c>
      <c r="I1835" s="50">
        <v>0</v>
      </c>
      <c r="J1835" s="50">
        <v>0</v>
      </c>
      <c r="K1835" s="50">
        <v>0</v>
      </c>
      <c r="L1835" s="50">
        <v>0</v>
      </c>
      <c r="M1835" s="50">
        <v>0</v>
      </c>
      <c r="N1835" s="50">
        <v>0</v>
      </c>
      <c r="O1835" s="50">
        <v>0</v>
      </c>
      <c r="P1835" s="50">
        <v>0</v>
      </c>
      <c r="Q1835" s="50">
        <v>0</v>
      </c>
      <c r="R1835" s="50">
        <v>0</v>
      </c>
    </row>
    <row r="1836" spans="1:18" s="43" customFormat="1" x14ac:dyDescent="0.25">
      <c r="A1836" s="59" t="s">
        <v>1154</v>
      </c>
      <c r="B1836" s="42"/>
      <c r="C1836" s="50">
        <v>0</v>
      </c>
      <c r="D1836" s="50">
        <v>0</v>
      </c>
      <c r="E1836" s="50">
        <v>0</v>
      </c>
      <c r="F1836" s="50">
        <v>0</v>
      </c>
      <c r="G1836" s="50">
        <v>0</v>
      </c>
      <c r="H1836" s="50">
        <v>0</v>
      </c>
      <c r="I1836" s="50">
        <v>0</v>
      </c>
      <c r="J1836" s="50">
        <v>0</v>
      </c>
      <c r="K1836" s="50">
        <v>0</v>
      </c>
      <c r="L1836" s="50">
        <v>0</v>
      </c>
      <c r="M1836" s="50">
        <v>0</v>
      </c>
      <c r="N1836" s="50">
        <v>0</v>
      </c>
      <c r="O1836" s="50">
        <v>0</v>
      </c>
      <c r="P1836" s="50">
        <v>0</v>
      </c>
      <c r="Q1836" s="50">
        <v>0</v>
      </c>
      <c r="R1836" s="50">
        <v>0</v>
      </c>
    </row>
    <row r="1837" spans="1:18" s="43" customFormat="1" x14ac:dyDescent="0.25">
      <c r="A1837" s="59" t="s">
        <v>1155</v>
      </c>
      <c r="B1837" s="42"/>
      <c r="C1837" s="50">
        <v>0</v>
      </c>
      <c r="D1837" s="50">
        <v>0</v>
      </c>
      <c r="E1837" s="50">
        <v>0</v>
      </c>
      <c r="F1837" s="50">
        <v>0</v>
      </c>
      <c r="G1837" s="50">
        <v>0</v>
      </c>
      <c r="H1837" s="50">
        <v>0</v>
      </c>
      <c r="I1837" s="50">
        <v>0</v>
      </c>
      <c r="J1837" s="50">
        <v>0</v>
      </c>
      <c r="K1837" s="50">
        <v>0</v>
      </c>
      <c r="L1837" s="50">
        <v>0</v>
      </c>
      <c r="M1837" s="50">
        <v>0</v>
      </c>
      <c r="N1837" s="50">
        <v>0</v>
      </c>
      <c r="O1837" s="50">
        <v>0</v>
      </c>
      <c r="P1837" s="50">
        <v>0</v>
      </c>
      <c r="Q1837" s="50">
        <v>0</v>
      </c>
      <c r="R1837" s="50">
        <v>0</v>
      </c>
    </row>
    <row r="1838" spans="1:18" s="43" customFormat="1" x14ac:dyDescent="0.25">
      <c r="A1838" s="227" t="s">
        <v>1156</v>
      </c>
      <c r="B1838" s="42"/>
      <c r="C1838" s="50"/>
      <c r="D1838" s="50"/>
      <c r="E1838" s="50"/>
      <c r="F1838" s="50"/>
      <c r="G1838" s="50"/>
      <c r="H1838" s="50"/>
      <c r="I1838" s="50"/>
      <c r="J1838" s="50"/>
      <c r="K1838" s="50"/>
      <c r="L1838" s="50"/>
      <c r="M1838" s="50"/>
      <c r="N1838" s="50"/>
      <c r="O1838" s="50"/>
      <c r="P1838" s="50"/>
      <c r="Q1838" s="50"/>
      <c r="R1838" s="50"/>
    </row>
    <row r="1839" spans="1:18" s="43" customFormat="1" x14ac:dyDescent="0.25">
      <c r="A1839" s="52" t="s">
        <v>1157</v>
      </c>
      <c r="B1839" s="42"/>
      <c r="C1839" s="50"/>
      <c r="D1839" s="50"/>
      <c r="E1839" s="50"/>
      <c r="F1839" s="50"/>
      <c r="G1839" s="50"/>
      <c r="H1839" s="50"/>
      <c r="I1839" s="50"/>
      <c r="J1839" s="50"/>
      <c r="K1839" s="50"/>
      <c r="L1839" s="50"/>
      <c r="M1839" s="50"/>
      <c r="N1839" s="50"/>
      <c r="O1839" s="50"/>
      <c r="P1839" s="50"/>
      <c r="Q1839" s="50"/>
      <c r="R1839" s="50"/>
    </row>
    <row r="1840" spans="1:18" s="43" customFormat="1" x14ac:dyDescent="0.25">
      <c r="A1840" s="52" t="s">
        <v>1158</v>
      </c>
      <c r="B1840" s="42"/>
      <c r="C1840" s="50"/>
      <c r="D1840" s="50"/>
      <c r="E1840" s="50"/>
      <c r="F1840" s="50"/>
      <c r="G1840" s="50"/>
      <c r="H1840" s="50"/>
      <c r="I1840" s="50"/>
      <c r="J1840" s="50"/>
      <c r="K1840" s="50"/>
      <c r="L1840" s="50"/>
      <c r="M1840" s="50"/>
      <c r="N1840" s="50"/>
      <c r="O1840" s="50"/>
      <c r="P1840" s="50"/>
      <c r="Q1840" s="50"/>
      <c r="R1840" s="50"/>
    </row>
    <row r="1841" spans="1:18" s="43" customFormat="1" x14ac:dyDescent="0.25">
      <c r="A1841" s="52" t="s">
        <v>1159</v>
      </c>
      <c r="B1841" s="42"/>
      <c r="C1841" s="50">
        <v>0</v>
      </c>
      <c r="D1841" s="50">
        <v>0</v>
      </c>
      <c r="E1841" s="50">
        <v>0</v>
      </c>
      <c r="F1841" s="50">
        <v>0</v>
      </c>
      <c r="G1841" s="50">
        <v>0</v>
      </c>
      <c r="H1841" s="50">
        <v>0</v>
      </c>
      <c r="I1841" s="50">
        <v>0</v>
      </c>
      <c r="J1841" s="50">
        <v>0</v>
      </c>
      <c r="K1841" s="50">
        <v>0</v>
      </c>
      <c r="L1841" s="50">
        <v>0</v>
      </c>
      <c r="M1841" s="50">
        <v>0</v>
      </c>
      <c r="N1841" s="50">
        <v>0</v>
      </c>
      <c r="O1841" s="50">
        <v>0</v>
      </c>
      <c r="P1841" s="50">
        <v>0</v>
      </c>
      <c r="Q1841" s="50">
        <v>0</v>
      </c>
      <c r="R1841" s="50">
        <v>0</v>
      </c>
    </row>
    <row r="1842" spans="1:18" s="43" customFormat="1" x14ac:dyDescent="0.25">
      <c r="A1842" s="52" t="s">
        <v>1160</v>
      </c>
      <c r="B1842" s="42"/>
      <c r="C1842" s="50">
        <v>0</v>
      </c>
      <c r="D1842" s="50"/>
      <c r="E1842" s="50"/>
      <c r="F1842" s="50"/>
      <c r="G1842" s="50"/>
      <c r="H1842" s="50"/>
      <c r="I1842" s="50"/>
      <c r="J1842" s="50"/>
      <c r="K1842" s="50"/>
      <c r="L1842" s="50"/>
      <c r="M1842" s="50"/>
      <c r="N1842" s="50"/>
      <c r="O1842" s="50"/>
      <c r="P1842" s="50"/>
      <c r="Q1842" s="50"/>
      <c r="R1842" s="50"/>
    </row>
    <row r="1843" spans="1:18" s="43" customFormat="1" x14ac:dyDescent="0.25">
      <c r="A1843" s="52" t="s">
        <v>1161</v>
      </c>
      <c r="B1843" s="42"/>
      <c r="C1843" s="50">
        <v>0</v>
      </c>
      <c r="D1843" s="50"/>
      <c r="E1843" s="50"/>
      <c r="F1843" s="50"/>
      <c r="G1843" s="50"/>
      <c r="H1843" s="50"/>
      <c r="I1843" s="50"/>
      <c r="J1843" s="50"/>
      <c r="K1843" s="50"/>
      <c r="L1843" s="50"/>
      <c r="M1843" s="50"/>
      <c r="N1843" s="50"/>
      <c r="O1843" s="50"/>
      <c r="P1843" s="50"/>
      <c r="Q1843" s="50"/>
      <c r="R1843" s="50"/>
    </row>
    <row r="1844" spans="1:18" s="43" customFormat="1" x14ac:dyDescent="0.25">
      <c r="A1844" s="52" t="s">
        <v>1090</v>
      </c>
      <c r="B1844" s="42"/>
      <c r="C1844" s="50">
        <v>0</v>
      </c>
      <c r="D1844" s="50"/>
      <c r="E1844" s="50"/>
      <c r="F1844" s="50"/>
      <c r="G1844" s="50"/>
      <c r="H1844" s="50"/>
      <c r="I1844" s="50"/>
      <c r="J1844" s="50"/>
      <c r="K1844" s="50"/>
      <c r="L1844" s="50"/>
      <c r="M1844" s="50"/>
      <c r="N1844" s="50"/>
      <c r="O1844" s="50"/>
      <c r="P1844" s="50"/>
      <c r="Q1844" s="50"/>
      <c r="R1844" s="50"/>
    </row>
    <row r="1845" spans="1:18" s="43" customFormat="1" x14ac:dyDescent="0.25">
      <c r="A1845" s="228" t="s">
        <v>1162</v>
      </c>
      <c r="B1845" s="42"/>
      <c r="C1845" s="50"/>
      <c r="D1845" s="50"/>
      <c r="E1845" s="50"/>
      <c r="F1845" s="50"/>
      <c r="G1845" s="50"/>
      <c r="H1845" s="50"/>
      <c r="I1845" s="50"/>
      <c r="J1845" s="50"/>
      <c r="K1845" s="50"/>
      <c r="L1845" s="50"/>
      <c r="M1845" s="50"/>
      <c r="N1845" s="50"/>
      <c r="O1845" s="50"/>
      <c r="P1845" s="50"/>
      <c r="Q1845" s="50"/>
      <c r="R1845" s="50"/>
    </row>
    <row r="1846" spans="1:18" s="43" customFormat="1" x14ac:dyDescent="0.25">
      <c r="A1846" s="43" t="s">
        <v>462</v>
      </c>
      <c r="B1846" s="42"/>
      <c r="C1846" s="50"/>
      <c r="D1846" s="50">
        <v>0</v>
      </c>
      <c r="E1846" s="50">
        <v>0</v>
      </c>
      <c r="F1846" s="50">
        <v>0</v>
      </c>
      <c r="G1846" s="50">
        <v>0</v>
      </c>
      <c r="H1846" s="50">
        <v>0</v>
      </c>
      <c r="I1846" s="50">
        <v>0</v>
      </c>
      <c r="J1846" s="50">
        <v>0</v>
      </c>
      <c r="K1846" s="50">
        <v>0</v>
      </c>
      <c r="L1846" s="50">
        <v>0</v>
      </c>
      <c r="M1846" s="50">
        <v>0</v>
      </c>
      <c r="N1846" s="50">
        <v>0</v>
      </c>
      <c r="O1846" s="50">
        <v>0</v>
      </c>
      <c r="P1846" s="50">
        <v>0</v>
      </c>
      <c r="Q1846" s="50">
        <v>0</v>
      </c>
      <c r="R1846" s="50">
        <v>0</v>
      </c>
    </row>
    <row r="1847" spans="1:18" s="43" customFormat="1" x14ac:dyDescent="0.25">
      <c r="A1847" s="227" t="s">
        <v>1163</v>
      </c>
      <c r="B1847" s="42"/>
      <c r="C1847" s="50"/>
      <c r="D1847" s="50"/>
      <c r="E1847" s="50"/>
      <c r="F1847" s="50"/>
      <c r="G1847" s="50"/>
      <c r="H1847" s="50"/>
      <c r="I1847" s="50"/>
      <c r="J1847" s="50"/>
      <c r="K1847" s="50"/>
      <c r="L1847" s="50"/>
      <c r="M1847" s="50"/>
      <c r="N1847" s="50"/>
      <c r="O1847" s="50"/>
      <c r="P1847" s="50"/>
      <c r="Q1847" s="50"/>
      <c r="R1847" s="50"/>
    </row>
    <row r="1848" spans="1:18" s="43" customFormat="1" x14ac:dyDescent="0.25">
      <c r="A1848" s="52" t="s">
        <v>1164</v>
      </c>
      <c r="B1848" s="42"/>
      <c r="C1848" s="50"/>
      <c r="D1848" s="50"/>
      <c r="E1848" s="50"/>
      <c r="F1848" s="50"/>
      <c r="G1848" s="50"/>
      <c r="H1848" s="50"/>
      <c r="I1848" s="50"/>
      <c r="J1848" s="50"/>
      <c r="K1848" s="50"/>
      <c r="L1848" s="50"/>
      <c r="M1848" s="50"/>
      <c r="N1848" s="50"/>
      <c r="O1848" s="50"/>
      <c r="P1848" s="50"/>
      <c r="Q1848" s="50"/>
      <c r="R1848" s="50"/>
    </row>
    <row r="1849" spans="1:18" s="43" customFormat="1" x14ac:dyDescent="0.25">
      <c r="A1849" s="52" t="s">
        <v>1165</v>
      </c>
      <c r="B1849" s="42"/>
      <c r="C1849" s="52"/>
      <c r="D1849" s="50"/>
      <c r="E1849" s="50"/>
      <c r="F1849" s="50"/>
      <c r="G1849" s="50"/>
      <c r="H1849" s="50"/>
      <c r="I1849" s="50"/>
      <c r="J1849" s="50"/>
      <c r="K1849" s="50"/>
      <c r="L1849" s="50"/>
      <c r="M1849" s="50"/>
      <c r="N1849" s="50"/>
      <c r="O1849" s="50"/>
      <c r="P1849" s="50"/>
      <c r="Q1849" s="50"/>
      <c r="R1849" s="50"/>
    </row>
    <row r="1850" spans="1:18" s="43" customFormat="1" x14ac:dyDescent="0.25">
      <c r="A1850" s="52" t="s">
        <v>1166</v>
      </c>
      <c r="B1850" s="42"/>
      <c r="C1850" s="50"/>
      <c r="D1850" s="50"/>
      <c r="E1850" s="50"/>
      <c r="F1850" s="50"/>
      <c r="G1850" s="50"/>
      <c r="H1850" s="50"/>
      <c r="I1850" s="50"/>
      <c r="J1850" s="50"/>
      <c r="K1850" s="50"/>
      <c r="L1850" s="50"/>
      <c r="M1850" s="50"/>
      <c r="N1850" s="50"/>
      <c r="O1850" s="50"/>
      <c r="P1850" s="50"/>
      <c r="Q1850" s="50"/>
      <c r="R1850" s="50"/>
    </row>
    <row r="1851" spans="1:18" s="43" customFormat="1" x14ac:dyDescent="0.25">
      <c r="A1851" s="52" t="s">
        <v>1167</v>
      </c>
      <c r="B1851" s="42"/>
      <c r="C1851" s="50"/>
      <c r="D1851" s="50"/>
      <c r="E1851" s="50"/>
      <c r="F1851" s="50"/>
      <c r="G1851" s="50"/>
      <c r="H1851" s="50"/>
      <c r="I1851" s="50"/>
      <c r="J1851" s="50"/>
      <c r="K1851" s="50"/>
      <c r="L1851" s="50"/>
      <c r="M1851" s="50"/>
      <c r="N1851" s="50"/>
      <c r="O1851" s="50"/>
      <c r="P1851" s="50"/>
      <c r="Q1851" s="50"/>
      <c r="R1851" s="50"/>
    </row>
    <row r="1852" spans="1:18" s="43" customFormat="1" x14ac:dyDescent="0.25">
      <c r="A1852" s="43" t="s">
        <v>1168</v>
      </c>
      <c r="B1852" s="42"/>
      <c r="C1852" s="50"/>
      <c r="D1852" s="50"/>
      <c r="E1852" s="50"/>
      <c r="F1852" s="50"/>
      <c r="G1852" s="50"/>
      <c r="H1852" s="50"/>
      <c r="I1852" s="50"/>
      <c r="J1852" s="50"/>
      <c r="K1852" s="50"/>
      <c r="L1852" s="50"/>
      <c r="M1852" s="50"/>
      <c r="N1852" s="50"/>
      <c r="O1852" s="50"/>
      <c r="P1852" s="50"/>
      <c r="Q1852" s="50"/>
      <c r="R1852" s="50"/>
    </row>
    <row r="1853" spans="1:18" s="43" customFormat="1" x14ac:dyDescent="0.25">
      <c r="A1853" s="41" t="s">
        <v>1169</v>
      </c>
      <c r="B1853" s="42"/>
      <c r="C1853" s="50"/>
      <c r="D1853" s="50"/>
      <c r="E1853" s="50"/>
      <c r="F1853" s="50"/>
      <c r="G1853" s="50"/>
      <c r="H1853" s="50"/>
      <c r="I1853" s="50"/>
      <c r="J1853" s="50"/>
      <c r="K1853" s="50"/>
      <c r="L1853" s="50"/>
      <c r="M1853" s="50"/>
      <c r="N1853" s="50"/>
      <c r="O1853" s="50"/>
      <c r="P1853" s="50"/>
      <c r="Q1853" s="50"/>
      <c r="R1853" s="50"/>
    </row>
    <row r="1854" spans="1:18" s="43" customFormat="1" x14ac:dyDescent="0.25">
      <c r="A1854" s="52" t="s">
        <v>1170</v>
      </c>
      <c r="B1854" s="42"/>
      <c r="C1854" s="50"/>
      <c r="D1854" s="50"/>
      <c r="E1854" s="50"/>
      <c r="F1854" s="50"/>
      <c r="G1854" s="50"/>
      <c r="H1854" s="50"/>
      <c r="I1854" s="50"/>
      <c r="J1854" s="50"/>
      <c r="K1854" s="50"/>
      <c r="L1854" s="50"/>
      <c r="M1854" s="50"/>
      <c r="N1854" s="50"/>
      <c r="O1854" s="50"/>
      <c r="P1854" s="50"/>
      <c r="Q1854" s="50"/>
      <c r="R1854" s="50"/>
    </row>
    <row r="1855" spans="1:18" s="43" customFormat="1" x14ac:dyDescent="0.25">
      <c r="A1855" s="52" t="s">
        <v>822</v>
      </c>
      <c r="B1855" s="42"/>
      <c r="C1855" s="50"/>
      <c r="D1855" s="50"/>
      <c r="E1855" s="50"/>
      <c r="F1855" s="50"/>
      <c r="G1855" s="50"/>
      <c r="H1855" s="50"/>
      <c r="I1855" s="50"/>
      <c r="J1855" s="50"/>
      <c r="K1855" s="50"/>
      <c r="L1855" s="50"/>
      <c r="M1855" s="50"/>
      <c r="N1855" s="50"/>
      <c r="O1855" s="50"/>
      <c r="P1855" s="50"/>
      <c r="Q1855" s="50"/>
      <c r="R1855" s="50"/>
    </row>
    <row r="1856" spans="1:18" s="43" customFormat="1" x14ac:dyDescent="0.25">
      <c r="A1856" s="52" t="s">
        <v>1171</v>
      </c>
      <c r="B1856" s="42"/>
      <c r="C1856" s="50"/>
      <c r="D1856" s="50"/>
      <c r="E1856" s="50"/>
      <c r="F1856" s="50"/>
      <c r="G1856" s="50"/>
      <c r="H1856" s="50"/>
      <c r="I1856" s="50"/>
      <c r="J1856" s="50"/>
      <c r="K1856" s="50"/>
      <c r="L1856" s="50"/>
      <c r="M1856" s="50"/>
      <c r="N1856" s="50"/>
      <c r="O1856" s="50"/>
      <c r="P1856" s="50"/>
      <c r="Q1856" s="50"/>
      <c r="R1856" s="50"/>
    </row>
    <row r="1857" spans="1:18" s="43" customFormat="1" x14ac:dyDescent="0.25">
      <c r="A1857" s="52" t="s">
        <v>310</v>
      </c>
      <c r="B1857" s="42"/>
      <c r="C1857" s="52"/>
      <c r="D1857" s="50"/>
      <c r="E1857" s="50"/>
      <c r="F1857" s="50"/>
      <c r="G1857" s="50"/>
      <c r="H1857" s="50"/>
      <c r="I1857" s="50"/>
      <c r="J1857" s="50"/>
      <c r="K1857" s="50"/>
      <c r="L1857" s="50"/>
      <c r="M1857" s="50"/>
      <c r="N1857" s="50"/>
      <c r="O1857" s="50"/>
      <c r="P1857" s="50"/>
      <c r="Q1857" s="50"/>
      <c r="R1857" s="50"/>
    </row>
    <row r="1858" spans="1:18" s="43" customFormat="1" x14ac:dyDescent="0.25">
      <c r="A1858" s="52" t="s">
        <v>1172</v>
      </c>
      <c r="B1858" s="42"/>
      <c r="C1858" s="50"/>
      <c r="D1858" s="50"/>
      <c r="E1858" s="50"/>
      <c r="F1858" s="50"/>
      <c r="G1858" s="50"/>
      <c r="H1858" s="50"/>
      <c r="I1858" s="50"/>
      <c r="J1858" s="50"/>
      <c r="K1858" s="50"/>
      <c r="L1858" s="50"/>
      <c r="M1858" s="50"/>
      <c r="N1858" s="50"/>
      <c r="O1858" s="50"/>
      <c r="P1858" s="50"/>
      <c r="Q1858" s="50"/>
      <c r="R1858" s="50"/>
    </row>
    <row r="1859" spans="1:18" s="43" customFormat="1" x14ac:dyDescent="0.25">
      <c r="A1859" s="52" t="s">
        <v>949</v>
      </c>
      <c r="B1859" s="42"/>
      <c r="C1859" s="50"/>
      <c r="D1859" s="50"/>
      <c r="E1859" s="50"/>
      <c r="F1859" s="50"/>
      <c r="G1859" s="50"/>
      <c r="H1859" s="50"/>
      <c r="I1859" s="50"/>
      <c r="J1859" s="50"/>
      <c r="K1859" s="50"/>
      <c r="L1859" s="50"/>
      <c r="M1859" s="50"/>
      <c r="N1859" s="50"/>
      <c r="O1859" s="50"/>
      <c r="P1859" s="50"/>
      <c r="Q1859" s="50"/>
      <c r="R1859" s="50"/>
    </row>
    <row r="1860" spans="1:18" s="43" customFormat="1" x14ac:dyDescent="0.25">
      <c r="A1860" s="52" t="s">
        <v>954</v>
      </c>
      <c r="B1860" s="42"/>
      <c r="C1860" s="50"/>
      <c r="D1860" s="50"/>
      <c r="E1860" s="50"/>
      <c r="F1860" s="50"/>
      <c r="G1860" s="50"/>
      <c r="H1860" s="50"/>
      <c r="I1860" s="50"/>
      <c r="J1860" s="50"/>
      <c r="K1860" s="50"/>
      <c r="L1860" s="50"/>
      <c r="M1860" s="50"/>
      <c r="N1860" s="50"/>
      <c r="O1860" s="50"/>
      <c r="P1860" s="50"/>
      <c r="Q1860" s="50"/>
      <c r="R1860" s="50"/>
    </row>
    <row r="1861" spans="1:18" s="43" customFormat="1" x14ac:dyDescent="0.25">
      <c r="A1861" s="52" t="s">
        <v>542</v>
      </c>
      <c r="B1861" s="42"/>
      <c r="C1861" s="50"/>
      <c r="D1861" s="50"/>
      <c r="E1861" s="50"/>
      <c r="F1861" s="50"/>
      <c r="G1861" s="50"/>
      <c r="H1861" s="50"/>
      <c r="I1861" s="50"/>
      <c r="J1861" s="50"/>
      <c r="K1861" s="50"/>
      <c r="L1861" s="50"/>
      <c r="M1861" s="50"/>
      <c r="N1861" s="50"/>
      <c r="O1861" s="50"/>
      <c r="P1861" s="50"/>
      <c r="Q1861" s="50"/>
      <c r="R1861" s="50"/>
    </row>
    <row r="1862" spans="1:18" s="43" customFormat="1" x14ac:dyDescent="0.25">
      <c r="A1862" s="52" t="s">
        <v>435</v>
      </c>
      <c r="B1862" s="42"/>
      <c r="C1862" s="50"/>
      <c r="D1862" s="50"/>
      <c r="E1862" s="50"/>
      <c r="F1862" s="50"/>
      <c r="G1862" s="50"/>
      <c r="H1862" s="50"/>
      <c r="I1862" s="50"/>
      <c r="J1862" s="50"/>
      <c r="K1862" s="50"/>
      <c r="L1862" s="50"/>
      <c r="M1862" s="50"/>
      <c r="N1862" s="50"/>
      <c r="O1862" s="50"/>
      <c r="P1862" s="50"/>
      <c r="Q1862" s="50"/>
      <c r="R1862" s="50"/>
    </row>
    <row r="1863" spans="1:18" s="43" customFormat="1" x14ac:dyDescent="0.25">
      <c r="A1863" s="52" t="s">
        <v>1173</v>
      </c>
      <c r="B1863" s="42"/>
      <c r="C1863" s="50"/>
      <c r="D1863" s="50"/>
      <c r="E1863" s="50"/>
      <c r="F1863" s="50"/>
      <c r="G1863" s="50"/>
      <c r="H1863" s="50"/>
      <c r="I1863" s="50"/>
      <c r="J1863" s="50"/>
      <c r="K1863" s="50"/>
      <c r="L1863" s="50"/>
      <c r="M1863" s="50"/>
      <c r="N1863" s="50"/>
      <c r="O1863" s="50"/>
      <c r="P1863" s="50"/>
      <c r="Q1863" s="50"/>
      <c r="R1863" s="50"/>
    </row>
    <row r="1864" spans="1:18" s="43" customFormat="1" x14ac:dyDescent="0.25">
      <c r="A1864" s="52" t="s">
        <v>1174</v>
      </c>
      <c r="B1864" s="42"/>
      <c r="C1864" s="50"/>
      <c r="D1864" s="50"/>
      <c r="E1864" s="50"/>
      <c r="F1864" s="50"/>
      <c r="G1864" s="50"/>
      <c r="H1864" s="50"/>
      <c r="I1864" s="50"/>
      <c r="J1864" s="50"/>
      <c r="K1864" s="50"/>
      <c r="L1864" s="50"/>
      <c r="M1864" s="50"/>
      <c r="N1864" s="50"/>
      <c r="O1864" s="50"/>
      <c r="P1864" s="50"/>
      <c r="Q1864" s="50"/>
      <c r="R1864" s="50"/>
    </row>
    <row r="1865" spans="1:18" s="43" customFormat="1" x14ac:dyDescent="0.25">
      <c r="A1865" s="52" t="s">
        <v>604</v>
      </c>
      <c r="B1865" s="42"/>
      <c r="C1865" s="50"/>
      <c r="D1865" s="50"/>
      <c r="E1865" s="50"/>
      <c r="F1865" s="50"/>
      <c r="G1865" s="50"/>
      <c r="H1865" s="50"/>
      <c r="I1865" s="50"/>
      <c r="J1865" s="50"/>
      <c r="K1865" s="50"/>
      <c r="L1865" s="50"/>
      <c r="M1865" s="50"/>
      <c r="N1865" s="50"/>
      <c r="O1865" s="50"/>
      <c r="P1865" s="50"/>
      <c r="Q1865" s="50"/>
      <c r="R1865" s="50"/>
    </row>
    <row r="1866" spans="1:18" s="43" customFormat="1" x14ac:dyDescent="0.25">
      <c r="A1866" s="52" t="s">
        <v>751</v>
      </c>
      <c r="B1866" s="42"/>
      <c r="C1866" s="50"/>
      <c r="D1866" s="50"/>
      <c r="E1866" s="50"/>
      <c r="F1866" s="50"/>
      <c r="G1866" s="50"/>
      <c r="H1866" s="50"/>
      <c r="I1866" s="50"/>
      <c r="J1866" s="50"/>
      <c r="K1866" s="50"/>
      <c r="L1866" s="50"/>
      <c r="M1866" s="50"/>
      <c r="N1866" s="50"/>
      <c r="O1866" s="50"/>
      <c r="P1866" s="50"/>
      <c r="Q1866" s="50"/>
      <c r="R1866" s="50"/>
    </row>
    <row r="1867" spans="1:18" s="43" customFormat="1" x14ac:dyDescent="0.25">
      <c r="A1867" s="52" t="s">
        <v>1084</v>
      </c>
      <c r="B1867" s="42"/>
      <c r="C1867" s="50"/>
      <c r="D1867" s="50"/>
      <c r="E1867" s="50"/>
      <c r="F1867" s="50"/>
      <c r="G1867" s="50"/>
      <c r="H1867" s="50"/>
      <c r="I1867" s="50"/>
      <c r="J1867" s="50"/>
      <c r="K1867" s="50"/>
      <c r="L1867" s="50"/>
      <c r="M1867" s="50"/>
      <c r="N1867" s="50"/>
      <c r="O1867" s="50"/>
      <c r="P1867" s="50"/>
      <c r="Q1867" s="50"/>
      <c r="R1867" s="50"/>
    </row>
    <row r="1868" spans="1:18" s="43" customFormat="1" x14ac:dyDescent="0.25">
      <c r="A1868" s="52" t="s">
        <v>1088</v>
      </c>
      <c r="B1868" s="42"/>
      <c r="C1868" s="52"/>
      <c r="D1868" s="50">
        <v>4975</v>
      </c>
      <c r="E1868" s="50"/>
      <c r="F1868" s="50"/>
      <c r="G1868" s="50"/>
      <c r="H1868" s="50"/>
      <c r="I1868" s="50"/>
      <c r="J1868" s="50"/>
      <c r="K1868" s="50"/>
      <c r="L1868" s="50"/>
      <c r="M1868" s="50"/>
      <c r="N1868" s="50"/>
      <c r="O1868" s="50"/>
      <c r="P1868" s="50"/>
      <c r="Q1868" s="50"/>
      <c r="R1868" s="50"/>
    </row>
    <row r="1869" spans="1:18" s="43" customFormat="1" x14ac:dyDescent="0.25">
      <c r="A1869" s="52" t="s">
        <v>654</v>
      </c>
      <c r="B1869" s="42"/>
      <c r="C1869" s="50"/>
      <c r="D1869" s="50"/>
      <c r="E1869" s="50"/>
      <c r="F1869" s="50"/>
      <c r="G1869" s="50"/>
      <c r="H1869" s="50"/>
      <c r="I1869" s="50"/>
      <c r="J1869" s="50"/>
      <c r="K1869" s="50"/>
      <c r="L1869" s="50"/>
      <c r="M1869" s="50"/>
      <c r="N1869" s="50"/>
      <c r="O1869" s="50"/>
      <c r="P1869" s="50"/>
      <c r="Q1869" s="50"/>
      <c r="R1869" s="50"/>
    </row>
    <row r="1870" spans="1:18" s="43" customFormat="1" x14ac:dyDescent="0.25">
      <c r="A1870" s="52" t="s">
        <v>526</v>
      </c>
      <c r="B1870" s="42"/>
      <c r="C1870" s="52"/>
      <c r="D1870" s="50"/>
      <c r="E1870" s="50"/>
      <c r="F1870" s="50"/>
      <c r="G1870" s="50"/>
      <c r="H1870" s="50"/>
      <c r="I1870" s="50"/>
      <c r="J1870" s="50"/>
      <c r="K1870" s="50"/>
      <c r="L1870" s="50"/>
      <c r="M1870" s="50"/>
      <c r="N1870" s="50"/>
      <c r="O1870" s="50"/>
      <c r="P1870" s="50"/>
      <c r="Q1870" s="50"/>
      <c r="R1870" s="50"/>
    </row>
    <row r="1871" spans="1:18" s="43" customFormat="1" x14ac:dyDescent="0.25">
      <c r="A1871" s="52" t="s">
        <v>462</v>
      </c>
      <c r="B1871" s="42"/>
      <c r="C1871" s="52"/>
      <c r="D1871" s="50"/>
      <c r="E1871" s="50"/>
      <c r="F1871" s="50"/>
      <c r="G1871" s="50"/>
      <c r="H1871" s="50"/>
      <c r="I1871" s="50"/>
      <c r="J1871" s="50"/>
      <c r="K1871" s="50"/>
      <c r="L1871" s="50"/>
      <c r="M1871" s="50"/>
      <c r="N1871" s="50"/>
      <c r="O1871" s="50"/>
      <c r="P1871" s="50"/>
      <c r="Q1871" s="50"/>
      <c r="R1871" s="50"/>
    </row>
    <row r="1872" spans="1:18" s="43" customFormat="1" x14ac:dyDescent="0.25">
      <c r="A1872" s="52" t="s">
        <v>1100</v>
      </c>
      <c r="B1872" s="42"/>
      <c r="C1872" s="52"/>
      <c r="D1872" s="50"/>
      <c r="E1872" s="50"/>
      <c r="F1872" s="50"/>
      <c r="G1872" s="50"/>
      <c r="H1872" s="50"/>
      <c r="I1872" s="50"/>
      <c r="J1872" s="50"/>
      <c r="K1872" s="50"/>
      <c r="L1872" s="50"/>
      <c r="M1872" s="50"/>
      <c r="N1872" s="50"/>
      <c r="O1872" s="50"/>
      <c r="P1872" s="50"/>
      <c r="Q1872" s="50"/>
      <c r="R1872" s="50"/>
    </row>
    <row r="1873" spans="1:18" s="43" customFormat="1" x14ac:dyDescent="0.25">
      <c r="A1873" s="41" t="s">
        <v>1175</v>
      </c>
      <c r="B1873" s="42"/>
      <c r="C1873" s="52"/>
      <c r="D1873" s="50"/>
      <c r="E1873" s="50"/>
      <c r="F1873" s="50"/>
      <c r="G1873" s="50"/>
      <c r="H1873" s="50"/>
      <c r="I1873" s="50"/>
      <c r="J1873" s="50"/>
      <c r="K1873" s="50"/>
      <c r="L1873" s="50"/>
      <c r="M1873" s="50"/>
      <c r="N1873" s="50"/>
      <c r="O1873" s="50"/>
      <c r="P1873" s="50"/>
      <c r="Q1873" s="50"/>
      <c r="R1873" s="50"/>
    </row>
    <row r="1874" spans="1:18" s="43" customFormat="1" x14ac:dyDescent="0.25">
      <c r="A1874" s="52" t="s">
        <v>1176</v>
      </c>
      <c r="B1874" s="42"/>
      <c r="C1874" s="52"/>
      <c r="D1874" s="50"/>
      <c r="E1874" s="50"/>
      <c r="F1874" s="50"/>
      <c r="G1874" s="50"/>
      <c r="H1874" s="50"/>
      <c r="I1874" s="50"/>
      <c r="J1874" s="50"/>
      <c r="K1874" s="50"/>
      <c r="L1874" s="50"/>
      <c r="M1874" s="50"/>
      <c r="N1874" s="50"/>
      <c r="O1874" s="50"/>
      <c r="P1874" s="50"/>
      <c r="Q1874" s="50"/>
      <c r="R1874" s="50"/>
    </row>
    <row r="1875" spans="1:18" s="43" customFormat="1" x14ac:dyDescent="0.25">
      <c r="A1875" s="52" t="s">
        <v>954</v>
      </c>
      <c r="B1875" s="42"/>
      <c r="C1875" s="52"/>
      <c r="D1875" s="50"/>
      <c r="E1875" s="50"/>
      <c r="F1875" s="50"/>
      <c r="G1875" s="50"/>
      <c r="H1875" s="50"/>
      <c r="I1875" s="50"/>
      <c r="J1875" s="50"/>
      <c r="K1875" s="50"/>
      <c r="L1875" s="50"/>
      <c r="M1875" s="50"/>
      <c r="N1875" s="50"/>
      <c r="O1875" s="50"/>
      <c r="P1875" s="50"/>
      <c r="Q1875" s="50"/>
      <c r="R1875" s="50"/>
    </row>
    <row r="1876" spans="1:18" s="43" customFormat="1" x14ac:dyDescent="0.25">
      <c r="A1876" s="52" t="s">
        <v>1084</v>
      </c>
      <c r="B1876" s="42"/>
      <c r="C1876" s="52"/>
      <c r="D1876" s="50"/>
      <c r="E1876" s="50"/>
      <c r="F1876" s="50"/>
      <c r="G1876" s="50"/>
      <c r="H1876" s="50"/>
      <c r="I1876" s="50"/>
      <c r="J1876" s="50"/>
      <c r="K1876" s="50"/>
      <c r="L1876" s="50"/>
      <c r="M1876" s="50"/>
      <c r="N1876" s="50"/>
      <c r="O1876" s="50"/>
      <c r="P1876" s="50"/>
      <c r="Q1876" s="50"/>
      <c r="R1876" s="50"/>
    </row>
    <row r="1877" spans="1:18" s="43" customFormat="1" x14ac:dyDescent="0.25">
      <c r="A1877" s="59" t="s">
        <v>1177</v>
      </c>
      <c r="B1877" s="42"/>
      <c r="C1877" s="52"/>
      <c r="D1877" s="50"/>
      <c r="E1877" s="50"/>
      <c r="F1877" s="50"/>
      <c r="G1877" s="50"/>
      <c r="H1877" s="50"/>
      <c r="I1877" s="50"/>
      <c r="J1877" s="50"/>
      <c r="K1877" s="50"/>
      <c r="L1877" s="50"/>
      <c r="M1877" s="50"/>
      <c r="N1877" s="50"/>
      <c r="O1877" s="50"/>
      <c r="P1877" s="50"/>
      <c r="Q1877" s="50"/>
      <c r="R1877" s="50"/>
    </row>
    <row r="1878" spans="1:18" s="43" customFormat="1" x14ac:dyDescent="0.25">
      <c r="A1878" s="52" t="s">
        <v>627</v>
      </c>
      <c r="B1878" s="42"/>
      <c r="C1878" s="52"/>
      <c r="D1878" s="50"/>
      <c r="E1878" s="50"/>
      <c r="F1878" s="50"/>
      <c r="G1878" s="50"/>
      <c r="H1878" s="50"/>
      <c r="I1878" s="50"/>
      <c r="J1878" s="50"/>
      <c r="K1878" s="50"/>
      <c r="L1878" s="50"/>
      <c r="M1878" s="50"/>
      <c r="N1878" s="50"/>
      <c r="O1878" s="50"/>
      <c r="P1878" s="50"/>
      <c r="Q1878" s="50"/>
      <c r="R1878" s="50"/>
    </row>
    <row r="1879" spans="1:18" s="43" customFormat="1" x14ac:dyDescent="0.25">
      <c r="A1879" s="52" t="s">
        <v>1178</v>
      </c>
      <c r="B1879" s="42"/>
      <c r="C1879" s="52"/>
      <c r="D1879" s="50"/>
      <c r="E1879" s="50"/>
      <c r="F1879" s="50"/>
      <c r="G1879" s="50"/>
      <c r="H1879" s="50"/>
      <c r="I1879" s="50"/>
      <c r="J1879" s="50"/>
      <c r="K1879" s="50"/>
      <c r="L1879" s="50"/>
      <c r="M1879" s="50"/>
      <c r="N1879" s="50"/>
      <c r="O1879" s="50"/>
      <c r="P1879" s="50"/>
      <c r="Q1879" s="50"/>
      <c r="R1879" s="50"/>
    </row>
    <row r="1880" spans="1:18" s="43" customFormat="1" x14ac:dyDescent="0.25">
      <c r="A1880" s="52" t="s">
        <v>792</v>
      </c>
      <c r="B1880" s="42"/>
      <c r="C1880" s="52"/>
      <c r="D1880" s="50"/>
      <c r="E1880" s="50"/>
      <c r="F1880" s="50"/>
      <c r="G1880" s="50"/>
      <c r="H1880" s="50"/>
      <c r="I1880" s="50"/>
      <c r="J1880" s="50"/>
      <c r="K1880" s="50"/>
      <c r="L1880" s="50"/>
      <c r="M1880" s="50"/>
      <c r="N1880" s="50"/>
      <c r="O1880" s="50"/>
      <c r="P1880" s="50"/>
      <c r="Q1880" s="50"/>
      <c r="R1880" s="50"/>
    </row>
    <row r="1881" spans="1:18" s="43" customFormat="1" x14ac:dyDescent="0.25">
      <c r="A1881" s="52" t="s">
        <v>247</v>
      </c>
      <c r="B1881" s="42"/>
      <c r="C1881" s="50">
        <v>2200</v>
      </c>
      <c r="D1881" s="50">
        <v>11636</v>
      </c>
      <c r="E1881" s="50">
        <v>1164</v>
      </c>
      <c r="F1881" s="50"/>
      <c r="G1881" s="50"/>
      <c r="H1881" s="50"/>
      <c r="I1881" s="50"/>
      <c r="J1881" s="50"/>
      <c r="K1881" s="50"/>
      <c r="L1881" s="50"/>
      <c r="M1881" s="50"/>
      <c r="N1881" s="50"/>
      <c r="O1881" s="50"/>
      <c r="P1881" s="50"/>
      <c r="Q1881" s="50"/>
      <c r="R1881" s="50"/>
    </row>
    <row r="1882" spans="1:18" s="43" customFormat="1" x14ac:dyDescent="0.25">
      <c r="A1882" s="52" t="s">
        <v>248</v>
      </c>
      <c r="B1882" s="42"/>
      <c r="C1882" s="50">
        <v>0</v>
      </c>
      <c r="D1882" s="50">
        <v>15476</v>
      </c>
      <c r="E1882" s="50">
        <v>4524</v>
      </c>
      <c r="F1882" s="50"/>
      <c r="G1882" s="50"/>
      <c r="H1882" s="50"/>
      <c r="I1882" s="50"/>
      <c r="J1882" s="50"/>
      <c r="K1882" s="50"/>
      <c r="L1882" s="50"/>
      <c r="M1882" s="50"/>
      <c r="N1882" s="50"/>
      <c r="O1882" s="50"/>
      <c r="P1882" s="50"/>
      <c r="Q1882" s="50"/>
      <c r="R1882" s="50"/>
    </row>
    <row r="1883" spans="1:18" s="43" customFormat="1" x14ac:dyDescent="0.25">
      <c r="A1883" s="52" t="s">
        <v>242</v>
      </c>
      <c r="B1883" s="42"/>
      <c r="C1883" s="50">
        <v>0</v>
      </c>
      <c r="D1883" s="50"/>
      <c r="E1883" s="50"/>
      <c r="F1883" s="50"/>
      <c r="G1883" s="50"/>
      <c r="H1883" s="50"/>
      <c r="I1883" s="50"/>
      <c r="J1883" s="50"/>
      <c r="K1883" s="50"/>
      <c r="L1883" s="50"/>
      <c r="M1883" s="50"/>
      <c r="N1883" s="50"/>
      <c r="O1883" s="50"/>
      <c r="P1883" s="50"/>
      <c r="Q1883" s="50"/>
      <c r="R1883" s="50"/>
    </row>
    <row r="1884" spans="1:18" s="43" customFormat="1" x14ac:dyDescent="0.25">
      <c r="A1884" s="52" t="s">
        <v>310</v>
      </c>
      <c r="B1884" s="42"/>
      <c r="C1884" s="50">
        <v>4617</v>
      </c>
      <c r="D1884" s="50"/>
      <c r="E1884" s="50"/>
      <c r="F1884" s="50"/>
      <c r="G1884" s="50"/>
      <c r="H1884" s="50"/>
      <c r="I1884" s="50"/>
      <c r="J1884" s="50"/>
      <c r="K1884" s="50"/>
      <c r="L1884" s="50"/>
      <c r="M1884" s="50"/>
      <c r="N1884" s="50"/>
      <c r="O1884" s="50"/>
      <c r="P1884" s="50"/>
      <c r="Q1884" s="50"/>
      <c r="R1884" s="50"/>
    </row>
    <row r="1885" spans="1:18" s="43" customFormat="1" x14ac:dyDescent="0.25">
      <c r="A1885" s="52" t="s">
        <v>310</v>
      </c>
      <c r="B1885" s="42"/>
      <c r="C1885" s="50">
        <v>13000</v>
      </c>
      <c r="D1885" s="50">
        <v>8321</v>
      </c>
      <c r="E1885" s="50">
        <v>6078</v>
      </c>
      <c r="F1885" s="50">
        <v>13067</v>
      </c>
      <c r="G1885" s="50"/>
      <c r="H1885" s="50"/>
      <c r="I1885" s="50"/>
      <c r="J1885" s="50"/>
      <c r="K1885" s="50"/>
      <c r="L1885" s="50"/>
      <c r="M1885" s="50"/>
      <c r="N1885" s="50"/>
      <c r="O1885" s="50"/>
      <c r="P1885" s="50"/>
      <c r="Q1885" s="50"/>
      <c r="R1885" s="50"/>
    </row>
    <row r="1886" spans="1:18" s="43" customFormat="1" x14ac:dyDescent="0.25">
      <c r="A1886" s="52" t="s">
        <v>340</v>
      </c>
      <c r="B1886" s="42"/>
      <c r="C1886" s="50">
        <v>8000</v>
      </c>
      <c r="D1886" s="50"/>
      <c r="E1886" s="50"/>
      <c r="F1886" s="50"/>
      <c r="G1886" s="50"/>
      <c r="H1886" s="50"/>
      <c r="I1886" s="50"/>
      <c r="J1886" s="50"/>
      <c r="K1886" s="50"/>
      <c r="L1886" s="50"/>
      <c r="M1886" s="50"/>
      <c r="N1886" s="50"/>
      <c r="O1886" s="50"/>
      <c r="P1886" s="50"/>
      <c r="Q1886" s="50"/>
      <c r="R1886" s="50"/>
    </row>
    <row r="1887" spans="1:18" s="43" customFormat="1" x14ac:dyDescent="0.25">
      <c r="A1887" s="52" t="s">
        <v>349</v>
      </c>
      <c r="B1887" s="42"/>
      <c r="C1887" s="50">
        <v>9448</v>
      </c>
      <c r="D1887" s="50"/>
      <c r="E1887" s="50"/>
      <c r="F1887" s="50"/>
      <c r="G1887" s="50"/>
      <c r="H1887" s="50"/>
      <c r="I1887" s="50"/>
      <c r="J1887" s="50"/>
      <c r="K1887" s="50"/>
      <c r="L1887" s="50"/>
      <c r="M1887" s="50"/>
      <c r="N1887" s="50"/>
      <c r="O1887" s="50"/>
      <c r="P1887" s="50"/>
      <c r="Q1887" s="50"/>
      <c r="R1887" s="50"/>
    </row>
    <row r="1888" spans="1:18" s="43" customFormat="1" x14ac:dyDescent="0.25">
      <c r="A1888" s="52" t="s">
        <v>1179</v>
      </c>
      <c r="B1888" s="42"/>
      <c r="C1888" s="50">
        <v>9223</v>
      </c>
      <c r="D1888" s="50"/>
      <c r="E1888" s="50"/>
      <c r="F1888" s="50"/>
      <c r="G1888" s="50"/>
      <c r="H1888" s="50"/>
      <c r="I1888" s="50"/>
      <c r="J1888" s="50"/>
      <c r="K1888" s="50"/>
      <c r="L1888" s="50"/>
      <c r="M1888" s="50"/>
      <c r="N1888" s="50"/>
      <c r="O1888" s="50"/>
      <c r="P1888" s="50"/>
      <c r="Q1888" s="50"/>
      <c r="R1888" s="50"/>
    </row>
    <row r="1889" spans="1:18" s="43" customFormat="1" x14ac:dyDescent="0.25">
      <c r="A1889" s="52" t="s">
        <v>342</v>
      </c>
      <c r="B1889" s="42"/>
      <c r="C1889" s="50">
        <v>8500</v>
      </c>
      <c r="D1889" s="50"/>
      <c r="E1889" s="50"/>
      <c r="F1889" s="50"/>
      <c r="G1889" s="50"/>
      <c r="H1889" s="50"/>
      <c r="I1889" s="50"/>
      <c r="J1889" s="50"/>
      <c r="K1889" s="50"/>
      <c r="L1889" s="50"/>
      <c r="M1889" s="50"/>
      <c r="N1889" s="50"/>
      <c r="O1889" s="50"/>
      <c r="P1889" s="50"/>
      <c r="Q1889" s="50"/>
      <c r="R1889" s="50"/>
    </row>
    <row r="1890" spans="1:18" s="43" customFormat="1" x14ac:dyDescent="0.25">
      <c r="A1890" s="150" t="s">
        <v>576</v>
      </c>
      <c r="B1890" s="42"/>
      <c r="C1890" s="50">
        <v>48400</v>
      </c>
      <c r="D1890" s="50"/>
      <c r="E1890" s="50"/>
      <c r="F1890" s="50"/>
      <c r="G1890" s="50"/>
      <c r="H1890" s="50"/>
      <c r="I1890" s="50"/>
      <c r="J1890" s="50"/>
      <c r="K1890" s="50"/>
      <c r="L1890" s="50"/>
      <c r="M1890" s="50"/>
      <c r="N1890" s="50"/>
      <c r="O1890" s="50"/>
      <c r="P1890" s="50"/>
      <c r="Q1890" s="50"/>
      <c r="R1890" s="50"/>
    </row>
    <row r="1891" spans="1:18" s="43" customFormat="1" x14ac:dyDescent="0.25">
      <c r="A1891" s="52" t="s">
        <v>627</v>
      </c>
      <c r="B1891" s="42"/>
      <c r="C1891" s="50">
        <v>17700</v>
      </c>
      <c r="D1891" s="50"/>
      <c r="E1891" s="50"/>
      <c r="F1891" s="50"/>
      <c r="G1891" s="50"/>
      <c r="H1891" s="50"/>
      <c r="I1891" s="50"/>
      <c r="J1891" s="50"/>
      <c r="K1891" s="50"/>
      <c r="L1891" s="50"/>
      <c r="M1891" s="50"/>
      <c r="N1891" s="50"/>
      <c r="O1891" s="50"/>
      <c r="P1891" s="50"/>
      <c r="Q1891" s="50"/>
      <c r="R1891" s="50"/>
    </row>
    <row r="1892" spans="1:18" s="43" customFormat="1" x14ac:dyDescent="0.25">
      <c r="A1892" s="52" t="s">
        <v>632</v>
      </c>
      <c r="B1892" s="42"/>
      <c r="C1892" s="50">
        <v>0</v>
      </c>
      <c r="D1892" s="50"/>
      <c r="E1892" s="50"/>
      <c r="F1892" s="50"/>
      <c r="G1892" s="50"/>
      <c r="H1892" s="50"/>
      <c r="I1892" s="50"/>
      <c r="J1892" s="50"/>
      <c r="K1892" s="50"/>
      <c r="L1892" s="50"/>
      <c r="M1892" s="50"/>
      <c r="N1892" s="50"/>
      <c r="O1892" s="50"/>
      <c r="P1892" s="50"/>
      <c r="Q1892" s="50"/>
      <c r="R1892" s="50"/>
    </row>
    <row r="1893" spans="1:18" s="43" customFormat="1" x14ac:dyDescent="0.25">
      <c r="A1893" s="229" t="s">
        <v>674</v>
      </c>
      <c r="B1893" s="42"/>
      <c r="C1893" s="50">
        <v>8500</v>
      </c>
      <c r="D1893" s="50"/>
      <c r="E1893" s="50"/>
      <c r="F1893" s="50"/>
      <c r="G1893" s="50"/>
      <c r="H1893" s="50"/>
      <c r="I1893" s="50"/>
      <c r="J1893" s="50"/>
      <c r="K1893" s="50"/>
      <c r="L1893" s="50"/>
      <c r="M1893" s="50"/>
      <c r="N1893" s="50"/>
      <c r="O1893" s="50"/>
      <c r="P1893" s="50"/>
      <c r="Q1893" s="50"/>
      <c r="R1893" s="50"/>
    </row>
    <row r="1894" spans="1:18" s="43" customFormat="1" x14ac:dyDescent="0.25">
      <c r="A1894" s="229" t="s">
        <v>676</v>
      </c>
      <c r="B1894" s="42"/>
      <c r="C1894" s="50">
        <v>62413</v>
      </c>
      <c r="D1894" s="50"/>
      <c r="E1894" s="50"/>
      <c r="F1894" s="50"/>
      <c r="G1894" s="50"/>
      <c r="H1894" s="50"/>
      <c r="I1894" s="50"/>
      <c r="J1894" s="50"/>
      <c r="K1894" s="50"/>
      <c r="L1894" s="50"/>
      <c r="M1894" s="50"/>
      <c r="N1894" s="50"/>
      <c r="O1894" s="50"/>
      <c r="P1894" s="50"/>
      <c r="Q1894" s="50"/>
      <c r="R1894" s="50"/>
    </row>
    <row r="1895" spans="1:18" s="43" customFormat="1" x14ac:dyDescent="0.25">
      <c r="A1895" s="52" t="s">
        <v>749</v>
      </c>
      <c r="B1895" s="42"/>
      <c r="C1895" s="50">
        <v>55138</v>
      </c>
      <c r="D1895" s="50">
        <v>110065</v>
      </c>
      <c r="E1895" s="50">
        <v>67296</v>
      </c>
      <c r="F1895" s="50">
        <v>60615</v>
      </c>
      <c r="G1895" s="50"/>
      <c r="H1895" s="50"/>
      <c r="I1895" s="50"/>
      <c r="J1895" s="50"/>
      <c r="K1895" s="50"/>
      <c r="L1895" s="50"/>
      <c r="M1895" s="50"/>
      <c r="N1895" s="50"/>
      <c r="O1895" s="50"/>
      <c r="P1895" s="50"/>
      <c r="Q1895" s="50"/>
      <c r="R1895" s="50"/>
    </row>
    <row r="1896" spans="1:18" s="43" customFormat="1" x14ac:dyDescent="0.25">
      <c r="A1896" s="52" t="s">
        <v>751</v>
      </c>
      <c r="B1896" s="42"/>
      <c r="C1896" s="50">
        <v>7800</v>
      </c>
      <c r="D1896" s="50">
        <v>0</v>
      </c>
      <c r="E1896" s="50"/>
      <c r="F1896" s="50"/>
      <c r="G1896" s="50"/>
      <c r="H1896" s="50"/>
      <c r="I1896" s="50"/>
      <c r="J1896" s="50"/>
      <c r="K1896" s="50"/>
      <c r="L1896" s="50"/>
      <c r="M1896" s="50"/>
      <c r="N1896" s="50"/>
      <c r="O1896" s="50"/>
      <c r="P1896" s="50"/>
      <c r="Q1896" s="50"/>
      <c r="R1896" s="50"/>
    </row>
    <row r="1897" spans="1:18" s="43" customFormat="1" x14ac:dyDescent="0.25">
      <c r="A1897" s="185" t="s">
        <v>1180</v>
      </c>
      <c r="B1897" s="42"/>
      <c r="C1897" s="50"/>
      <c r="D1897" s="50">
        <v>20000</v>
      </c>
      <c r="E1897" s="50"/>
      <c r="F1897" s="50"/>
      <c r="G1897" s="50"/>
      <c r="H1897" s="50"/>
      <c r="I1897" s="50"/>
      <c r="J1897" s="50"/>
      <c r="K1897" s="50"/>
      <c r="L1897" s="50"/>
      <c r="M1897" s="50"/>
      <c r="N1897" s="50"/>
      <c r="O1897" s="50"/>
      <c r="P1897" s="50"/>
      <c r="Q1897" s="50"/>
      <c r="R1897" s="50"/>
    </row>
    <row r="1898" spans="1:18" s="43" customFormat="1" x14ac:dyDescent="0.25">
      <c r="A1898" s="187" t="s">
        <v>846</v>
      </c>
      <c r="B1898" s="42"/>
      <c r="C1898" s="50">
        <v>48770</v>
      </c>
      <c r="D1898" s="50">
        <v>139630</v>
      </c>
      <c r="E1898" s="54"/>
      <c r="F1898" s="54"/>
      <c r="G1898" s="54"/>
      <c r="H1898" s="54"/>
      <c r="I1898" s="50"/>
      <c r="J1898" s="50"/>
      <c r="K1898" s="50"/>
      <c r="L1898" s="50"/>
      <c r="M1898" s="50"/>
      <c r="N1898" s="50"/>
      <c r="O1898" s="50"/>
      <c r="P1898" s="50"/>
      <c r="Q1898" s="50"/>
      <c r="R1898" s="50"/>
    </row>
    <row r="1899" spans="1:18" s="43" customFormat="1" x14ac:dyDescent="0.25">
      <c r="A1899" s="210" t="s">
        <v>955</v>
      </c>
      <c r="B1899" s="42"/>
      <c r="C1899" s="50">
        <v>116500</v>
      </c>
      <c r="D1899" s="50"/>
      <c r="E1899" s="50"/>
      <c r="F1899" s="50"/>
      <c r="G1899" s="50"/>
      <c r="H1899" s="50"/>
      <c r="I1899" s="50"/>
      <c r="J1899" s="50"/>
      <c r="K1899" s="50"/>
      <c r="L1899" s="50"/>
      <c r="M1899" s="50"/>
      <c r="N1899" s="50"/>
      <c r="O1899" s="50"/>
      <c r="P1899" s="50"/>
      <c r="Q1899" s="50"/>
      <c r="R1899" s="50"/>
    </row>
    <row r="1900" spans="1:18" s="43" customFormat="1" x14ac:dyDescent="0.25">
      <c r="A1900" s="43" t="s">
        <v>999</v>
      </c>
      <c r="B1900" s="42"/>
      <c r="C1900" s="50">
        <v>12000</v>
      </c>
      <c r="D1900" s="50"/>
      <c r="E1900" s="50"/>
      <c r="F1900" s="50"/>
      <c r="G1900" s="50"/>
      <c r="H1900" s="50"/>
      <c r="I1900" s="50"/>
      <c r="J1900" s="50"/>
      <c r="K1900" s="50"/>
      <c r="L1900" s="50"/>
      <c r="M1900" s="50"/>
      <c r="N1900" s="50"/>
      <c r="O1900" s="50"/>
      <c r="P1900" s="50"/>
      <c r="Q1900" s="50"/>
      <c r="R1900" s="50"/>
    </row>
    <row r="1901" spans="1:18" s="43" customFormat="1" x14ac:dyDescent="0.25">
      <c r="A1901" s="52" t="s">
        <v>1071</v>
      </c>
      <c r="B1901" s="42"/>
      <c r="C1901" s="50">
        <v>3600</v>
      </c>
      <c r="D1901" s="52">
        <v>3600</v>
      </c>
      <c r="E1901" s="52"/>
      <c r="F1901" s="52"/>
      <c r="G1901" s="52"/>
      <c r="H1901" s="52"/>
      <c r="I1901" s="50"/>
      <c r="J1901" s="50"/>
      <c r="K1901" s="50"/>
      <c r="L1901" s="50"/>
      <c r="M1901" s="50"/>
      <c r="N1901" s="50"/>
      <c r="O1901" s="50"/>
      <c r="P1901" s="50"/>
      <c r="Q1901" s="50"/>
      <c r="R1901" s="50"/>
    </row>
    <row r="1902" spans="1:18" s="43" customFormat="1" x14ac:dyDescent="0.25">
      <c r="A1902" s="52" t="s">
        <v>1027</v>
      </c>
      <c r="B1902" s="42"/>
      <c r="C1902" s="50">
        <v>909</v>
      </c>
      <c r="D1902" s="52">
        <f t="shared" ref="D1902" si="1066">9100+100</f>
        <v>9200</v>
      </c>
      <c r="E1902" s="52"/>
      <c r="F1902" s="52"/>
      <c r="G1902" s="52"/>
      <c r="H1902" s="52"/>
      <c r="I1902" s="50"/>
      <c r="J1902" s="50"/>
      <c r="K1902" s="50"/>
      <c r="L1902" s="50"/>
      <c r="M1902" s="50"/>
      <c r="N1902" s="50"/>
      <c r="O1902" s="50"/>
      <c r="P1902" s="50"/>
      <c r="Q1902" s="50"/>
      <c r="R1902" s="50"/>
    </row>
    <row r="1903" spans="1:18" s="43" customFormat="1" x14ac:dyDescent="0.25">
      <c r="A1903" s="43" t="s">
        <v>1082</v>
      </c>
      <c r="B1903" s="42"/>
      <c r="C1903" s="50">
        <v>14500</v>
      </c>
      <c r="D1903" s="50">
        <v>10211</v>
      </c>
      <c r="E1903" s="50">
        <v>16660</v>
      </c>
      <c r="F1903" s="50">
        <v>7390</v>
      </c>
      <c r="G1903" s="50"/>
      <c r="H1903" s="50"/>
      <c r="I1903" s="50"/>
      <c r="J1903" s="50"/>
      <c r="K1903" s="50"/>
      <c r="L1903" s="50"/>
      <c r="M1903" s="50"/>
      <c r="N1903" s="50"/>
      <c r="O1903" s="50"/>
      <c r="P1903" s="50"/>
      <c r="Q1903" s="50"/>
      <c r="R1903" s="50"/>
    </row>
    <row r="1904" spans="1:18" s="43" customFormat="1" x14ac:dyDescent="0.25">
      <c r="A1904" s="52" t="s">
        <v>1090</v>
      </c>
      <c r="B1904" s="42"/>
      <c r="C1904" s="50">
        <v>30000</v>
      </c>
      <c r="D1904" s="50"/>
      <c r="E1904" s="50"/>
      <c r="F1904" s="50"/>
      <c r="G1904" s="50"/>
      <c r="H1904" s="50"/>
      <c r="I1904" s="50"/>
      <c r="J1904" s="50"/>
      <c r="K1904" s="50"/>
      <c r="L1904" s="50"/>
      <c r="M1904" s="50"/>
      <c r="N1904" s="50"/>
      <c r="O1904" s="50"/>
      <c r="P1904" s="50"/>
      <c r="Q1904" s="50"/>
      <c r="R1904" s="50"/>
    </row>
    <row r="1905" spans="1:18" s="43" customFormat="1" x14ac:dyDescent="0.25">
      <c r="A1905" s="43" t="s">
        <v>1088</v>
      </c>
      <c r="B1905" s="42"/>
      <c r="C1905" s="50">
        <v>24830</v>
      </c>
      <c r="D1905" s="50"/>
      <c r="E1905" s="50"/>
      <c r="F1905" s="50"/>
      <c r="G1905" s="50"/>
      <c r="H1905" s="50"/>
      <c r="I1905" s="50"/>
      <c r="J1905" s="50"/>
      <c r="K1905" s="50"/>
      <c r="L1905" s="50"/>
      <c r="M1905" s="50"/>
      <c r="N1905" s="50"/>
      <c r="O1905" s="50"/>
      <c r="P1905" s="50"/>
      <c r="Q1905" s="50"/>
      <c r="R1905" s="50"/>
    </row>
    <row r="1906" spans="1:18" s="43" customFormat="1" x14ac:dyDescent="0.25">
      <c r="A1906" s="43" t="s">
        <v>1094</v>
      </c>
      <c r="B1906" s="42"/>
      <c r="C1906" s="50"/>
      <c r="D1906" s="50">
        <v>5600</v>
      </c>
      <c r="E1906" s="50"/>
      <c r="F1906" s="50"/>
      <c r="G1906" s="50"/>
      <c r="H1906" s="50"/>
      <c r="I1906" s="50"/>
      <c r="J1906" s="50"/>
      <c r="K1906" s="50"/>
      <c r="L1906" s="50"/>
      <c r="M1906" s="50"/>
      <c r="N1906" s="50"/>
      <c r="O1906" s="50"/>
      <c r="P1906" s="50"/>
      <c r="Q1906" s="50"/>
      <c r="R1906" s="50"/>
    </row>
    <row r="1907" spans="1:18" s="43" customFormat="1" x14ac:dyDescent="0.25">
      <c r="A1907" s="43" t="s">
        <v>1096</v>
      </c>
      <c r="B1907" s="42"/>
      <c r="C1907" s="50">
        <v>40000</v>
      </c>
      <c r="D1907" s="50">
        <v>0</v>
      </c>
      <c r="E1907" s="50">
        <v>1500</v>
      </c>
      <c r="F1907" s="50"/>
      <c r="G1907" s="50"/>
      <c r="H1907" s="50"/>
      <c r="I1907" s="50"/>
      <c r="J1907" s="50"/>
      <c r="K1907" s="50"/>
      <c r="L1907" s="50"/>
      <c r="M1907" s="50"/>
      <c r="N1907" s="50"/>
      <c r="O1907" s="50"/>
      <c r="P1907" s="50"/>
      <c r="Q1907" s="50"/>
      <c r="R1907" s="50"/>
    </row>
    <row r="1908" spans="1:18" s="43" customFormat="1" x14ac:dyDescent="0.25">
      <c r="A1908" s="52" t="s">
        <v>1102</v>
      </c>
      <c r="B1908" s="42"/>
      <c r="C1908" s="50">
        <v>19370</v>
      </c>
      <c r="D1908" s="50">
        <v>13251</v>
      </c>
      <c r="E1908" s="50">
        <v>5779</v>
      </c>
      <c r="F1908" s="50">
        <v>20768</v>
      </c>
      <c r="G1908" s="50"/>
      <c r="H1908" s="50"/>
      <c r="I1908" s="50"/>
      <c r="J1908" s="50"/>
      <c r="K1908" s="50"/>
      <c r="L1908" s="50"/>
      <c r="M1908" s="50"/>
      <c r="N1908" s="50"/>
      <c r="O1908" s="50"/>
      <c r="P1908" s="50"/>
      <c r="Q1908" s="50"/>
      <c r="R1908" s="50"/>
    </row>
    <row r="1909" spans="1:18" s="43" customFormat="1" x14ac:dyDescent="0.25">
      <c r="A1909" s="41" t="s">
        <v>1181</v>
      </c>
      <c r="B1909" s="42"/>
      <c r="C1909" s="54"/>
      <c r="D1909" s="50"/>
      <c r="E1909" s="50"/>
      <c r="F1909" s="50"/>
      <c r="G1909" s="50"/>
      <c r="H1909" s="50"/>
      <c r="I1909" s="50"/>
      <c r="J1909" s="50"/>
      <c r="K1909" s="50"/>
      <c r="L1909" s="50"/>
      <c r="M1909" s="50"/>
      <c r="N1909" s="50"/>
      <c r="O1909" s="50"/>
      <c r="P1909" s="50"/>
      <c r="Q1909" s="50"/>
      <c r="R1909" s="50"/>
    </row>
    <row r="1910" spans="1:18" s="43" customFormat="1" x14ac:dyDescent="0.25">
      <c r="A1910" s="43" t="s">
        <v>1182</v>
      </c>
      <c r="B1910" s="42"/>
      <c r="C1910" s="54"/>
      <c r="D1910" s="50">
        <v>16400</v>
      </c>
      <c r="E1910" s="50"/>
      <c r="F1910" s="50"/>
      <c r="G1910" s="50"/>
      <c r="H1910" s="50"/>
      <c r="I1910" s="50"/>
      <c r="J1910" s="50"/>
      <c r="K1910" s="50"/>
      <c r="L1910" s="50"/>
      <c r="M1910" s="50"/>
      <c r="N1910" s="50"/>
      <c r="O1910" s="50"/>
      <c r="P1910" s="50"/>
      <c r="Q1910" s="50"/>
      <c r="R1910" s="50"/>
    </row>
    <row r="1911" spans="1:18" s="43" customFormat="1" x14ac:dyDescent="0.25">
      <c r="A1911" s="230" t="s">
        <v>487</v>
      </c>
      <c r="B1911" s="42"/>
      <c r="C1911" s="54"/>
      <c r="D1911" s="50">
        <v>25727</v>
      </c>
      <c r="E1911" s="50"/>
      <c r="F1911" s="50"/>
      <c r="G1911" s="50"/>
      <c r="H1911" s="50"/>
      <c r="I1911" s="50"/>
      <c r="J1911" s="50"/>
      <c r="K1911" s="50"/>
      <c r="L1911" s="50"/>
      <c r="M1911" s="50"/>
      <c r="N1911" s="50"/>
      <c r="O1911" s="50"/>
      <c r="P1911" s="50"/>
      <c r="Q1911" s="50"/>
      <c r="R1911" s="50"/>
    </row>
    <row r="1912" spans="1:18" s="43" customFormat="1" x14ac:dyDescent="0.25">
      <c r="A1912" s="214" t="s">
        <v>317</v>
      </c>
      <c r="B1912" s="42"/>
      <c r="C1912" s="54"/>
      <c r="D1912" s="50">
        <v>220215</v>
      </c>
      <c r="E1912" s="50"/>
      <c r="F1912" s="50"/>
      <c r="G1912" s="50"/>
      <c r="H1912" s="50"/>
      <c r="I1912" s="50"/>
      <c r="J1912" s="50"/>
      <c r="K1912" s="50"/>
      <c r="L1912" s="50"/>
      <c r="M1912" s="50"/>
      <c r="N1912" s="50"/>
      <c r="O1912" s="50"/>
      <c r="P1912" s="50"/>
      <c r="Q1912" s="50"/>
      <c r="R1912" s="50"/>
    </row>
    <row r="1913" spans="1:18" s="43" customFormat="1" x14ac:dyDescent="0.25">
      <c r="A1913" s="231" t="s">
        <v>1183</v>
      </c>
      <c r="B1913" s="42"/>
      <c r="C1913" s="54"/>
      <c r="D1913" s="50">
        <v>161001</v>
      </c>
      <c r="E1913" s="50"/>
      <c r="F1913" s="50"/>
      <c r="G1913" s="50"/>
      <c r="H1913" s="50"/>
      <c r="I1913" s="50"/>
      <c r="J1913" s="50"/>
      <c r="K1913" s="50"/>
      <c r="L1913" s="50"/>
      <c r="M1913" s="50"/>
      <c r="N1913" s="50"/>
      <c r="O1913" s="50"/>
      <c r="P1913" s="50"/>
      <c r="Q1913" s="50"/>
      <c r="R1913" s="50"/>
    </row>
    <row r="1914" spans="1:18" s="43" customFormat="1" x14ac:dyDescent="0.25">
      <c r="A1914" s="232" t="s">
        <v>839</v>
      </c>
      <c r="B1914" s="42"/>
      <c r="C1914" s="54"/>
      <c r="D1914" s="50">
        <v>73000</v>
      </c>
      <c r="E1914" s="50"/>
      <c r="F1914" s="50"/>
      <c r="G1914" s="50"/>
      <c r="H1914" s="50"/>
      <c r="I1914" s="50"/>
      <c r="J1914" s="50"/>
      <c r="K1914" s="50"/>
      <c r="L1914" s="50"/>
      <c r="M1914" s="50"/>
      <c r="N1914" s="50"/>
      <c r="O1914" s="50"/>
      <c r="P1914" s="50"/>
      <c r="Q1914" s="50"/>
      <c r="R1914" s="50"/>
    </row>
    <row r="1915" spans="1:18" s="43" customFormat="1" x14ac:dyDescent="0.25">
      <c r="A1915" s="208" t="s">
        <v>957</v>
      </c>
      <c r="B1915" s="42"/>
      <c r="C1915" s="54"/>
      <c r="D1915" s="50">
        <v>37859</v>
      </c>
      <c r="E1915" s="50"/>
      <c r="F1915" s="50"/>
      <c r="G1915" s="50"/>
      <c r="H1915" s="50"/>
      <c r="I1915" s="50"/>
      <c r="J1915" s="50"/>
      <c r="K1915" s="50"/>
      <c r="L1915" s="50"/>
      <c r="M1915" s="50"/>
      <c r="N1915" s="50"/>
      <c r="O1915" s="50"/>
      <c r="P1915" s="50"/>
      <c r="Q1915" s="50"/>
      <c r="R1915" s="50"/>
    </row>
    <row r="1916" spans="1:18" s="43" customFormat="1" x14ac:dyDescent="0.25">
      <c r="A1916" s="181" t="s">
        <v>800</v>
      </c>
      <c r="B1916" s="42"/>
      <c r="C1916" s="54"/>
      <c r="D1916" s="50">
        <v>8914</v>
      </c>
      <c r="E1916" s="50">
        <v>18777</v>
      </c>
      <c r="F1916" s="50">
        <v>18518</v>
      </c>
      <c r="G1916" s="50"/>
      <c r="H1916" s="50"/>
      <c r="I1916" s="50"/>
      <c r="J1916" s="50"/>
      <c r="K1916" s="50"/>
      <c r="L1916" s="50"/>
      <c r="M1916" s="50"/>
      <c r="N1916" s="50"/>
      <c r="O1916" s="50"/>
      <c r="P1916" s="50"/>
      <c r="Q1916" s="50"/>
      <c r="R1916" s="50"/>
    </row>
    <row r="1917" spans="1:18" s="43" customFormat="1" x14ac:dyDescent="0.25">
      <c r="A1917" s="181" t="s">
        <v>802</v>
      </c>
      <c r="B1917" s="42"/>
      <c r="C1917" s="54"/>
      <c r="D1917" s="50">
        <v>0</v>
      </c>
      <c r="E1917" s="50"/>
      <c r="F1917" s="50"/>
      <c r="G1917" s="50"/>
      <c r="H1917" s="50"/>
      <c r="I1917" s="50"/>
      <c r="J1917" s="50"/>
      <c r="K1917" s="50"/>
      <c r="L1917" s="50"/>
      <c r="M1917" s="50"/>
      <c r="N1917" s="50"/>
      <c r="O1917" s="50"/>
      <c r="P1917" s="50"/>
      <c r="Q1917" s="50"/>
      <c r="R1917" s="50"/>
    </row>
    <row r="1918" spans="1:18" s="43" customFormat="1" x14ac:dyDescent="0.25">
      <c r="A1918" s="52" t="s">
        <v>804</v>
      </c>
      <c r="B1918" s="42"/>
      <c r="C1918" s="54"/>
      <c r="D1918" s="50">
        <v>10000</v>
      </c>
      <c r="E1918" s="50"/>
      <c r="F1918" s="50"/>
      <c r="G1918" s="50"/>
      <c r="H1918" s="50"/>
      <c r="I1918" s="50"/>
      <c r="J1918" s="50"/>
      <c r="K1918" s="50"/>
      <c r="L1918" s="50"/>
      <c r="M1918" s="50"/>
      <c r="N1918" s="50"/>
      <c r="O1918" s="50"/>
      <c r="P1918" s="50"/>
      <c r="Q1918" s="50"/>
      <c r="R1918" s="50"/>
    </row>
    <row r="1919" spans="1:18" s="43" customFormat="1" x14ac:dyDescent="0.25">
      <c r="A1919" s="52" t="s">
        <v>588</v>
      </c>
      <c r="B1919" s="42"/>
      <c r="C1919" s="54"/>
      <c r="D1919" s="50">
        <v>60800</v>
      </c>
      <c r="E1919" s="50"/>
      <c r="F1919" s="50"/>
      <c r="G1919" s="50"/>
      <c r="H1919" s="50"/>
      <c r="I1919" s="50"/>
      <c r="J1919" s="50"/>
      <c r="K1919" s="50"/>
      <c r="L1919" s="50"/>
      <c r="M1919" s="50"/>
      <c r="N1919" s="50"/>
      <c r="O1919" s="50"/>
      <c r="P1919" s="50"/>
      <c r="Q1919" s="50"/>
      <c r="R1919" s="50"/>
    </row>
    <row r="1920" spans="1:18" s="43" customFormat="1" x14ac:dyDescent="0.25">
      <c r="A1920" s="41" t="s">
        <v>1184</v>
      </c>
      <c r="B1920" s="42"/>
      <c r="C1920" s="54"/>
      <c r="D1920" s="50"/>
      <c r="E1920" s="50"/>
      <c r="F1920" s="50"/>
      <c r="G1920" s="50"/>
      <c r="H1920" s="50"/>
      <c r="I1920" s="50"/>
      <c r="J1920" s="50"/>
      <c r="K1920" s="50"/>
      <c r="L1920" s="50"/>
      <c r="M1920" s="50"/>
      <c r="N1920" s="50"/>
      <c r="O1920" s="50"/>
      <c r="P1920" s="50"/>
      <c r="Q1920" s="50"/>
      <c r="R1920" s="50"/>
    </row>
    <row r="1921" spans="1:18" s="43" customFormat="1" x14ac:dyDescent="0.25">
      <c r="A1921" s="230" t="s">
        <v>487</v>
      </c>
      <c r="B1921" s="42"/>
      <c r="C1921" s="54"/>
      <c r="D1921" s="50"/>
      <c r="E1921" s="50">
        <v>5000</v>
      </c>
      <c r="F1921" s="50"/>
      <c r="G1921" s="50"/>
      <c r="H1921" s="50"/>
      <c r="I1921" s="50"/>
      <c r="J1921" s="50"/>
      <c r="K1921" s="50"/>
      <c r="L1921" s="50"/>
      <c r="M1921" s="50"/>
      <c r="N1921" s="50"/>
      <c r="O1921" s="50"/>
      <c r="P1921" s="50"/>
      <c r="Q1921" s="50"/>
      <c r="R1921" s="50"/>
    </row>
    <row r="1922" spans="1:18" s="43" customFormat="1" x14ac:dyDescent="0.25">
      <c r="A1922" s="214" t="s">
        <v>317</v>
      </c>
      <c r="B1922" s="42"/>
      <c r="C1922" s="54"/>
      <c r="D1922" s="50"/>
      <c r="E1922" s="50">
        <v>182548</v>
      </c>
      <c r="F1922" s="50"/>
      <c r="G1922" s="50"/>
      <c r="H1922" s="50"/>
      <c r="I1922" s="50"/>
      <c r="J1922" s="50"/>
      <c r="K1922" s="50"/>
      <c r="L1922" s="50"/>
      <c r="M1922" s="50"/>
      <c r="N1922" s="50"/>
      <c r="O1922" s="50"/>
      <c r="P1922" s="50"/>
      <c r="Q1922" s="50"/>
      <c r="R1922" s="50"/>
    </row>
    <row r="1923" spans="1:18" s="43" customFormat="1" x14ac:dyDescent="0.25">
      <c r="A1923" s="231" t="s">
        <v>1183</v>
      </c>
      <c r="B1923" s="42"/>
      <c r="C1923" s="54"/>
      <c r="D1923" s="50"/>
      <c r="E1923" s="50">
        <v>200535</v>
      </c>
      <c r="F1923" s="50"/>
      <c r="G1923" s="50"/>
      <c r="H1923" s="50"/>
      <c r="I1923" s="50"/>
      <c r="J1923" s="50"/>
      <c r="K1923" s="50"/>
      <c r="L1923" s="50"/>
      <c r="M1923" s="50"/>
      <c r="N1923" s="50"/>
      <c r="O1923" s="50"/>
      <c r="P1923" s="50"/>
      <c r="Q1923" s="50"/>
      <c r="R1923" s="50"/>
    </row>
    <row r="1924" spans="1:18" s="43" customFormat="1" x14ac:dyDescent="0.25">
      <c r="A1924" s="232" t="s">
        <v>839</v>
      </c>
      <c r="B1924" s="42"/>
      <c r="C1924" s="54"/>
      <c r="D1924" s="50"/>
      <c r="E1924" s="50">
        <v>86084</v>
      </c>
      <c r="F1924" s="50"/>
      <c r="G1924" s="50"/>
      <c r="H1924" s="50"/>
      <c r="I1924" s="50"/>
      <c r="J1924" s="50"/>
      <c r="K1924" s="50"/>
      <c r="L1924" s="50"/>
      <c r="M1924" s="50"/>
      <c r="N1924" s="50"/>
      <c r="O1924" s="50"/>
      <c r="P1924" s="50"/>
      <c r="Q1924" s="50"/>
      <c r="R1924" s="50"/>
    </row>
    <row r="1925" spans="1:18" s="43" customFormat="1" x14ac:dyDescent="0.25">
      <c r="A1925" s="52" t="s">
        <v>1185</v>
      </c>
      <c r="B1925" s="42"/>
      <c r="C1925" s="54"/>
      <c r="D1925" s="50"/>
      <c r="E1925" s="50">
        <v>118266</v>
      </c>
      <c r="F1925" s="50"/>
      <c r="G1925" s="50"/>
      <c r="H1925" s="50"/>
      <c r="I1925" s="50"/>
      <c r="J1925" s="50"/>
      <c r="K1925" s="50"/>
      <c r="L1925" s="50"/>
      <c r="M1925" s="50"/>
      <c r="N1925" s="50"/>
      <c r="O1925" s="50"/>
      <c r="P1925" s="50"/>
      <c r="Q1925" s="50"/>
      <c r="R1925" s="50"/>
    </row>
    <row r="1926" spans="1:18" s="43" customFormat="1" x14ac:dyDescent="0.25">
      <c r="A1926" s="52" t="s">
        <v>1186</v>
      </c>
      <c r="B1926" s="42"/>
      <c r="C1926" s="52"/>
      <c r="D1926" s="50"/>
      <c r="E1926" s="50">
        <v>26400</v>
      </c>
      <c r="F1926" s="50"/>
      <c r="G1926" s="50"/>
      <c r="H1926" s="50"/>
      <c r="I1926" s="50"/>
      <c r="J1926" s="50"/>
      <c r="K1926" s="50"/>
      <c r="L1926" s="50"/>
      <c r="M1926" s="50"/>
      <c r="N1926" s="50"/>
      <c r="O1926" s="50"/>
      <c r="P1926" s="50"/>
      <c r="Q1926" s="50"/>
      <c r="R1926" s="50"/>
    </row>
    <row r="1927" spans="1:18" s="43" customFormat="1" x14ac:dyDescent="0.25">
      <c r="A1927" s="52" t="s">
        <v>1187</v>
      </c>
      <c r="B1927" s="42"/>
      <c r="C1927" s="52"/>
      <c r="D1927" s="50"/>
      <c r="E1927" s="50">
        <v>36939</v>
      </c>
      <c r="F1927" s="50"/>
      <c r="G1927" s="50"/>
      <c r="H1927" s="50"/>
      <c r="I1927" s="50"/>
      <c r="J1927" s="50"/>
      <c r="K1927" s="50"/>
      <c r="L1927" s="50"/>
      <c r="M1927" s="50"/>
      <c r="N1927" s="50"/>
      <c r="O1927" s="50"/>
      <c r="P1927" s="50"/>
      <c r="Q1927" s="50"/>
      <c r="R1927" s="50"/>
    </row>
    <row r="1928" spans="1:18" s="43" customFormat="1" x14ac:dyDescent="0.25">
      <c r="A1928" s="52" t="s">
        <v>1187</v>
      </c>
      <c r="B1928" s="42"/>
      <c r="C1928" s="52"/>
      <c r="D1928" s="50"/>
      <c r="E1928" s="50">
        <v>29159</v>
      </c>
      <c r="F1928" s="50"/>
      <c r="G1928" s="50"/>
      <c r="H1928" s="50"/>
      <c r="I1928" s="50"/>
      <c r="J1928" s="50"/>
      <c r="K1928" s="50"/>
      <c r="L1928" s="50"/>
      <c r="M1928" s="50"/>
      <c r="N1928" s="50"/>
      <c r="O1928" s="50"/>
      <c r="P1928" s="50"/>
      <c r="Q1928" s="50"/>
      <c r="R1928" s="50"/>
    </row>
    <row r="1929" spans="1:18" s="43" customFormat="1" x14ac:dyDescent="0.25">
      <c r="A1929" s="52" t="s">
        <v>1083</v>
      </c>
      <c r="B1929" s="42"/>
      <c r="C1929" s="52"/>
      <c r="D1929" s="50"/>
      <c r="E1929" s="50">
        <v>4855</v>
      </c>
      <c r="F1929" s="50">
        <v>6600</v>
      </c>
      <c r="G1929" s="50"/>
      <c r="H1929" s="50"/>
      <c r="I1929" s="50"/>
      <c r="J1929" s="50"/>
      <c r="K1929" s="50"/>
      <c r="L1929" s="50"/>
      <c r="M1929" s="50"/>
      <c r="N1929" s="50"/>
      <c r="O1929" s="50"/>
      <c r="P1929" s="50"/>
      <c r="Q1929" s="50"/>
      <c r="R1929" s="50"/>
    </row>
    <row r="1930" spans="1:18" s="43" customFormat="1" x14ac:dyDescent="0.25">
      <c r="A1930" s="52" t="s">
        <v>1084</v>
      </c>
      <c r="B1930" s="42"/>
      <c r="C1930" s="52"/>
      <c r="D1930" s="50"/>
      <c r="E1930" s="50"/>
      <c r="F1930" s="50"/>
      <c r="G1930" s="50"/>
      <c r="H1930" s="50"/>
      <c r="I1930" s="50"/>
      <c r="J1930" s="50"/>
      <c r="K1930" s="50"/>
      <c r="L1930" s="50"/>
      <c r="M1930" s="50"/>
      <c r="N1930" s="50"/>
      <c r="O1930" s="50"/>
      <c r="P1930" s="50"/>
      <c r="Q1930" s="50"/>
      <c r="R1930" s="50"/>
    </row>
    <row r="1931" spans="1:18" s="43" customFormat="1" x14ac:dyDescent="0.25">
      <c r="A1931" s="52" t="s">
        <v>1188</v>
      </c>
      <c r="B1931" s="42"/>
      <c r="C1931" s="52"/>
      <c r="D1931" s="50"/>
      <c r="E1931" s="50"/>
      <c r="F1931" s="50"/>
      <c r="G1931" s="50"/>
      <c r="H1931" s="50"/>
      <c r="I1931" s="50"/>
      <c r="J1931" s="50"/>
      <c r="K1931" s="50"/>
      <c r="L1931" s="50"/>
      <c r="M1931" s="50"/>
      <c r="N1931" s="50"/>
      <c r="O1931" s="50"/>
      <c r="P1931" s="50"/>
      <c r="Q1931" s="50"/>
      <c r="R1931" s="50"/>
    </row>
    <row r="1932" spans="1:18" s="43" customFormat="1" x14ac:dyDescent="0.25">
      <c r="A1932" s="52" t="s">
        <v>1046</v>
      </c>
      <c r="B1932" s="42"/>
      <c r="C1932" s="52"/>
      <c r="D1932" s="50"/>
      <c r="E1932" s="50">
        <v>18000</v>
      </c>
      <c r="F1932" s="50"/>
      <c r="G1932" s="50"/>
      <c r="H1932" s="50"/>
      <c r="I1932" s="50"/>
      <c r="J1932" s="50"/>
      <c r="K1932" s="50"/>
      <c r="L1932" s="50"/>
      <c r="M1932" s="50"/>
      <c r="N1932" s="50"/>
      <c r="O1932" s="50"/>
      <c r="P1932" s="50"/>
      <c r="Q1932" s="50"/>
      <c r="R1932" s="50"/>
    </row>
    <row r="1933" spans="1:18" s="43" customFormat="1" x14ac:dyDescent="0.25">
      <c r="A1933" s="52" t="s">
        <v>1189</v>
      </c>
      <c r="B1933" s="42"/>
      <c r="C1933" s="52"/>
      <c r="D1933" s="50"/>
      <c r="E1933" s="50"/>
      <c r="F1933" s="50">
        <v>30000</v>
      </c>
      <c r="G1933" s="50"/>
      <c r="H1933" s="50"/>
      <c r="I1933" s="50"/>
      <c r="J1933" s="50"/>
      <c r="K1933" s="50"/>
      <c r="L1933" s="50"/>
      <c r="M1933" s="50"/>
      <c r="N1933" s="50"/>
      <c r="O1933" s="50"/>
      <c r="P1933" s="50"/>
      <c r="Q1933" s="50"/>
      <c r="R1933" s="50"/>
    </row>
    <row r="1934" spans="1:18" s="43" customFormat="1" x14ac:dyDescent="0.25">
      <c r="A1934" s="52" t="s">
        <v>1190</v>
      </c>
      <c r="B1934" s="42"/>
      <c r="C1934" s="52"/>
      <c r="D1934" s="50">
        <v>20477</v>
      </c>
      <c r="E1934" s="50">
        <v>343</v>
      </c>
      <c r="F1934" s="50">
        <v>4082</v>
      </c>
      <c r="G1934" s="50"/>
      <c r="H1934" s="50"/>
      <c r="I1934" s="50"/>
      <c r="J1934" s="50"/>
      <c r="K1934" s="50"/>
      <c r="L1934" s="50"/>
      <c r="M1934" s="50"/>
      <c r="N1934" s="50"/>
      <c r="O1934" s="50"/>
      <c r="P1934" s="50"/>
      <c r="Q1934" s="50"/>
      <c r="R1934" s="50"/>
    </row>
    <row r="1935" spans="1:18" s="43" customFormat="1" x14ac:dyDescent="0.25">
      <c r="A1935" s="52" t="s">
        <v>806</v>
      </c>
      <c r="B1935" s="42"/>
      <c r="C1935" s="52"/>
      <c r="D1935" s="50"/>
      <c r="E1935" s="50">
        <v>480</v>
      </c>
      <c r="F1935" s="50"/>
      <c r="G1935" s="50"/>
      <c r="H1935" s="50"/>
      <c r="I1935" s="50"/>
      <c r="J1935" s="50"/>
      <c r="K1935" s="50"/>
      <c r="L1935" s="50"/>
      <c r="M1935" s="50"/>
      <c r="N1935" s="50"/>
      <c r="O1935" s="50"/>
      <c r="P1935" s="50"/>
      <c r="Q1935" s="50"/>
      <c r="R1935" s="50"/>
    </row>
    <row r="1936" spans="1:18" s="43" customFormat="1" x14ac:dyDescent="0.25">
      <c r="A1936" s="52" t="s">
        <v>872</v>
      </c>
      <c r="B1936" s="42"/>
      <c r="C1936" s="52"/>
      <c r="D1936" s="50"/>
      <c r="E1936" s="50">
        <v>10000</v>
      </c>
      <c r="F1936" s="50"/>
      <c r="G1936" s="50"/>
      <c r="H1936" s="50"/>
      <c r="I1936" s="50"/>
      <c r="J1936" s="50"/>
      <c r="K1936" s="50"/>
      <c r="L1936" s="50"/>
      <c r="M1936" s="50"/>
      <c r="N1936" s="50"/>
      <c r="O1936" s="50"/>
      <c r="P1936" s="50"/>
      <c r="Q1936" s="50"/>
      <c r="R1936" s="50"/>
    </row>
    <row r="1937" spans="1:18" s="43" customFormat="1" x14ac:dyDescent="0.25">
      <c r="A1937" s="52" t="s">
        <v>1191</v>
      </c>
      <c r="B1937" s="42"/>
      <c r="C1937" s="52"/>
      <c r="D1937" s="50"/>
      <c r="E1937" s="50">
        <v>10000</v>
      </c>
      <c r="F1937" s="50">
        <v>11053</v>
      </c>
      <c r="G1937" s="50"/>
      <c r="H1937" s="50"/>
      <c r="I1937" s="50"/>
      <c r="J1937" s="50"/>
      <c r="K1937" s="50"/>
      <c r="L1937" s="50"/>
      <c r="M1937" s="50"/>
      <c r="N1937" s="50"/>
      <c r="O1937" s="50"/>
      <c r="P1937" s="50"/>
      <c r="Q1937" s="50"/>
      <c r="R1937" s="50"/>
    </row>
    <row r="1938" spans="1:18" s="43" customFormat="1" x14ac:dyDescent="0.25">
      <c r="A1938" s="52" t="s">
        <v>951</v>
      </c>
      <c r="B1938" s="42"/>
      <c r="C1938" s="52"/>
      <c r="D1938" s="50"/>
      <c r="E1938" s="50">
        <v>6908</v>
      </c>
      <c r="F1938" s="50"/>
      <c r="G1938" s="50"/>
      <c r="H1938" s="50"/>
      <c r="I1938" s="50"/>
      <c r="J1938" s="50"/>
      <c r="K1938" s="50"/>
      <c r="L1938" s="50"/>
      <c r="M1938" s="50"/>
      <c r="N1938" s="50"/>
      <c r="O1938" s="50"/>
      <c r="P1938" s="50"/>
      <c r="Q1938" s="50"/>
      <c r="R1938" s="50"/>
    </row>
    <row r="1939" spans="1:18" s="43" customFormat="1" x14ac:dyDescent="0.25">
      <c r="A1939" s="41" t="s">
        <v>1192</v>
      </c>
      <c r="B1939" s="42"/>
      <c r="C1939" s="52"/>
      <c r="D1939" s="50"/>
      <c r="E1939" s="50"/>
      <c r="F1939" s="50"/>
      <c r="G1939" s="50"/>
      <c r="H1939" s="50"/>
      <c r="I1939" s="50"/>
      <c r="J1939" s="50"/>
      <c r="K1939" s="50"/>
      <c r="L1939" s="50"/>
      <c r="M1939" s="50"/>
      <c r="N1939" s="50"/>
      <c r="O1939" s="50"/>
      <c r="P1939" s="50"/>
      <c r="Q1939" s="50"/>
      <c r="R1939" s="50"/>
    </row>
    <row r="1940" spans="1:18" s="43" customFormat="1" x14ac:dyDescent="0.25">
      <c r="A1940" s="230" t="s">
        <v>487</v>
      </c>
      <c r="B1940" s="42"/>
      <c r="C1940" s="52"/>
      <c r="D1940" s="50"/>
      <c r="E1940" s="50"/>
      <c r="F1940" s="50">
        <v>77674</v>
      </c>
      <c r="G1940" s="50"/>
      <c r="H1940" s="50"/>
      <c r="I1940" s="50"/>
      <c r="J1940" s="50"/>
      <c r="K1940" s="50"/>
      <c r="L1940" s="50"/>
      <c r="M1940" s="50"/>
      <c r="N1940" s="50"/>
      <c r="O1940" s="50"/>
      <c r="P1940" s="50"/>
      <c r="Q1940" s="50"/>
      <c r="R1940" s="50"/>
    </row>
    <row r="1941" spans="1:18" s="43" customFormat="1" x14ac:dyDescent="0.25">
      <c r="A1941" s="214" t="s">
        <v>317</v>
      </c>
      <c r="B1941" s="42"/>
      <c r="C1941" s="52"/>
      <c r="D1941" s="50"/>
      <c r="E1941" s="50"/>
      <c r="F1941" s="50">
        <v>194156</v>
      </c>
      <c r="G1941" s="50"/>
      <c r="H1941" s="50"/>
      <c r="I1941" s="50"/>
      <c r="J1941" s="50"/>
      <c r="K1941" s="50"/>
      <c r="L1941" s="50"/>
      <c r="M1941" s="50"/>
      <c r="N1941" s="50"/>
      <c r="O1941" s="50"/>
      <c r="P1941" s="50"/>
      <c r="Q1941" s="50"/>
      <c r="R1941" s="50"/>
    </row>
    <row r="1942" spans="1:18" s="43" customFormat="1" x14ac:dyDescent="0.25">
      <c r="A1942" s="231" t="s">
        <v>1183</v>
      </c>
      <c r="B1942" s="42"/>
      <c r="C1942" s="52"/>
      <c r="D1942" s="50"/>
      <c r="E1942" s="50"/>
      <c r="F1942" s="50">
        <v>103577</v>
      </c>
      <c r="G1942" s="50"/>
      <c r="H1942" s="50"/>
      <c r="I1942" s="50"/>
      <c r="J1942" s="50"/>
      <c r="K1942" s="50"/>
      <c r="L1942" s="50"/>
      <c r="M1942" s="50"/>
      <c r="N1942" s="50"/>
      <c r="O1942" s="50"/>
      <c r="P1942" s="50"/>
      <c r="Q1942" s="50"/>
      <c r="R1942" s="50"/>
    </row>
    <row r="1943" spans="1:18" s="43" customFormat="1" x14ac:dyDescent="0.25">
      <c r="A1943" s="232" t="s">
        <v>839</v>
      </c>
      <c r="B1943" s="42"/>
      <c r="C1943" s="52"/>
      <c r="D1943" s="50"/>
      <c r="E1943" s="50"/>
      <c r="F1943" s="50">
        <v>0</v>
      </c>
      <c r="G1943" s="50"/>
      <c r="H1943" s="50"/>
      <c r="I1943" s="50"/>
      <c r="J1943" s="50"/>
      <c r="K1943" s="50"/>
      <c r="L1943" s="50"/>
      <c r="M1943" s="50"/>
      <c r="N1943" s="50"/>
      <c r="O1943" s="50"/>
      <c r="P1943" s="50"/>
      <c r="Q1943" s="50"/>
      <c r="R1943" s="50"/>
    </row>
    <row r="1944" spans="1:18" s="43" customFormat="1" x14ac:dyDescent="0.25">
      <c r="A1944" s="52" t="s">
        <v>1193</v>
      </c>
      <c r="B1944" s="42"/>
      <c r="C1944" s="52"/>
      <c r="D1944" s="50"/>
      <c r="E1944" s="50"/>
      <c r="F1944" s="50">
        <v>3336</v>
      </c>
      <c r="G1944" s="50"/>
      <c r="H1944" s="50"/>
      <c r="I1944" s="50"/>
      <c r="J1944" s="50"/>
      <c r="K1944" s="50"/>
      <c r="L1944" s="50"/>
      <c r="M1944" s="50"/>
      <c r="N1944" s="50"/>
      <c r="O1944" s="50"/>
      <c r="P1944" s="50"/>
      <c r="Q1944" s="50"/>
      <c r="R1944" s="50"/>
    </row>
    <row r="1945" spans="1:18" s="43" customFormat="1" x14ac:dyDescent="0.25">
      <c r="A1945" s="52" t="s">
        <v>1194</v>
      </c>
      <c r="B1945" s="42"/>
      <c r="C1945" s="52"/>
      <c r="D1945" s="50"/>
      <c r="E1945" s="50"/>
      <c r="F1945" s="50">
        <v>15088</v>
      </c>
      <c r="G1945" s="50"/>
      <c r="H1945" s="50"/>
      <c r="I1945" s="50"/>
      <c r="J1945" s="50"/>
      <c r="K1945" s="50"/>
      <c r="L1945" s="50"/>
      <c r="M1945" s="50"/>
      <c r="N1945" s="50"/>
      <c r="O1945" s="50"/>
      <c r="P1945" s="50"/>
      <c r="Q1945" s="50"/>
      <c r="R1945" s="50"/>
    </row>
    <row r="1946" spans="1:18" s="43" customFormat="1" x14ac:dyDescent="0.25">
      <c r="A1946" s="52" t="s">
        <v>1195</v>
      </c>
      <c r="B1946" s="42"/>
      <c r="C1946" s="52"/>
      <c r="D1946" s="50"/>
      <c r="E1946" s="50"/>
      <c r="F1946" s="50">
        <v>9719</v>
      </c>
      <c r="G1946" s="50"/>
      <c r="H1946" s="50"/>
      <c r="I1946" s="50"/>
      <c r="J1946" s="50"/>
      <c r="K1946" s="50"/>
      <c r="L1946" s="50"/>
      <c r="M1946" s="50"/>
      <c r="N1946" s="50"/>
      <c r="O1946" s="50"/>
      <c r="P1946" s="50"/>
      <c r="Q1946" s="50"/>
      <c r="R1946" s="50"/>
    </row>
    <row r="1947" spans="1:18" s="43" customFormat="1" x14ac:dyDescent="0.25">
      <c r="A1947" s="52" t="s">
        <v>952</v>
      </c>
      <c r="B1947" s="42"/>
      <c r="C1947" s="52"/>
      <c r="D1947" s="50"/>
      <c r="E1947" s="50"/>
      <c r="F1947" s="50">
        <v>12400</v>
      </c>
      <c r="G1947" s="50"/>
      <c r="H1947" s="50"/>
      <c r="I1947" s="50"/>
      <c r="J1947" s="50"/>
      <c r="K1947" s="50"/>
      <c r="L1947" s="50"/>
      <c r="M1947" s="50"/>
      <c r="N1947" s="50"/>
      <c r="O1947" s="50"/>
      <c r="P1947" s="50"/>
      <c r="Q1947" s="50"/>
      <c r="R1947" s="50"/>
    </row>
    <row r="1948" spans="1:18" s="43" customFormat="1" x14ac:dyDescent="0.25">
      <c r="A1948" s="52" t="s">
        <v>953</v>
      </c>
      <c r="B1948" s="42"/>
      <c r="C1948" s="52"/>
      <c r="D1948" s="50"/>
      <c r="E1948" s="50"/>
      <c r="F1948" s="50">
        <v>13877</v>
      </c>
      <c r="G1948" s="50"/>
      <c r="H1948" s="50"/>
      <c r="I1948" s="50"/>
      <c r="J1948" s="50"/>
      <c r="K1948" s="50"/>
      <c r="L1948" s="50"/>
      <c r="M1948" s="50"/>
      <c r="N1948" s="50"/>
      <c r="O1948" s="50"/>
      <c r="P1948" s="50"/>
      <c r="Q1948" s="50"/>
      <c r="R1948" s="50"/>
    </row>
    <row r="1949" spans="1:18" s="43" customFormat="1" x14ac:dyDescent="0.25">
      <c r="A1949" s="52" t="s">
        <v>1187</v>
      </c>
      <c r="B1949" s="42"/>
      <c r="C1949" s="52"/>
      <c r="D1949" s="50"/>
      <c r="E1949" s="50"/>
      <c r="F1949" s="50">
        <v>44930</v>
      </c>
      <c r="G1949" s="50"/>
      <c r="H1949" s="50"/>
      <c r="I1949" s="50"/>
      <c r="J1949" s="50"/>
      <c r="K1949" s="50"/>
      <c r="L1949" s="50"/>
      <c r="M1949" s="50"/>
      <c r="N1949" s="50"/>
      <c r="O1949" s="50"/>
      <c r="P1949" s="50"/>
      <c r="Q1949" s="50"/>
      <c r="R1949" s="50"/>
    </row>
    <row r="1950" spans="1:18" s="43" customFormat="1" x14ac:dyDescent="0.25">
      <c r="A1950" s="233" t="s">
        <v>1196</v>
      </c>
      <c r="B1950" s="234"/>
      <c r="C1950" s="52"/>
      <c r="D1950" s="50"/>
      <c r="E1950" s="50"/>
      <c r="F1950" s="50"/>
      <c r="G1950" s="50"/>
      <c r="H1950" s="50"/>
      <c r="I1950" s="50"/>
      <c r="J1950" s="50"/>
      <c r="K1950" s="50"/>
      <c r="L1950" s="50"/>
      <c r="M1950" s="50"/>
      <c r="N1950" s="50"/>
      <c r="O1950" s="50"/>
      <c r="P1950" s="50"/>
      <c r="Q1950" s="50"/>
      <c r="R1950" s="50"/>
    </row>
    <row r="1951" spans="1:18" s="43" customFormat="1" x14ac:dyDescent="0.25">
      <c r="A1951" s="235" t="s">
        <v>1197</v>
      </c>
      <c r="B1951" s="236" t="s">
        <v>317</v>
      </c>
      <c r="C1951" s="52"/>
      <c r="D1951" s="50"/>
      <c r="E1951" s="50"/>
      <c r="F1951" s="50"/>
      <c r="G1951" s="50"/>
      <c r="H1951" s="50"/>
      <c r="I1951" s="50"/>
      <c r="J1951" s="50"/>
      <c r="K1951" s="50"/>
      <c r="L1951" s="50"/>
      <c r="M1951" s="50"/>
      <c r="N1951" s="50"/>
      <c r="O1951" s="50"/>
      <c r="P1951" s="50"/>
      <c r="Q1951" s="50"/>
      <c r="R1951" s="50"/>
    </row>
    <row r="1952" spans="1:18" s="43" customFormat="1" x14ac:dyDescent="0.25">
      <c r="A1952" s="237" t="s">
        <v>1198</v>
      </c>
      <c r="B1952" s="238" t="s">
        <v>317</v>
      </c>
      <c r="C1952" s="52"/>
      <c r="D1952" s="50"/>
      <c r="E1952" s="50"/>
      <c r="F1952" s="50"/>
      <c r="G1952" s="50"/>
      <c r="H1952" s="50"/>
      <c r="I1952" s="50"/>
      <c r="J1952" s="50"/>
      <c r="K1952" s="50"/>
      <c r="L1952" s="50"/>
      <c r="M1952" s="50"/>
      <c r="N1952" s="50"/>
      <c r="O1952" s="50"/>
      <c r="P1952" s="50"/>
      <c r="Q1952" s="50"/>
      <c r="R1952" s="50"/>
    </row>
    <row r="1953" spans="1:18" s="43" customFormat="1" x14ac:dyDescent="0.25">
      <c r="A1953" s="237" t="s">
        <v>582</v>
      </c>
      <c r="B1953" s="238" t="s">
        <v>317</v>
      </c>
      <c r="C1953" s="52"/>
      <c r="D1953" s="50"/>
      <c r="E1953" s="50"/>
      <c r="F1953" s="50"/>
      <c r="G1953" s="50"/>
      <c r="H1953" s="50"/>
      <c r="I1953" s="50"/>
      <c r="J1953" s="50"/>
      <c r="K1953" s="50"/>
      <c r="L1953" s="50"/>
      <c r="M1953" s="50"/>
      <c r="N1953" s="50"/>
      <c r="O1953" s="50"/>
      <c r="P1953" s="50"/>
      <c r="Q1953" s="50"/>
      <c r="R1953" s="50"/>
    </row>
    <row r="1954" spans="1:18" s="43" customFormat="1" x14ac:dyDescent="0.25">
      <c r="A1954" s="237" t="s">
        <v>1199</v>
      </c>
      <c r="B1954" s="238" t="s">
        <v>317</v>
      </c>
      <c r="C1954" s="52"/>
      <c r="D1954" s="50"/>
      <c r="E1954" s="50"/>
      <c r="F1954" s="50"/>
      <c r="G1954" s="50"/>
      <c r="H1954" s="50"/>
      <c r="I1954" s="50"/>
      <c r="J1954" s="50"/>
      <c r="K1954" s="50"/>
      <c r="L1954" s="50"/>
      <c r="M1954" s="50"/>
      <c r="N1954" s="50"/>
      <c r="O1954" s="50"/>
      <c r="P1954" s="50"/>
      <c r="Q1954" s="50"/>
      <c r="R1954" s="50"/>
    </row>
    <row r="1955" spans="1:18" s="43" customFormat="1" x14ac:dyDescent="0.25">
      <c r="A1955" s="237" t="s">
        <v>1200</v>
      </c>
      <c r="B1955" s="238" t="s">
        <v>317</v>
      </c>
      <c r="C1955" s="52"/>
      <c r="D1955" s="50"/>
      <c r="E1955" s="50"/>
      <c r="F1955" s="50"/>
      <c r="G1955" s="50"/>
      <c r="H1955" s="50"/>
      <c r="I1955" s="50"/>
      <c r="J1955" s="50"/>
      <c r="K1955" s="50"/>
      <c r="L1955" s="50"/>
      <c r="M1955" s="50"/>
      <c r="N1955" s="50"/>
      <c r="O1955" s="50"/>
      <c r="P1955" s="50"/>
      <c r="Q1955" s="50"/>
      <c r="R1955" s="50"/>
    </row>
    <row r="1956" spans="1:18" s="43" customFormat="1" x14ac:dyDescent="0.25">
      <c r="A1956" s="237" t="s">
        <v>1201</v>
      </c>
      <c r="B1956" s="238" t="s">
        <v>317</v>
      </c>
      <c r="C1956" s="52"/>
      <c r="D1956" s="50"/>
      <c r="E1956" s="50"/>
      <c r="F1956" s="50"/>
      <c r="G1956" s="50"/>
      <c r="H1956" s="50"/>
      <c r="I1956" s="50"/>
      <c r="J1956" s="50"/>
      <c r="K1956" s="50"/>
      <c r="L1956" s="50"/>
      <c r="M1956" s="50"/>
      <c r="N1956" s="50"/>
      <c r="O1956" s="50"/>
      <c r="P1956" s="50"/>
      <c r="Q1956" s="50"/>
      <c r="R1956" s="50"/>
    </row>
    <row r="1957" spans="1:18" s="43" customFormat="1" x14ac:dyDescent="0.25">
      <c r="A1957" s="237" t="s">
        <v>1202</v>
      </c>
      <c r="B1957" s="238" t="s">
        <v>317</v>
      </c>
      <c r="C1957" s="52"/>
      <c r="D1957" s="50"/>
      <c r="E1957" s="50"/>
      <c r="F1957" s="50"/>
      <c r="G1957" s="50"/>
      <c r="H1957" s="50"/>
      <c r="I1957" s="50"/>
      <c r="J1957" s="50"/>
      <c r="K1957" s="50"/>
      <c r="L1957" s="50"/>
      <c r="M1957" s="50"/>
      <c r="N1957" s="50"/>
      <c r="O1957" s="50"/>
      <c r="P1957" s="50"/>
      <c r="Q1957" s="50"/>
      <c r="R1957" s="50"/>
    </row>
    <row r="1958" spans="1:18" s="43" customFormat="1" x14ac:dyDescent="0.25">
      <c r="A1958" s="237" t="s">
        <v>1203</v>
      </c>
      <c r="B1958" s="238" t="s">
        <v>317</v>
      </c>
      <c r="C1958" s="52"/>
      <c r="D1958" s="50"/>
      <c r="E1958" s="50"/>
      <c r="F1958" s="50"/>
      <c r="G1958" s="50"/>
      <c r="H1958" s="50"/>
      <c r="I1958" s="50"/>
      <c r="J1958" s="50"/>
      <c r="K1958" s="50"/>
      <c r="L1958" s="50"/>
      <c r="M1958" s="50"/>
      <c r="N1958" s="50"/>
      <c r="O1958" s="50"/>
      <c r="P1958" s="50"/>
      <c r="Q1958" s="50"/>
      <c r="R1958" s="50"/>
    </row>
    <row r="1959" spans="1:18" s="43" customFormat="1" x14ac:dyDescent="0.25">
      <c r="A1959" s="237" t="s">
        <v>1204</v>
      </c>
      <c r="B1959" s="238" t="s">
        <v>317</v>
      </c>
      <c r="C1959" s="52"/>
      <c r="D1959" s="50"/>
      <c r="E1959" s="50"/>
      <c r="F1959" s="50"/>
      <c r="G1959" s="50"/>
      <c r="H1959" s="50"/>
      <c r="I1959" s="50"/>
      <c r="J1959" s="50"/>
      <c r="K1959" s="50"/>
      <c r="L1959" s="50"/>
      <c r="M1959" s="50"/>
      <c r="N1959" s="50"/>
      <c r="O1959" s="50"/>
      <c r="P1959" s="50"/>
      <c r="Q1959" s="50"/>
      <c r="R1959" s="50"/>
    </row>
    <row r="1960" spans="1:18" s="43" customFormat="1" x14ac:dyDescent="0.25">
      <c r="A1960" s="237" t="s">
        <v>679</v>
      </c>
      <c r="B1960" s="238" t="s">
        <v>317</v>
      </c>
      <c r="C1960" s="52"/>
      <c r="D1960" s="50"/>
      <c r="E1960" s="50"/>
      <c r="F1960" s="50"/>
      <c r="G1960" s="50"/>
      <c r="H1960" s="50"/>
      <c r="I1960" s="50"/>
      <c r="J1960" s="50"/>
      <c r="K1960" s="50"/>
      <c r="L1960" s="50"/>
      <c r="M1960" s="50"/>
      <c r="N1960" s="50"/>
      <c r="O1960" s="50"/>
      <c r="P1960" s="50"/>
      <c r="Q1960" s="50"/>
      <c r="R1960" s="50"/>
    </row>
    <row r="1961" spans="1:18" s="43" customFormat="1" x14ac:dyDescent="0.25">
      <c r="A1961" s="237" t="s">
        <v>1205</v>
      </c>
      <c r="B1961" s="238" t="s">
        <v>317</v>
      </c>
      <c r="C1961" s="52"/>
      <c r="D1961" s="50"/>
      <c r="E1961" s="50"/>
      <c r="F1961" s="50"/>
      <c r="G1961" s="50"/>
      <c r="H1961" s="50"/>
      <c r="I1961" s="50"/>
      <c r="J1961" s="50"/>
      <c r="K1961" s="50"/>
      <c r="L1961" s="50"/>
      <c r="M1961" s="50"/>
      <c r="N1961" s="50"/>
      <c r="O1961" s="50"/>
      <c r="P1961" s="50"/>
      <c r="Q1961" s="50"/>
      <c r="R1961" s="50"/>
    </row>
    <row r="1962" spans="1:18" s="43" customFormat="1" x14ac:dyDescent="0.25">
      <c r="A1962" s="237" t="s">
        <v>1206</v>
      </c>
      <c r="B1962" s="238" t="s">
        <v>317</v>
      </c>
      <c r="C1962" s="52"/>
      <c r="D1962" s="50"/>
      <c r="E1962" s="50"/>
      <c r="F1962" s="50"/>
      <c r="G1962" s="50"/>
      <c r="H1962" s="50"/>
      <c r="I1962" s="50"/>
      <c r="J1962" s="50"/>
      <c r="K1962" s="50"/>
      <c r="L1962" s="50"/>
      <c r="M1962" s="50"/>
      <c r="N1962" s="50"/>
      <c r="O1962" s="50"/>
      <c r="P1962" s="50"/>
      <c r="Q1962" s="50"/>
      <c r="R1962" s="50"/>
    </row>
    <row r="1963" spans="1:18" s="43" customFormat="1" x14ac:dyDescent="0.25">
      <c r="A1963" s="237" t="s">
        <v>1207</v>
      </c>
      <c r="B1963" s="238" t="s">
        <v>317</v>
      </c>
      <c r="C1963" s="52"/>
      <c r="D1963" s="50"/>
      <c r="E1963" s="50"/>
      <c r="F1963" s="50"/>
      <c r="G1963" s="50"/>
      <c r="H1963" s="50"/>
      <c r="I1963" s="50"/>
      <c r="J1963" s="50"/>
      <c r="K1963" s="50"/>
      <c r="L1963" s="50"/>
      <c r="M1963" s="50"/>
      <c r="N1963" s="50"/>
      <c r="O1963" s="50"/>
      <c r="P1963" s="50"/>
      <c r="Q1963" s="50"/>
      <c r="R1963" s="50"/>
    </row>
    <row r="1964" spans="1:18" s="43" customFormat="1" x14ac:dyDescent="0.25">
      <c r="A1964" s="237" t="s">
        <v>508</v>
      </c>
      <c r="B1964" s="238" t="s">
        <v>317</v>
      </c>
      <c r="C1964" s="52"/>
      <c r="D1964" s="50"/>
      <c r="E1964" s="50"/>
      <c r="F1964" s="50"/>
      <c r="G1964" s="50"/>
      <c r="H1964" s="50"/>
      <c r="I1964" s="50"/>
      <c r="J1964" s="50"/>
      <c r="K1964" s="50"/>
      <c r="L1964" s="50"/>
      <c r="M1964" s="50"/>
      <c r="N1964" s="50"/>
      <c r="O1964" s="50"/>
      <c r="P1964" s="50"/>
      <c r="Q1964" s="50"/>
      <c r="R1964" s="50"/>
    </row>
    <row r="1965" spans="1:18" s="43" customFormat="1" x14ac:dyDescent="0.25">
      <c r="A1965" s="237" t="s">
        <v>495</v>
      </c>
      <c r="B1965" s="238" t="s">
        <v>317</v>
      </c>
      <c r="C1965" s="52"/>
      <c r="D1965" s="50"/>
      <c r="E1965" s="50"/>
      <c r="F1965" s="50"/>
      <c r="G1965" s="50"/>
      <c r="H1965" s="50"/>
      <c r="I1965" s="50"/>
      <c r="J1965" s="50"/>
      <c r="K1965" s="50"/>
      <c r="L1965" s="50"/>
      <c r="M1965" s="50"/>
      <c r="N1965" s="50"/>
      <c r="O1965" s="50"/>
      <c r="P1965" s="50"/>
      <c r="Q1965" s="50"/>
      <c r="R1965" s="50"/>
    </row>
    <row r="1966" spans="1:18" s="43" customFormat="1" x14ac:dyDescent="0.25">
      <c r="A1966" s="237" t="s">
        <v>1208</v>
      </c>
      <c r="B1966" s="238" t="s">
        <v>317</v>
      </c>
      <c r="C1966" s="52"/>
      <c r="D1966" s="50"/>
      <c r="E1966" s="50"/>
      <c r="F1966" s="50"/>
      <c r="G1966" s="50"/>
      <c r="H1966" s="50"/>
      <c r="I1966" s="50"/>
      <c r="J1966" s="50"/>
      <c r="K1966" s="50"/>
      <c r="L1966" s="50"/>
      <c r="M1966" s="50"/>
      <c r="N1966" s="50"/>
      <c r="O1966" s="50"/>
      <c r="P1966" s="50"/>
      <c r="Q1966" s="50"/>
      <c r="R1966" s="50"/>
    </row>
    <row r="1967" spans="1:18" s="43" customFormat="1" x14ac:dyDescent="0.25">
      <c r="A1967" s="237" t="s">
        <v>628</v>
      </c>
      <c r="B1967" s="238" t="s">
        <v>317</v>
      </c>
      <c r="C1967" s="52"/>
      <c r="D1967" s="50"/>
      <c r="E1967" s="50"/>
      <c r="F1967" s="50"/>
      <c r="G1967" s="50"/>
      <c r="H1967" s="50"/>
      <c r="I1967" s="50"/>
      <c r="J1967" s="50"/>
      <c r="K1967" s="50"/>
      <c r="L1967" s="50"/>
      <c r="M1967" s="50"/>
      <c r="N1967" s="50"/>
      <c r="O1967" s="50"/>
      <c r="P1967" s="50"/>
      <c r="Q1967" s="50"/>
      <c r="R1967" s="50"/>
    </row>
    <row r="1968" spans="1:18" s="43" customFormat="1" x14ac:dyDescent="0.25">
      <c r="A1968" s="237" t="s">
        <v>1015</v>
      </c>
      <c r="B1968" s="238" t="s">
        <v>317</v>
      </c>
      <c r="C1968" s="52"/>
      <c r="D1968" s="50"/>
      <c r="E1968" s="50"/>
      <c r="F1968" s="50"/>
      <c r="G1968" s="50">
        <v>1825</v>
      </c>
      <c r="H1968" s="50"/>
      <c r="I1968" s="50"/>
      <c r="J1968" s="50"/>
      <c r="K1968" s="50"/>
      <c r="L1968" s="50"/>
      <c r="M1968" s="50"/>
      <c r="N1968" s="50"/>
      <c r="O1968" s="50"/>
      <c r="P1968" s="50"/>
      <c r="Q1968" s="50"/>
      <c r="R1968" s="50"/>
    </row>
    <row r="1969" spans="1:18" s="43" customFormat="1" x14ac:dyDescent="0.25">
      <c r="A1969" s="235" t="s">
        <v>1209</v>
      </c>
      <c r="B1969" s="236"/>
      <c r="C1969" s="52"/>
      <c r="D1969" s="50"/>
      <c r="E1969" s="50"/>
      <c r="F1969" s="50"/>
      <c r="G1969" s="50"/>
      <c r="H1969" s="50"/>
      <c r="I1969" s="50"/>
      <c r="J1969" s="50"/>
      <c r="K1969" s="50"/>
      <c r="L1969" s="50"/>
      <c r="M1969" s="50"/>
      <c r="N1969" s="50"/>
      <c r="O1969" s="50"/>
      <c r="P1969" s="50"/>
      <c r="Q1969" s="50"/>
      <c r="R1969" s="50"/>
    </row>
    <row r="1970" spans="1:18" s="43" customFormat="1" x14ac:dyDescent="0.25">
      <c r="A1970" s="239" t="s">
        <v>1210</v>
      </c>
      <c r="B1970" s="240" t="s">
        <v>487</v>
      </c>
      <c r="C1970" s="52"/>
      <c r="D1970" s="50"/>
      <c r="E1970" s="50"/>
      <c r="F1970" s="50"/>
      <c r="G1970" s="50"/>
      <c r="H1970" s="50"/>
      <c r="I1970" s="50"/>
      <c r="J1970" s="50"/>
      <c r="K1970" s="50"/>
      <c r="L1970" s="50"/>
      <c r="M1970" s="50"/>
      <c r="N1970" s="50"/>
      <c r="O1970" s="50"/>
      <c r="P1970" s="50"/>
      <c r="Q1970" s="50"/>
      <c r="R1970" s="50"/>
    </row>
    <row r="1971" spans="1:18" s="43" customFormat="1" x14ac:dyDescent="0.25">
      <c r="A1971" s="239" t="s">
        <v>1211</v>
      </c>
      <c r="B1971" s="240" t="s">
        <v>487</v>
      </c>
      <c r="C1971" s="52"/>
      <c r="D1971" s="50"/>
      <c r="E1971" s="50"/>
      <c r="F1971" s="50"/>
      <c r="G1971" s="50"/>
      <c r="H1971" s="50"/>
      <c r="I1971" s="50"/>
      <c r="J1971" s="50"/>
      <c r="K1971" s="50"/>
      <c r="L1971" s="50"/>
      <c r="M1971" s="50"/>
      <c r="N1971" s="50"/>
      <c r="O1971" s="50"/>
      <c r="P1971" s="50"/>
      <c r="Q1971" s="50"/>
      <c r="R1971" s="50"/>
    </row>
    <row r="1972" spans="1:18" s="43" customFormat="1" x14ac:dyDescent="0.25">
      <c r="A1972" s="239" t="s">
        <v>862</v>
      </c>
      <c r="B1972" s="240" t="s">
        <v>487</v>
      </c>
      <c r="C1972" s="52"/>
      <c r="D1972" s="50"/>
      <c r="E1972" s="50"/>
      <c r="F1972" s="50"/>
      <c r="G1972" s="50"/>
      <c r="H1972" s="50"/>
      <c r="I1972" s="50"/>
      <c r="J1972" s="50"/>
      <c r="K1972" s="50"/>
      <c r="L1972" s="50"/>
      <c r="M1972" s="50"/>
      <c r="N1972" s="50"/>
      <c r="O1972" s="50"/>
      <c r="P1972" s="50"/>
      <c r="Q1972" s="50"/>
      <c r="R1972" s="50"/>
    </row>
    <row r="1973" spans="1:18" s="43" customFormat="1" x14ac:dyDescent="0.25">
      <c r="A1973" s="239" t="s">
        <v>525</v>
      </c>
      <c r="B1973" s="240" t="s">
        <v>487</v>
      </c>
      <c r="C1973" s="52"/>
      <c r="D1973" s="50"/>
      <c r="E1973" s="50"/>
      <c r="F1973" s="50"/>
      <c r="G1973" s="50"/>
      <c r="H1973" s="50"/>
      <c r="I1973" s="50"/>
      <c r="J1973" s="50"/>
      <c r="K1973" s="50"/>
      <c r="L1973" s="50"/>
      <c r="M1973" s="50"/>
      <c r="N1973" s="50"/>
      <c r="O1973" s="50"/>
      <c r="P1973" s="50"/>
      <c r="Q1973" s="50"/>
      <c r="R1973" s="50"/>
    </row>
    <row r="1974" spans="1:18" s="43" customFormat="1" x14ac:dyDescent="0.25">
      <c r="A1974" s="239" t="s">
        <v>549</v>
      </c>
      <c r="B1974" s="240" t="s">
        <v>487</v>
      </c>
      <c r="C1974" s="52"/>
      <c r="D1974" s="50"/>
      <c r="E1974" s="50"/>
      <c r="F1974" s="50"/>
      <c r="G1974" s="50"/>
      <c r="H1974" s="50"/>
      <c r="I1974" s="50"/>
      <c r="J1974" s="50"/>
      <c r="K1974" s="50"/>
      <c r="L1974" s="50"/>
      <c r="M1974" s="50"/>
      <c r="N1974" s="50"/>
      <c r="O1974" s="50"/>
      <c r="P1974" s="50"/>
      <c r="Q1974" s="50"/>
      <c r="R1974" s="50"/>
    </row>
    <row r="1975" spans="1:18" s="43" customFormat="1" x14ac:dyDescent="0.25">
      <c r="A1975" s="239" t="s">
        <v>858</v>
      </c>
      <c r="B1975" s="240" t="s">
        <v>487</v>
      </c>
      <c r="C1975" s="52"/>
      <c r="D1975" s="50"/>
      <c r="E1975" s="50"/>
      <c r="F1975" s="50"/>
      <c r="G1975" s="50"/>
      <c r="H1975" s="50"/>
      <c r="I1975" s="50"/>
      <c r="J1975" s="50"/>
      <c r="K1975" s="50"/>
      <c r="L1975" s="50"/>
      <c r="M1975" s="50"/>
      <c r="N1975" s="50"/>
      <c r="O1975" s="50"/>
      <c r="P1975" s="50"/>
      <c r="Q1975" s="50"/>
      <c r="R1975" s="50"/>
    </row>
    <row r="1976" spans="1:18" s="43" customFormat="1" x14ac:dyDescent="0.25">
      <c r="A1976" s="239" t="s">
        <v>860</v>
      </c>
      <c r="B1976" s="240" t="s">
        <v>487</v>
      </c>
      <c r="C1976" s="52"/>
      <c r="D1976" s="50"/>
      <c r="E1976" s="50"/>
      <c r="F1976" s="50"/>
      <c r="G1976" s="50"/>
      <c r="H1976" s="50"/>
      <c r="I1976" s="50"/>
      <c r="J1976" s="50"/>
      <c r="K1976" s="50"/>
      <c r="L1976" s="50"/>
      <c r="M1976" s="50"/>
      <c r="N1976" s="50"/>
      <c r="O1976" s="50"/>
      <c r="P1976" s="50"/>
      <c r="Q1976" s="50"/>
      <c r="R1976" s="50"/>
    </row>
    <row r="1977" spans="1:18" s="43" customFormat="1" x14ac:dyDescent="0.25">
      <c r="A1977" s="235" t="s">
        <v>1212</v>
      </c>
      <c r="B1977" s="236"/>
      <c r="C1977" s="52"/>
      <c r="D1977" s="50"/>
      <c r="E1977" s="50"/>
      <c r="F1977" s="50"/>
      <c r="G1977" s="50"/>
      <c r="H1977" s="50"/>
      <c r="I1977" s="50"/>
      <c r="J1977" s="50"/>
      <c r="K1977" s="50"/>
      <c r="L1977" s="50"/>
      <c r="M1977" s="50"/>
      <c r="N1977" s="50"/>
      <c r="O1977" s="50"/>
      <c r="P1977" s="50"/>
      <c r="Q1977" s="50"/>
      <c r="R1977" s="50"/>
    </row>
    <row r="1978" spans="1:18" s="43" customFormat="1" x14ac:dyDescent="0.25">
      <c r="A1978" s="233" t="s">
        <v>1213</v>
      </c>
      <c r="B1978" s="241" t="s">
        <v>1183</v>
      </c>
      <c r="C1978" s="52"/>
      <c r="D1978" s="50"/>
      <c r="E1978" s="50"/>
      <c r="F1978" s="50"/>
      <c r="G1978" s="50"/>
      <c r="H1978" s="50"/>
      <c r="I1978" s="50"/>
      <c r="J1978" s="50"/>
      <c r="K1978" s="50"/>
      <c r="L1978" s="50"/>
      <c r="M1978" s="50"/>
      <c r="N1978" s="50"/>
      <c r="O1978" s="50"/>
      <c r="P1978" s="50"/>
      <c r="Q1978" s="50"/>
      <c r="R1978" s="50"/>
    </row>
    <row r="1979" spans="1:18" s="43" customFormat="1" x14ac:dyDescent="0.25">
      <c r="A1979" s="147" t="s">
        <v>963</v>
      </c>
      <c r="B1979" s="241" t="s">
        <v>1183</v>
      </c>
      <c r="C1979" s="52"/>
      <c r="D1979" s="50"/>
      <c r="E1979" s="50"/>
      <c r="F1979" s="50"/>
      <c r="G1979" s="50"/>
      <c r="H1979" s="50"/>
      <c r="I1979" s="50"/>
      <c r="J1979" s="50"/>
      <c r="K1979" s="50"/>
      <c r="L1979" s="50"/>
      <c r="M1979" s="50"/>
      <c r="N1979" s="50"/>
      <c r="O1979" s="50"/>
      <c r="P1979" s="50"/>
      <c r="Q1979" s="50"/>
      <c r="R1979" s="50"/>
    </row>
    <row r="1980" spans="1:18" s="43" customFormat="1" x14ac:dyDescent="0.25">
      <c r="A1980" s="147" t="s">
        <v>1214</v>
      </c>
      <c r="B1980" s="241" t="s">
        <v>1183</v>
      </c>
      <c r="C1980" s="52"/>
      <c r="D1980" s="50"/>
      <c r="E1980" s="50"/>
      <c r="F1980" s="50"/>
      <c r="G1980" s="50"/>
      <c r="H1980" s="50"/>
      <c r="I1980" s="50"/>
      <c r="J1980" s="50"/>
      <c r="K1980" s="50"/>
      <c r="L1980" s="50"/>
      <c r="M1980" s="50"/>
      <c r="N1980" s="50"/>
      <c r="O1980" s="50"/>
      <c r="P1980" s="50"/>
      <c r="Q1980" s="50"/>
      <c r="R1980" s="50"/>
    </row>
    <row r="1981" spans="1:18" s="43" customFormat="1" x14ac:dyDescent="0.25">
      <c r="A1981" s="147" t="s">
        <v>1215</v>
      </c>
      <c r="B1981" s="241" t="s">
        <v>1183</v>
      </c>
      <c r="C1981" s="52"/>
      <c r="D1981" s="50"/>
      <c r="E1981" s="50"/>
      <c r="F1981" s="50"/>
      <c r="G1981" s="50"/>
      <c r="H1981" s="50"/>
      <c r="I1981" s="50"/>
      <c r="J1981" s="50"/>
      <c r="K1981" s="50"/>
      <c r="L1981" s="50"/>
      <c r="M1981" s="50"/>
      <c r="N1981" s="50"/>
      <c r="O1981" s="50"/>
      <c r="P1981" s="50"/>
      <c r="Q1981" s="50"/>
      <c r="R1981" s="50"/>
    </row>
    <row r="1982" spans="1:18" s="43" customFormat="1" x14ac:dyDescent="0.25">
      <c r="A1982" s="147" t="s">
        <v>1216</v>
      </c>
      <c r="B1982" s="241" t="s">
        <v>1183</v>
      </c>
      <c r="C1982" s="52"/>
      <c r="D1982" s="50"/>
      <c r="E1982" s="50"/>
      <c r="F1982" s="50"/>
      <c r="G1982" s="50"/>
      <c r="H1982" s="50"/>
      <c r="I1982" s="50"/>
      <c r="J1982" s="50"/>
      <c r="K1982" s="50"/>
      <c r="L1982" s="50"/>
      <c r="M1982" s="50"/>
      <c r="N1982" s="50"/>
      <c r="O1982" s="50"/>
      <c r="P1982" s="50"/>
      <c r="Q1982" s="50"/>
      <c r="R1982" s="50"/>
    </row>
    <row r="1983" spans="1:18" s="43" customFormat="1" x14ac:dyDescent="0.25">
      <c r="A1983" s="233" t="s">
        <v>1217</v>
      </c>
      <c r="B1983" s="241" t="s">
        <v>1183</v>
      </c>
      <c r="C1983" s="52"/>
      <c r="D1983" s="50"/>
      <c r="E1983" s="50"/>
      <c r="F1983" s="50"/>
      <c r="G1983" s="50"/>
      <c r="H1983" s="50"/>
      <c r="I1983" s="50"/>
      <c r="J1983" s="50"/>
      <c r="K1983" s="50"/>
      <c r="L1983" s="50"/>
      <c r="M1983" s="50"/>
      <c r="N1983" s="50"/>
      <c r="O1983" s="50"/>
      <c r="P1983" s="50"/>
      <c r="Q1983" s="50"/>
      <c r="R1983" s="50"/>
    </row>
    <row r="1984" spans="1:18" s="43" customFormat="1" x14ac:dyDescent="0.25">
      <c r="A1984" s="147" t="s">
        <v>1218</v>
      </c>
      <c r="B1984" s="241" t="s">
        <v>1183</v>
      </c>
      <c r="C1984" s="52"/>
      <c r="D1984" s="50"/>
      <c r="E1984" s="50"/>
      <c r="F1984" s="50"/>
      <c r="G1984" s="50"/>
      <c r="H1984" s="50"/>
      <c r="I1984" s="50"/>
      <c r="J1984" s="50"/>
      <c r="K1984" s="50"/>
      <c r="L1984" s="50"/>
      <c r="M1984" s="50"/>
      <c r="N1984" s="50"/>
      <c r="O1984" s="50"/>
      <c r="P1984" s="50"/>
      <c r="Q1984" s="50"/>
      <c r="R1984" s="50"/>
    </row>
    <row r="1985" spans="1:18" s="43" customFormat="1" x14ac:dyDescent="0.25">
      <c r="A1985" s="147" t="s">
        <v>1219</v>
      </c>
      <c r="B1985" s="241" t="s">
        <v>1183</v>
      </c>
      <c r="C1985" s="52"/>
      <c r="D1985" s="50"/>
      <c r="E1985" s="50"/>
      <c r="F1985" s="50"/>
      <c r="G1985" s="50"/>
      <c r="H1985" s="50"/>
      <c r="I1985" s="50"/>
      <c r="J1985" s="50"/>
      <c r="K1985" s="50"/>
      <c r="L1985" s="50"/>
      <c r="M1985" s="50"/>
      <c r="N1985" s="50"/>
      <c r="O1985" s="50"/>
      <c r="P1985" s="50"/>
      <c r="Q1985" s="50"/>
      <c r="R1985" s="50"/>
    </row>
    <row r="1986" spans="1:18" s="43" customFormat="1" x14ac:dyDescent="0.25">
      <c r="A1986" s="147" t="s">
        <v>1220</v>
      </c>
      <c r="B1986" s="241" t="s">
        <v>1183</v>
      </c>
      <c r="C1986" s="52"/>
      <c r="D1986" s="50"/>
      <c r="E1986" s="50"/>
      <c r="F1986" s="50"/>
      <c r="G1986" s="50"/>
      <c r="H1986" s="50"/>
      <c r="I1986" s="50"/>
      <c r="J1986" s="50"/>
      <c r="K1986" s="50"/>
      <c r="L1986" s="50"/>
      <c r="M1986" s="50"/>
      <c r="N1986" s="50"/>
      <c r="O1986" s="50"/>
      <c r="P1986" s="50"/>
      <c r="Q1986" s="50"/>
      <c r="R1986" s="50"/>
    </row>
    <row r="1987" spans="1:18" s="43" customFormat="1" x14ac:dyDescent="0.25">
      <c r="A1987" s="147" t="s">
        <v>1221</v>
      </c>
      <c r="B1987" s="241" t="s">
        <v>1183</v>
      </c>
      <c r="C1987" s="52"/>
      <c r="D1987" s="50"/>
      <c r="E1987" s="50"/>
      <c r="F1987" s="50"/>
      <c r="G1987" s="50"/>
      <c r="H1987" s="50"/>
      <c r="I1987" s="50"/>
      <c r="J1987" s="50"/>
      <c r="K1987" s="50"/>
      <c r="L1987" s="50"/>
      <c r="M1987" s="50"/>
      <c r="N1987" s="50"/>
      <c r="O1987" s="50"/>
      <c r="P1987" s="50"/>
      <c r="Q1987" s="50"/>
      <c r="R1987" s="50"/>
    </row>
    <row r="1988" spans="1:18" s="43" customFormat="1" x14ac:dyDescent="0.25">
      <c r="A1988" s="147" t="s">
        <v>1222</v>
      </c>
      <c r="B1988" s="241" t="s">
        <v>1183</v>
      </c>
      <c r="C1988" s="52"/>
      <c r="D1988" s="50"/>
      <c r="E1988" s="50"/>
      <c r="F1988" s="50"/>
      <c r="G1988" s="50"/>
      <c r="H1988" s="50"/>
      <c r="I1988" s="50"/>
      <c r="J1988" s="50"/>
      <c r="K1988" s="50"/>
      <c r="L1988" s="50"/>
      <c r="M1988" s="50"/>
      <c r="N1988" s="50"/>
      <c r="O1988" s="50"/>
      <c r="P1988" s="50"/>
      <c r="Q1988" s="50"/>
      <c r="R1988" s="50"/>
    </row>
    <row r="1989" spans="1:18" s="43" customFormat="1" x14ac:dyDescent="0.25">
      <c r="A1989" s="147" t="s">
        <v>1223</v>
      </c>
      <c r="B1989" s="241" t="s">
        <v>1183</v>
      </c>
      <c r="C1989" s="52"/>
      <c r="D1989" s="50"/>
      <c r="E1989" s="50"/>
      <c r="F1989" s="50"/>
      <c r="G1989" s="50"/>
      <c r="H1989" s="50"/>
      <c r="I1989" s="50"/>
      <c r="J1989" s="50"/>
      <c r="K1989" s="50"/>
      <c r="L1989" s="50"/>
      <c r="M1989" s="50"/>
      <c r="N1989" s="50"/>
      <c r="O1989" s="50"/>
      <c r="P1989" s="50"/>
      <c r="Q1989" s="50"/>
      <c r="R1989" s="50"/>
    </row>
    <row r="1990" spans="1:18" s="43" customFormat="1" x14ac:dyDescent="0.25">
      <c r="A1990" s="147" t="s">
        <v>972</v>
      </c>
      <c r="B1990" s="241" t="s">
        <v>1183</v>
      </c>
      <c r="C1990" s="52"/>
      <c r="D1990" s="50"/>
      <c r="E1990" s="50"/>
      <c r="F1990" s="50"/>
      <c r="G1990" s="50"/>
      <c r="H1990" s="50"/>
      <c r="I1990" s="50"/>
      <c r="J1990" s="50"/>
      <c r="K1990" s="50"/>
      <c r="L1990" s="50"/>
      <c r="M1990" s="50"/>
      <c r="N1990" s="50"/>
      <c r="O1990" s="50"/>
      <c r="P1990" s="50"/>
      <c r="Q1990" s="50"/>
      <c r="R1990" s="50"/>
    </row>
    <row r="1991" spans="1:18" s="43" customFormat="1" x14ac:dyDescent="0.25">
      <c r="A1991" s="233" t="s">
        <v>1016</v>
      </c>
      <c r="B1991" s="241" t="s">
        <v>1183</v>
      </c>
      <c r="C1991" s="52"/>
      <c r="D1991" s="50"/>
      <c r="E1991" s="50"/>
      <c r="F1991" s="50"/>
      <c r="G1991" s="50"/>
      <c r="H1991" s="50"/>
      <c r="I1991" s="50"/>
      <c r="J1991" s="50"/>
      <c r="K1991" s="50"/>
      <c r="L1991" s="50"/>
      <c r="M1991" s="50"/>
      <c r="N1991" s="50"/>
      <c r="O1991" s="50"/>
      <c r="P1991" s="50"/>
      <c r="Q1991" s="50"/>
      <c r="R1991" s="50"/>
    </row>
    <row r="1992" spans="1:18" s="43" customFormat="1" x14ac:dyDescent="0.25">
      <c r="A1992" s="147" t="s">
        <v>1018</v>
      </c>
      <c r="B1992" s="241" t="s">
        <v>1183</v>
      </c>
      <c r="C1992" s="52"/>
      <c r="D1992" s="50"/>
      <c r="E1992" s="50"/>
      <c r="F1992" s="50"/>
      <c r="G1992" s="50"/>
      <c r="H1992" s="50"/>
      <c r="I1992" s="50"/>
      <c r="J1992" s="50"/>
      <c r="K1992" s="50"/>
      <c r="L1992" s="50"/>
      <c r="M1992" s="50"/>
      <c r="N1992" s="50"/>
      <c r="O1992" s="50"/>
      <c r="P1992" s="50"/>
      <c r="Q1992" s="50"/>
      <c r="R1992" s="50"/>
    </row>
    <row r="1993" spans="1:18" s="43" customFormat="1" x14ac:dyDescent="0.25">
      <c r="A1993" s="147" t="s">
        <v>1020</v>
      </c>
      <c r="B1993" s="241" t="s">
        <v>1183</v>
      </c>
      <c r="C1993" s="52"/>
      <c r="D1993" s="50"/>
      <c r="E1993" s="50"/>
      <c r="F1993" s="50"/>
      <c r="G1993" s="50"/>
      <c r="H1993" s="50"/>
      <c r="I1993" s="50"/>
      <c r="J1993" s="50"/>
      <c r="K1993" s="50"/>
      <c r="L1993" s="50"/>
      <c r="M1993" s="50"/>
      <c r="N1993" s="50"/>
      <c r="O1993" s="50"/>
      <c r="P1993" s="50"/>
      <c r="Q1993" s="50"/>
      <c r="R1993" s="50"/>
    </row>
    <row r="1994" spans="1:18" s="43" customFormat="1" x14ac:dyDescent="0.25">
      <c r="A1994" s="147" t="s">
        <v>1224</v>
      </c>
      <c r="B1994" s="241" t="s">
        <v>1183</v>
      </c>
      <c r="C1994" s="52"/>
      <c r="D1994" s="50"/>
      <c r="E1994" s="50"/>
      <c r="F1994" s="50"/>
      <c r="G1994" s="50"/>
      <c r="H1994" s="50"/>
      <c r="I1994" s="50"/>
      <c r="J1994" s="50"/>
      <c r="K1994" s="50"/>
      <c r="L1994" s="50"/>
      <c r="M1994" s="50"/>
      <c r="N1994" s="50"/>
      <c r="O1994" s="50"/>
      <c r="P1994" s="50"/>
      <c r="Q1994" s="50"/>
      <c r="R1994" s="50"/>
    </row>
    <row r="1995" spans="1:18" s="43" customFormat="1" x14ac:dyDescent="0.25">
      <c r="A1995" s="233" t="s">
        <v>1225</v>
      </c>
      <c r="B1995" s="241" t="s">
        <v>1183</v>
      </c>
      <c r="C1995" s="52"/>
      <c r="D1995" s="50"/>
      <c r="E1995" s="50"/>
      <c r="F1995" s="50"/>
      <c r="G1995" s="50"/>
      <c r="H1995" s="50"/>
      <c r="I1995" s="50"/>
      <c r="J1995" s="50"/>
      <c r="K1995" s="50"/>
      <c r="L1995" s="50"/>
      <c r="M1995" s="50"/>
      <c r="N1995" s="50"/>
      <c r="O1995" s="50"/>
      <c r="P1995" s="50"/>
      <c r="Q1995" s="50"/>
      <c r="R1995" s="50"/>
    </row>
    <row r="1996" spans="1:18" s="43" customFormat="1" x14ac:dyDescent="0.25">
      <c r="A1996" s="147" t="s">
        <v>588</v>
      </c>
      <c r="B1996" s="241" t="s">
        <v>1183</v>
      </c>
      <c r="C1996" s="52"/>
      <c r="D1996" s="50"/>
      <c r="E1996" s="50"/>
      <c r="F1996" s="50"/>
      <c r="G1996" s="50"/>
      <c r="H1996" s="50"/>
      <c r="I1996" s="50"/>
      <c r="J1996" s="50"/>
      <c r="K1996" s="50"/>
      <c r="L1996" s="50"/>
      <c r="M1996" s="50"/>
      <c r="N1996" s="50"/>
      <c r="O1996" s="50"/>
      <c r="P1996" s="50"/>
      <c r="Q1996" s="50"/>
      <c r="R1996" s="50"/>
    </row>
    <row r="1997" spans="1:18" s="43" customFormat="1" x14ac:dyDescent="0.25">
      <c r="A1997" s="147" t="s">
        <v>596</v>
      </c>
      <c r="B1997" s="241" t="s">
        <v>1183</v>
      </c>
      <c r="C1997" s="52"/>
      <c r="D1997" s="50"/>
      <c r="E1997" s="50"/>
      <c r="F1997" s="50"/>
      <c r="G1997" s="50"/>
      <c r="H1997" s="50"/>
      <c r="I1997" s="50"/>
      <c r="J1997" s="50"/>
      <c r="K1997" s="50"/>
      <c r="L1997" s="50"/>
      <c r="M1997" s="50"/>
      <c r="N1997" s="50"/>
      <c r="O1997" s="50"/>
      <c r="P1997" s="50"/>
      <c r="Q1997" s="50"/>
      <c r="R1997" s="50"/>
    </row>
    <row r="1998" spans="1:18" s="43" customFormat="1" x14ac:dyDescent="0.25">
      <c r="A1998" s="242" t="s">
        <v>594</v>
      </c>
      <c r="B1998" s="241" t="s">
        <v>1183</v>
      </c>
      <c r="C1998" s="52"/>
      <c r="D1998" s="50"/>
      <c r="E1998" s="50"/>
      <c r="F1998" s="50"/>
      <c r="G1998" s="50"/>
      <c r="H1998" s="50"/>
      <c r="I1998" s="50"/>
      <c r="J1998" s="50"/>
      <c r="K1998" s="50"/>
      <c r="L1998" s="50"/>
      <c r="M1998" s="50"/>
      <c r="N1998" s="50"/>
      <c r="O1998" s="50"/>
      <c r="P1998" s="50"/>
      <c r="Q1998" s="50"/>
      <c r="R1998" s="50"/>
    </row>
    <row r="1999" spans="1:18" s="43" customFormat="1" x14ac:dyDescent="0.25">
      <c r="A1999" s="242" t="s">
        <v>595</v>
      </c>
      <c r="B1999" s="241" t="s">
        <v>1183</v>
      </c>
      <c r="C1999" s="52"/>
      <c r="D1999" s="50"/>
      <c r="E1999" s="50"/>
      <c r="F1999" s="50"/>
      <c r="G1999" s="50"/>
      <c r="H1999" s="50"/>
      <c r="I1999" s="50"/>
      <c r="J1999" s="50"/>
      <c r="K1999" s="50"/>
      <c r="L1999" s="50"/>
      <c r="M1999" s="50"/>
      <c r="N1999" s="50"/>
      <c r="O1999" s="50"/>
      <c r="P1999" s="50"/>
      <c r="Q1999" s="50"/>
      <c r="R1999" s="50"/>
    </row>
    <row r="2000" spans="1:18" s="43" customFormat="1" x14ac:dyDescent="0.25">
      <c r="A2000" s="243" t="s">
        <v>1226</v>
      </c>
      <c r="B2000" s="236"/>
      <c r="C2000" s="52"/>
      <c r="D2000" s="50"/>
      <c r="E2000" s="50"/>
      <c r="F2000" s="50"/>
      <c r="G2000" s="50"/>
      <c r="H2000" s="50"/>
      <c r="I2000" s="50"/>
      <c r="J2000" s="50"/>
      <c r="K2000" s="50"/>
      <c r="L2000" s="50"/>
      <c r="M2000" s="50"/>
      <c r="N2000" s="50"/>
      <c r="O2000" s="50"/>
      <c r="P2000" s="50"/>
      <c r="Q2000" s="50"/>
      <c r="R2000" s="50"/>
    </row>
    <row r="2001" spans="1:18" s="43" customFormat="1" x14ac:dyDescent="0.25">
      <c r="A2001" s="140" t="s">
        <v>505</v>
      </c>
      <c r="B2001" s="244" t="s">
        <v>506</v>
      </c>
      <c r="C2001" s="52"/>
      <c r="D2001" s="50"/>
      <c r="E2001" s="50"/>
      <c r="F2001" s="50"/>
      <c r="G2001" s="50">
        <v>20000</v>
      </c>
      <c r="H2001" s="50"/>
      <c r="I2001" s="50"/>
      <c r="J2001" s="50"/>
      <c r="K2001" s="50"/>
      <c r="L2001" s="50"/>
      <c r="M2001" s="50"/>
      <c r="N2001" s="50"/>
      <c r="O2001" s="50"/>
      <c r="P2001" s="50"/>
      <c r="Q2001" s="50"/>
      <c r="R2001" s="50"/>
    </row>
    <row r="2002" spans="1:18" s="43" customFormat="1" x14ac:dyDescent="0.25">
      <c r="A2002" s="140" t="s">
        <v>507</v>
      </c>
      <c r="B2002" s="244" t="s">
        <v>506</v>
      </c>
      <c r="C2002" s="52"/>
      <c r="D2002" s="50"/>
      <c r="E2002" s="50"/>
      <c r="F2002" s="50"/>
      <c r="G2002" s="50">
        <v>21900</v>
      </c>
      <c r="H2002" s="50"/>
      <c r="I2002" s="50"/>
      <c r="J2002" s="50"/>
      <c r="K2002" s="50"/>
      <c r="L2002" s="50"/>
      <c r="M2002" s="50"/>
      <c r="N2002" s="50"/>
      <c r="O2002" s="50"/>
      <c r="P2002" s="50"/>
      <c r="Q2002" s="50"/>
      <c r="R2002" s="50"/>
    </row>
    <row r="2003" spans="1:18" s="43" customFormat="1" x14ac:dyDescent="0.25">
      <c r="A2003" s="245" t="s">
        <v>810</v>
      </c>
      <c r="B2003" s="244" t="s">
        <v>506</v>
      </c>
      <c r="C2003" s="52"/>
      <c r="D2003" s="50"/>
      <c r="E2003" s="50"/>
      <c r="F2003" s="50"/>
      <c r="G2003" s="50">
        <v>6277</v>
      </c>
      <c r="H2003" s="50"/>
      <c r="I2003" s="50"/>
      <c r="J2003" s="50"/>
      <c r="K2003" s="50"/>
      <c r="L2003" s="50"/>
      <c r="M2003" s="50"/>
      <c r="N2003" s="50"/>
      <c r="O2003" s="50"/>
      <c r="P2003" s="50"/>
      <c r="Q2003" s="50"/>
      <c r="R2003" s="50"/>
    </row>
    <row r="2004" spans="1:18" s="43" customFormat="1" x14ac:dyDescent="0.25">
      <c r="A2004" s="140" t="s">
        <v>1227</v>
      </c>
      <c r="B2004" s="244" t="s">
        <v>506</v>
      </c>
      <c r="C2004" s="52"/>
      <c r="D2004" s="50"/>
      <c r="E2004" s="50"/>
      <c r="F2004" s="50"/>
      <c r="G2004" s="50">
        <v>7562</v>
      </c>
      <c r="H2004" s="50"/>
      <c r="I2004" s="50"/>
      <c r="J2004" s="50"/>
      <c r="K2004" s="50"/>
      <c r="L2004" s="50"/>
      <c r="M2004" s="50"/>
      <c r="N2004" s="50"/>
      <c r="O2004" s="50"/>
      <c r="P2004" s="50"/>
      <c r="Q2004" s="50"/>
      <c r="R2004" s="50"/>
    </row>
    <row r="2005" spans="1:18" s="43" customFormat="1" x14ac:dyDescent="0.25">
      <c r="A2005" s="246" t="s">
        <v>1228</v>
      </c>
      <c r="B2005" s="247" t="s">
        <v>691</v>
      </c>
      <c r="C2005" s="52"/>
      <c r="D2005" s="50"/>
      <c r="E2005" s="50"/>
      <c r="F2005" s="50"/>
      <c r="G2005" s="50">
        <v>20000</v>
      </c>
      <c r="H2005" s="50"/>
      <c r="I2005" s="50"/>
      <c r="J2005" s="50"/>
      <c r="K2005" s="50"/>
      <c r="L2005" s="50"/>
      <c r="M2005" s="50"/>
      <c r="N2005" s="50"/>
      <c r="O2005" s="50"/>
      <c r="P2005" s="50"/>
      <c r="Q2005" s="50"/>
      <c r="R2005" s="50"/>
    </row>
    <row r="2006" spans="1:18" s="43" customFormat="1" x14ac:dyDescent="0.25">
      <c r="A2006" s="147" t="s">
        <v>310</v>
      </c>
      <c r="B2006" s="247"/>
      <c r="C2006" s="52"/>
      <c r="D2006" s="50"/>
      <c r="E2006" s="50"/>
      <c r="F2006" s="50"/>
      <c r="G2006" s="50"/>
      <c r="H2006" s="50"/>
      <c r="I2006" s="50"/>
      <c r="J2006" s="50"/>
      <c r="K2006" s="50"/>
      <c r="L2006" s="50"/>
      <c r="M2006" s="50"/>
      <c r="N2006" s="50"/>
      <c r="O2006" s="50"/>
      <c r="P2006" s="50"/>
      <c r="Q2006" s="50"/>
      <c r="R2006" s="50"/>
    </row>
    <row r="2007" spans="1:18" s="43" customFormat="1" x14ac:dyDescent="0.25">
      <c r="A2007" s="147" t="s">
        <v>249</v>
      </c>
      <c r="B2007" s="247"/>
      <c r="C2007" s="52"/>
      <c r="D2007" s="50"/>
      <c r="E2007" s="50"/>
      <c r="F2007" s="50"/>
      <c r="G2007" s="50"/>
      <c r="H2007" s="50"/>
      <c r="I2007" s="50"/>
      <c r="J2007" s="50"/>
      <c r="K2007" s="50"/>
      <c r="L2007" s="50"/>
      <c r="M2007" s="50"/>
      <c r="N2007" s="50"/>
      <c r="O2007" s="50"/>
      <c r="P2007" s="50"/>
      <c r="Q2007" s="50"/>
      <c r="R2007" s="50"/>
    </row>
    <row r="2008" spans="1:18" s="43" customFormat="1" x14ac:dyDescent="0.25">
      <c r="A2008" s="147" t="s">
        <v>815</v>
      </c>
      <c r="B2008" s="247"/>
      <c r="C2008" s="52"/>
      <c r="D2008" s="50"/>
      <c r="E2008" s="50"/>
      <c r="F2008" s="50"/>
      <c r="G2008" s="50"/>
      <c r="H2008" s="50"/>
      <c r="I2008" s="50"/>
      <c r="J2008" s="50"/>
      <c r="K2008" s="50"/>
      <c r="L2008" s="50"/>
      <c r="M2008" s="50"/>
      <c r="N2008" s="50"/>
      <c r="O2008" s="50"/>
      <c r="P2008" s="50"/>
      <c r="Q2008" s="50"/>
      <c r="R2008" s="50"/>
    </row>
    <row r="2009" spans="1:18" s="43" customFormat="1" x14ac:dyDescent="0.25">
      <c r="A2009" s="147" t="s">
        <v>1229</v>
      </c>
      <c r="B2009" s="247"/>
      <c r="C2009" s="52"/>
      <c r="D2009" s="50"/>
      <c r="E2009" s="50"/>
      <c r="F2009" s="50"/>
      <c r="G2009" s="50"/>
      <c r="H2009" s="50"/>
      <c r="I2009" s="50"/>
      <c r="J2009" s="50"/>
      <c r="K2009" s="50"/>
      <c r="L2009" s="50"/>
      <c r="M2009" s="50"/>
      <c r="N2009" s="50"/>
      <c r="O2009" s="50"/>
      <c r="P2009" s="50"/>
      <c r="Q2009" s="50"/>
      <c r="R2009" s="50"/>
    </row>
    <row r="2010" spans="1:18" s="43" customFormat="1" x14ac:dyDescent="0.25">
      <c r="A2010" s="147" t="s">
        <v>1230</v>
      </c>
      <c r="B2010" s="247"/>
      <c r="C2010" s="52"/>
      <c r="D2010" s="50"/>
      <c r="E2010" s="50"/>
      <c r="F2010" s="50"/>
      <c r="G2010" s="50"/>
      <c r="H2010" s="50"/>
      <c r="I2010" s="50"/>
      <c r="J2010" s="50"/>
      <c r="K2010" s="50"/>
      <c r="L2010" s="50"/>
      <c r="M2010" s="50"/>
      <c r="N2010" s="50"/>
      <c r="O2010" s="50"/>
      <c r="P2010" s="50"/>
      <c r="Q2010" s="50"/>
      <c r="R2010" s="50"/>
    </row>
    <row r="2011" spans="1:18" s="43" customFormat="1" x14ac:dyDescent="0.25">
      <c r="A2011" s="147" t="s">
        <v>1231</v>
      </c>
      <c r="B2011" s="247"/>
      <c r="C2011" s="52"/>
      <c r="D2011" s="50"/>
      <c r="E2011" s="50"/>
      <c r="F2011" s="50"/>
      <c r="G2011" s="50"/>
      <c r="H2011" s="50"/>
      <c r="I2011" s="50"/>
      <c r="J2011" s="50"/>
      <c r="K2011" s="50"/>
      <c r="L2011" s="50"/>
      <c r="M2011" s="50"/>
      <c r="N2011" s="50"/>
      <c r="O2011" s="50"/>
      <c r="P2011" s="50"/>
      <c r="Q2011" s="50"/>
      <c r="R2011" s="50"/>
    </row>
    <row r="2012" spans="1:18" s="43" customFormat="1" x14ac:dyDescent="0.25">
      <c r="A2012" s="147" t="s">
        <v>1232</v>
      </c>
      <c r="B2012" s="247"/>
      <c r="C2012" s="52"/>
      <c r="D2012" s="50"/>
      <c r="E2012" s="50"/>
      <c r="F2012" s="50"/>
      <c r="G2012" s="50"/>
      <c r="H2012" s="50"/>
      <c r="I2012" s="50"/>
      <c r="J2012" s="50"/>
      <c r="K2012" s="50"/>
      <c r="L2012" s="50"/>
      <c r="M2012" s="50"/>
      <c r="N2012" s="50"/>
      <c r="O2012" s="50"/>
      <c r="P2012" s="50"/>
      <c r="Q2012" s="50"/>
      <c r="R2012" s="50"/>
    </row>
    <row r="2013" spans="1:18" s="43" customFormat="1" x14ac:dyDescent="0.25">
      <c r="A2013" s="246" t="s">
        <v>958</v>
      </c>
      <c r="B2013" s="247"/>
      <c r="C2013" s="52"/>
      <c r="D2013" s="50"/>
      <c r="E2013" s="50"/>
      <c r="F2013" s="50"/>
      <c r="G2013" s="50"/>
      <c r="H2013" s="50"/>
      <c r="I2013" s="50"/>
      <c r="J2013" s="50"/>
      <c r="K2013" s="50"/>
      <c r="L2013" s="50"/>
      <c r="M2013" s="50"/>
      <c r="N2013" s="50"/>
      <c r="O2013" s="50"/>
      <c r="P2013" s="50"/>
      <c r="Q2013" s="50"/>
      <c r="R2013" s="50"/>
    </row>
    <row r="2014" spans="1:18" s="43" customFormat="1" x14ac:dyDescent="0.25">
      <c r="A2014" s="59" t="s">
        <v>1010</v>
      </c>
      <c r="B2014" s="247"/>
      <c r="C2014" s="52"/>
      <c r="D2014" s="50"/>
      <c r="E2014" s="50"/>
      <c r="F2014" s="50"/>
      <c r="G2014" s="50"/>
      <c r="H2014" s="50"/>
      <c r="I2014" s="50"/>
      <c r="J2014" s="50"/>
      <c r="K2014" s="50"/>
      <c r="L2014" s="50"/>
      <c r="M2014" s="50"/>
      <c r="N2014" s="50"/>
      <c r="O2014" s="50"/>
      <c r="P2014" s="50"/>
      <c r="Q2014" s="50"/>
      <c r="R2014" s="50"/>
    </row>
    <row r="2015" spans="1:18" s="43" customFormat="1" x14ac:dyDescent="0.25">
      <c r="A2015" s="43" t="s">
        <v>1086</v>
      </c>
      <c r="B2015" s="247"/>
      <c r="C2015" s="52"/>
      <c r="D2015" s="50"/>
      <c r="E2015" s="50"/>
      <c r="F2015" s="50"/>
      <c r="H2015" s="50"/>
      <c r="I2015" s="50"/>
      <c r="J2015" s="50"/>
      <c r="K2015" s="50"/>
      <c r="L2015" s="50"/>
      <c r="M2015" s="50"/>
      <c r="N2015" s="50"/>
      <c r="O2015" s="50"/>
      <c r="P2015" s="50"/>
      <c r="Q2015" s="50"/>
      <c r="R2015" s="50"/>
    </row>
    <row r="2016" spans="1:18" s="43" customFormat="1" x14ac:dyDescent="0.25">
      <c r="A2016" s="43" t="s">
        <v>1233</v>
      </c>
      <c r="B2016" s="247"/>
      <c r="C2016" s="52"/>
      <c r="D2016" s="50"/>
      <c r="E2016" s="50"/>
      <c r="F2016" s="50"/>
      <c r="H2016" s="50"/>
      <c r="I2016" s="50"/>
      <c r="J2016" s="50"/>
      <c r="K2016" s="50"/>
      <c r="L2016" s="50"/>
      <c r="M2016" s="50"/>
      <c r="N2016" s="50"/>
      <c r="O2016" s="50"/>
      <c r="P2016" s="50"/>
      <c r="Q2016" s="50"/>
      <c r="R2016" s="50"/>
    </row>
    <row r="2017" spans="1:18" s="43" customFormat="1" x14ac:dyDescent="0.25">
      <c r="A2017" s="43" t="s">
        <v>1234</v>
      </c>
      <c r="B2017" s="247"/>
      <c r="C2017" s="52"/>
      <c r="D2017" s="50"/>
      <c r="E2017" s="50"/>
      <c r="F2017" s="50"/>
      <c r="H2017" s="50"/>
      <c r="I2017" s="50"/>
      <c r="J2017" s="50"/>
      <c r="K2017" s="50"/>
      <c r="L2017" s="50"/>
      <c r="M2017" s="50"/>
      <c r="N2017" s="50"/>
      <c r="O2017" s="50"/>
      <c r="P2017" s="50"/>
      <c r="Q2017" s="50"/>
      <c r="R2017" s="50"/>
    </row>
    <row r="2018" spans="1:18" s="43" customFormat="1" x14ac:dyDescent="0.25">
      <c r="A2018" s="52" t="s">
        <v>1235</v>
      </c>
      <c r="B2018" s="247"/>
      <c r="C2018" s="52"/>
      <c r="D2018" s="50"/>
      <c r="E2018" s="50"/>
      <c r="F2018" s="50"/>
      <c r="H2018" s="50"/>
      <c r="I2018" s="50"/>
      <c r="J2018" s="50"/>
      <c r="K2018" s="50"/>
      <c r="L2018" s="50"/>
      <c r="M2018" s="50"/>
      <c r="N2018" s="50"/>
      <c r="O2018" s="50"/>
      <c r="P2018" s="50"/>
      <c r="Q2018" s="50"/>
      <c r="R2018" s="50"/>
    </row>
    <row r="2019" spans="1:18" s="43" customFormat="1" x14ac:dyDescent="0.25">
      <c r="A2019" s="52" t="s">
        <v>1084</v>
      </c>
      <c r="B2019" s="247"/>
      <c r="C2019" s="52"/>
      <c r="D2019" s="50"/>
      <c r="E2019" s="50"/>
      <c r="F2019" s="50"/>
      <c r="H2019" s="50"/>
      <c r="I2019" s="50"/>
      <c r="J2019" s="50"/>
      <c r="K2019" s="50"/>
      <c r="L2019" s="50"/>
      <c r="M2019" s="50"/>
      <c r="N2019" s="50"/>
      <c r="O2019" s="50"/>
      <c r="P2019" s="50"/>
      <c r="Q2019" s="50"/>
      <c r="R2019" s="50"/>
    </row>
    <row r="2020" spans="1:18" s="43" customFormat="1" x14ac:dyDescent="0.25">
      <c r="A2020" s="235" t="s">
        <v>1197</v>
      </c>
      <c r="B2020" s="247"/>
      <c r="C2020" s="52"/>
      <c r="D2020" s="50"/>
      <c r="E2020" s="50"/>
      <c r="F2020" s="50"/>
      <c r="G2020" s="50"/>
      <c r="H2020" s="50"/>
      <c r="I2020" s="50"/>
      <c r="J2020" s="50"/>
      <c r="K2020" s="50"/>
      <c r="L2020" s="50"/>
      <c r="M2020" s="50"/>
      <c r="N2020" s="50"/>
      <c r="O2020" s="50"/>
      <c r="P2020" s="50"/>
      <c r="Q2020" s="50"/>
      <c r="R2020" s="50"/>
    </row>
    <row r="2021" spans="1:18" s="43" customFormat="1" x14ac:dyDescent="0.25">
      <c r="A2021" s="235" t="s">
        <v>1209</v>
      </c>
      <c r="B2021" s="247"/>
      <c r="C2021" s="52"/>
      <c r="D2021" s="50"/>
      <c r="E2021" s="50"/>
      <c r="F2021" s="50"/>
      <c r="G2021" s="50"/>
      <c r="H2021" s="50"/>
      <c r="I2021" s="50"/>
      <c r="J2021" s="50"/>
      <c r="K2021" s="50"/>
      <c r="L2021" s="50"/>
      <c r="M2021" s="50"/>
      <c r="N2021" s="50"/>
      <c r="O2021" s="50"/>
      <c r="P2021" s="50"/>
      <c r="Q2021" s="50"/>
      <c r="R2021" s="50"/>
    </row>
    <row r="2022" spans="1:18" s="43" customFormat="1" x14ac:dyDescent="0.25">
      <c r="A2022" s="52"/>
      <c r="B2022" s="42"/>
      <c r="C2022" s="52"/>
      <c r="D2022" s="50"/>
      <c r="E2022" s="50"/>
      <c r="F2022" s="50"/>
      <c r="G2022" s="50"/>
      <c r="H2022" s="50"/>
      <c r="I2022" s="50"/>
      <c r="J2022" s="50"/>
      <c r="K2022" s="50"/>
      <c r="L2022" s="50"/>
      <c r="M2022" s="50"/>
      <c r="N2022" s="50"/>
      <c r="O2022" s="50"/>
      <c r="P2022" s="50"/>
      <c r="Q2022" s="50"/>
      <c r="R2022" s="50"/>
    </row>
    <row r="2023" spans="1:18" x14ac:dyDescent="0.25">
      <c r="A2023" s="41" t="s">
        <v>254</v>
      </c>
      <c r="B2023" s="44"/>
      <c r="C2023" s="51">
        <f>SUM(C1801:C1926)</f>
        <v>3125054.42</v>
      </c>
      <c r="D2023" s="51">
        <f>SUM(D1801:D1926)</f>
        <v>4018888</v>
      </c>
      <c r="E2023" s="51">
        <f t="shared" ref="E2023:R2023" si="1067">SUM(E1801:E2022)</f>
        <v>3789725</v>
      </c>
      <c r="F2023" s="51">
        <f t="shared" si="1067"/>
        <v>3547253</v>
      </c>
      <c r="G2023" s="51">
        <f t="shared" si="1067"/>
        <v>2852540.36</v>
      </c>
      <c r="H2023" s="51">
        <f t="shared" si="1067"/>
        <v>3668076.9569942858</v>
      </c>
      <c r="I2023" s="51">
        <f t="shared" si="1067"/>
        <v>3178563.6236609523</v>
      </c>
      <c r="J2023" s="51">
        <f t="shared" si="1067"/>
        <v>3365144.2636609524</v>
      </c>
      <c r="K2023" s="51">
        <f t="shared" si="1067"/>
        <v>3293922.2184209526</v>
      </c>
      <c r="L2023" s="51">
        <f t="shared" si="1067"/>
        <v>3360720.6660080329</v>
      </c>
      <c r="M2023" s="51">
        <f t="shared" si="1067"/>
        <v>3456516.8871640987</v>
      </c>
      <c r="N2023" s="51">
        <f t="shared" si="1067"/>
        <v>3694756.0608455935</v>
      </c>
      <c r="O2023" s="51">
        <f t="shared" si="1067"/>
        <v>3490607.766987469</v>
      </c>
      <c r="P2023" s="51">
        <f t="shared" si="1067"/>
        <v>3766470.6508279061</v>
      </c>
      <c r="Q2023" s="51">
        <f t="shared" si="1067"/>
        <v>3765573.5190351889</v>
      </c>
      <c r="R2023" s="51">
        <f t="shared" si="1067"/>
        <v>3819615.6616525617</v>
      </c>
    </row>
    <row r="2024" spans="1:18" x14ac:dyDescent="0.25">
      <c r="C2024" s="50"/>
      <c r="D2024" s="50"/>
      <c r="E2024" s="50"/>
      <c r="F2024" s="50"/>
      <c r="G2024" s="50"/>
      <c r="H2024" s="50"/>
      <c r="I2024" s="50"/>
      <c r="J2024" s="50"/>
      <c r="K2024" s="50"/>
      <c r="L2024" s="50"/>
      <c r="M2024" s="50"/>
      <c r="N2024" s="50"/>
      <c r="O2024" s="50"/>
      <c r="P2024" s="50"/>
      <c r="Q2024" s="50"/>
      <c r="R2024" s="50"/>
    </row>
    <row r="2025" spans="1:18" x14ac:dyDescent="0.25">
      <c r="A2025" s="41" t="s">
        <v>171</v>
      </c>
      <c r="B2025" s="44"/>
      <c r="C2025" s="50"/>
      <c r="D2025" s="50"/>
      <c r="E2025" s="50"/>
      <c r="F2025" s="50"/>
      <c r="G2025" s="50"/>
      <c r="H2025" s="50"/>
      <c r="I2025" s="50"/>
      <c r="J2025" s="50"/>
      <c r="K2025" s="50"/>
      <c r="L2025" s="50"/>
      <c r="M2025" s="50"/>
      <c r="N2025" s="50"/>
      <c r="O2025" s="50"/>
      <c r="P2025" s="50"/>
      <c r="Q2025" s="50"/>
      <c r="R2025" s="50"/>
    </row>
    <row r="2026" spans="1:18" x14ac:dyDescent="0.25">
      <c r="A2026" s="41"/>
      <c r="B2026" s="44"/>
      <c r="C2026" s="50"/>
      <c r="D2026" s="50"/>
      <c r="E2026" s="50"/>
      <c r="F2026" s="50"/>
      <c r="G2026" s="50"/>
      <c r="H2026" s="50"/>
      <c r="I2026" s="50"/>
      <c r="J2026" s="50"/>
      <c r="K2026" s="50"/>
      <c r="L2026" s="50"/>
      <c r="M2026" s="50"/>
      <c r="N2026" s="50"/>
      <c r="O2026" s="50"/>
      <c r="P2026" s="50"/>
      <c r="Q2026" s="50"/>
      <c r="R2026" s="50"/>
    </row>
    <row r="2027" spans="1:18" x14ac:dyDescent="0.25">
      <c r="A2027" s="41" t="s">
        <v>1236</v>
      </c>
      <c r="B2027" s="44"/>
      <c r="C2027" s="50"/>
      <c r="D2027" s="50"/>
      <c r="E2027" s="50"/>
      <c r="F2027" s="50"/>
      <c r="G2027" s="50"/>
      <c r="H2027" s="50"/>
      <c r="I2027" s="50"/>
      <c r="J2027" s="50"/>
      <c r="K2027" s="50"/>
      <c r="L2027" s="248"/>
      <c r="M2027" s="248"/>
      <c r="N2027" s="248"/>
      <c r="O2027" s="248"/>
      <c r="P2027" s="248"/>
      <c r="Q2027" s="248"/>
      <c r="R2027" s="248"/>
    </row>
    <row r="2028" spans="1:18" x14ac:dyDescent="0.25">
      <c r="A2028" s="43" t="s">
        <v>1139</v>
      </c>
      <c r="C2028" s="67">
        <v>338476</v>
      </c>
      <c r="D2028" s="52">
        <v>415813</v>
      </c>
      <c r="E2028" s="59">
        <v>519266</v>
      </c>
      <c r="F2028" s="52">
        <v>525416</v>
      </c>
      <c r="G2028" s="67">
        <v>501251.77</v>
      </c>
      <c r="H2028" s="52">
        <v>877660</v>
      </c>
      <c r="I2028" s="52">
        <v>645476</v>
      </c>
      <c r="J2028" s="52">
        <v>610134</v>
      </c>
      <c r="K2028" s="52">
        <v>617836</v>
      </c>
      <c r="L2028" s="54">
        <f>K2028*1.033</f>
        <v>638224.58799999999</v>
      </c>
      <c r="M2028" s="54">
        <f>L2028*1.032</f>
        <v>658647.77481600002</v>
      </c>
      <c r="N2028" s="54">
        <f>M2028*1.03</f>
        <v>678407.20806048007</v>
      </c>
      <c r="O2028" s="54">
        <f>N2028*1.032</f>
        <v>700116.23871841549</v>
      </c>
      <c r="P2028" s="54">
        <f>O2028*1.034</f>
        <v>723920.19083484169</v>
      </c>
      <c r="Q2028" s="54">
        <f>P2028*1.034</f>
        <v>748533.47732322628</v>
      </c>
      <c r="R2028" s="54">
        <f>Q2028*1.034</f>
        <v>773983.61555221595</v>
      </c>
    </row>
    <row r="2029" spans="1:18" x14ac:dyDescent="0.25">
      <c r="A2029" s="43" t="s">
        <v>1140</v>
      </c>
      <c r="C2029" s="54">
        <v>112490</v>
      </c>
      <c r="D2029" s="50">
        <v>84478</v>
      </c>
      <c r="E2029" s="50">
        <v>83539</v>
      </c>
      <c r="F2029" s="50">
        <v>61232</v>
      </c>
      <c r="G2029" s="50">
        <v>0</v>
      </c>
      <c r="H2029" s="50">
        <v>111259.95699428571</v>
      </c>
      <c r="I2029" s="50">
        <v>140926.62366095238</v>
      </c>
      <c r="J2029" s="50">
        <v>139475.30366095237</v>
      </c>
      <c r="K2029" s="50">
        <v>136059.34366095238</v>
      </c>
      <c r="L2029" s="50">
        <v>131561.19238095239</v>
      </c>
      <c r="M2029" s="50">
        <v>91780.952380952367</v>
      </c>
      <c r="N2029" s="50">
        <v>105280.95238095237</v>
      </c>
      <c r="O2029" s="50">
        <v>76214.28571428571</v>
      </c>
      <c r="P2029" s="50">
        <v>106214.28571428571</v>
      </c>
      <c r="Q2029" s="50">
        <v>99381.28571428571</v>
      </c>
      <c r="R2029" s="50">
        <v>99381.28571428571</v>
      </c>
    </row>
    <row r="2030" spans="1:18" x14ac:dyDescent="0.25">
      <c r="A2030" s="43" t="s">
        <v>1237</v>
      </c>
      <c r="C2030" s="54">
        <v>0</v>
      </c>
      <c r="D2030" s="43">
        <v>0</v>
      </c>
      <c r="E2030" s="43">
        <v>0</v>
      </c>
      <c r="F2030" s="43">
        <v>0</v>
      </c>
      <c r="G2030" s="43">
        <v>0</v>
      </c>
      <c r="H2030" s="43">
        <v>0</v>
      </c>
      <c r="I2030" s="43">
        <v>0</v>
      </c>
      <c r="J2030" s="43">
        <v>0</v>
      </c>
      <c r="K2030" s="43">
        <v>0</v>
      </c>
      <c r="L2030" s="43">
        <v>0</v>
      </c>
      <c r="M2030" s="43">
        <v>0</v>
      </c>
      <c r="N2030" s="43">
        <v>0</v>
      </c>
      <c r="O2030" s="43">
        <v>0</v>
      </c>
      <c r="P2030" s="43">
        <v>0</v>
      </c>
      <c r="Q2030" s="43">
        <v>0</v>
      </c>
      <c r="R2030" s="43">
        <v>0</v>
      </c>
    </row>
    <row r="2031" spans="1:18" x14ac:dyDescent="0.25">
      <c r="A2031" s="43" t="s">
        <v>93</v>
      </c>
      <c r="C2031" s="54">
        <v>0</v>
      </c>
      <c r="D2031" s="50">
        <v>0</v>
      </c>
      <c r="E2031" s="50">
        <v>0</v>
      </c>
      <c r="F2031" s="50">
        <v>0</v>
      </c>
      <c r="G2031" s="50">
        <v>0</v>
      </c>
      <c r="H2031" s="50">
        <v>0</v>
      </c>
      <c r="I2031" s="50">
        <v>0</v>
      </c>
      <c r="J2031" s="50">
        <v>0</v>
      </c>
      <c r="K2031" s="50">
        <v>0</v>
      </c>
      <c r="L2031" s="50">
        <v>0</v>
      </c>
      <c r="M2031" s="50">
        <v>0</v>
      </c>
      <c r="N2031" s="50">
        <v>0</v>
      </c>
      <c r="O2031" s="50">
        <v>0</v>
      </c>
      <c r="P2031" s="50">
        <v>0</v>
      </c>
      <c r="Q2031" s="50">
        <v>0</v>
      </c>
      <c r="R2031" s="50">
        <v>0</v>
      </c>
    </row>
    <row r="2032" spans="1:18" x14ac:dyDescent="0.25">
      <c r="A2032" s="43" t="s">
        <v>1238</v>
      </c>
      <c r="C2032" s="54">
        <v>30000</v>
      </c>
      <c r="D2032" s="43">
        <v>0</v>
      </c>
      <c r="E2032" s="43">
        <v>0</v>
      </c>
      <c r="F2032" s="43">
        <v>0</v>
      </c>
      <c r="G2032" s="43">
        <v>0</v>
      </c>
      <c r="H2032" s="43">
        <v>0</v>
      </c>
      <c r="I2032" s="43">
        <v>0</v>
      </c>
      <c r="J2032" s="43">
        <v>0</v>
      </c>
      <c r="K2032" s="43">
        <v>0</v>
      </c>
      <c r="L2032" s="43">
        <v>0</v>
      </c>
      <c r="M2032" s="43">
        <v>0</v>
      </c>
      <c r="N2032" s="43">
        <v>0</v>
      </c>
      <c r="O2032" s="43">
        <v>0</v>
      </c>
      <c r="P2032" s="43">
        <v>0</v>
      </c>
      <c r="Q2032" s="43">
        <v>0</v>
      </c>
      <c r="R2032" s="43">
        <v>0</v>
      </c>
    </row>
    <row r="2033" spans="1:18" x14ac:dyDescent="0.25">
      <c r="A2033" s="43" t="s">
        <v>1070</v>
      </c>
      <c r="C2033" s="54">
        <v>25000</v>
      </c>
      <c r="D2033" s="43">
        <v>20000</v>
      </c>
      <c r="E2033" s="43">
        <v>20000</v>
      </c>
      <c r="F2033" s="43">
        <v>20000</v>
      </c>
      <c r="G2033" s="43">
        <v>26000</v>
      </c>
      <c r="H2033" s="43">
        <v>22000</v>
      </c>
      <c r="I2033" s="43">
        <v>22000</v>
      </c>
      <c r="J2033" s="43">
        <v>22000</v>
      </c>
      <c r="K2033" s="43">
        <v>25000</v>
      </c>
      <c r="L2033" s="43">
        <v>25000</v>
      </c>
      <c r="M2033" s="43">
        <v>25000</v>
      </c>
      <c r="N2033" s="43">
        <v>25000</v>
      </c>
      <c r="O2033" s="43">
        <v>27500</v>
      </c>
      <c r="P2033" s="43">
        <v>27500</v>
      </c>
      <c r="Q2033" s="43">
        <v>27500</v>
      </c>
      <c r="R2033" s="43">
        <v>27500</v>
      </c>
    </row>
    <row r="2034" spans="1:18" x14ac:dyDescent="0.25">
      <c r="A2034" s="43" t="s">
        <v>1239</v>
      </c>
      <c r="C2034" s="249">
        <v>365564</v>
      </c>
      <c r="D2034" s="50">
        <f>D706</f>
        <v>337574</v>
      </c>
      <c r="E2034" s="50">
        <v>360125</v>
      </c>
      <c r="F2034" s="50">
        <v>332407</v>
      </c>
      <c r="G2034" s="50">
        <v>553935</v>
      </c>
      <c r="H2034" s="50">
        <v>330000</v>
      </c>
      <c r="I2034" s="54">
        <f t="shared" ref="I2034" si="1068">H2034*1.023</f>
        <v>337589.99999999994</v>
      </c>
      <c r="J2034" s="54">
        <f t="shared" ref="J2034:K2034" si="1069">I2034*1.024</f>
        <v>345692.15999999997</v>
      </c>
      <c r="K2034" s="54">
        <f t="shared" si="1069"/>
        <v>353988.77184</v>
      </c>
      <c r="L2034" s="54">
        <f t="shared" ref="L2034" si="1070">K2034*1.023</f>
        <v>362130.51359231997</v>
      </c>
      <c r="M2034" s="54">
        <f t="shared" ref="M2034" si="1071">L2034*1.022</f>
        <v>370097.38489135104</v>
      </c>
      <c r="N2034" s="54">
        <f t="shared" ref="N2034" si="1072">M2034*1.023</f>
        <v>378609.62474385207</v>
      </c>
      <c r="O2034" s="54">
        <f t="shared" ref="O2034:P2034" si="1073">N2034*1.025</f>
        <v>388074.86536244833</v>
      </c>
      <c r="P2034" s="54">
        <f t="shared" si="1073"/>
        <v>397776.73699650948</v>
      </c>
      <c r="Q2034" s="54">
        <f t="shared" ref="Q2034:R2034" si="1074">P2034*1.024</f>
        <v>407323.37868442573</v>
      </c>
      <c r="R2034" s="54">
        <f t="shared" si="1074"/>
        <v>417099.13977285195</v>
      </c>
    </row>
    <row r="2035" spans="1:18" x14ac:dyDescent="0.25">
      <c r="A2035" s="43" t="s">
        <v>1240</v>
      </c>
      <c r="C2035" s="249">
        <v>45679</v>
      </c>
      <c r="D2035" s="43">
        <v>47186</v>
      </c>
      <c r="E2035">
        <v>32665</v>
      </c>
      <c r="F2035" s="43">
        <v>28698</v>
      </c>
      <c r="G2035" s="43">
        <v>27931</v>
      </c>
      <c r="H2035" s="43">
        <v>11900</v>
      </c>
      <c r="I2035" s="43">
        <v>12700</v>
      </c>
      <c r="J2035" s="50">
        <v>15600</v>
      </c>
      <c r="K2035" s="50">
        <v>16600</v>
      </c>
      <c r="L2035" s="50">
        <v>17100</v>
      </c>
      <c r="M2035" s="50">
        <v>16500</v>
      </c>
      <c r="N2035" s="50">
        <v>15800</v>
      </c>
      <c r="O2035" s="50">
        <v>18600</v>
      </c>
      <c r="P2035" s="50">
        <v>21700</v>
      </c>
      <c r="Q2035" s="50">
        <v>23100</v>
      </c>
      <c r="R2035" s="50">
        <v>23100</v>
      </c>
    </row>
    <row r="2036" spans="1:18" x14ac:dyDescent="0.25">
      <c r="A2036" s="43" t="s">
        <v>901</v>
      </c>
      <c r="C2036" s="67">
        <v>12182</v>
      </c>
      <c r="D2036" s="50">
        <v>0</v>
      </c>
      <c r="E2036" s="50"/>
      <c r="F2036" s="50">
        <v>0</v>
      </c>
      <c r="G2036" s="50">
        <v>22000</v>
      </c>
      <c r="H2036" s="50">
        <v>0</v>
      </c>
      <c r="I2036" s="50">
        <v>0</v>
      </c>
      <c r="J2036" s="50">
        <v>0</v>
      </c>
      <c r="K2036" s="50">
        <v>0</v>
      </c>
      <c r="L2036" s="50">
        <v>0</v>
      </c>
      <c r="M2036" s="50">
        <v>0</v>
      </c>
      <c r="N2036" s="50">
        <v>0</v>
      </c>
      <c r="O2036" s="50">
        <v>0</v>
      </c>
      <c r="P2036" s="50">
        <v>0</v>
      </c>
      <c r="Q2036" s="50">
        <v>0</v>
      </c>
      <c r="R2036" s="50">
        <v>0</v>
      </c>
    </row>
    <row r="2037" spans="1:18" x14ac:dyDescent="0.25">
      <c r="A2037" s="43" t="s">
        <v>1241</v>
      </c>
      <c r="C2037" s="50"/>
      <c r="D2037" s="50"/>
      <c r="E2037" s="50"/>
      <c r="F2037" s="50"/>
      <c r="G2037" s="50"/>
      <c r="H2037" s="50"/>
      <c r="I2037" s="50"/>
      <c r="J2037" s="50"/>
      <c r="K2037" s="50"/>
      <c r="L2037" s="50"/>
      <c r="M2037" s="50"/>
      <c r="N2037" s="50"/>
      <c r="O2037" s="50"/>
      <c r="P2037" s="50"/>
      <c r="Q2037" s="50"/>
      <c r="R2037" s="50"/>
    </row>
    <row r="2038" spans="1:18" x14ac:dyDescent="0.25">
      <c r="A2038" s="43" t="s">
        <v>1242</v>
      </c>
      <c r="C2038" s="54"/>
      <c r="D2038" s="43">
        <v>0</v>
      </c>
      <c r="F2038" s="43">
        <v>0</v>
      </c>
      <c r="G2038" s="43">
        <v>0</v>
      </c>
      <c r="H2038" s="43">
        <v>0</v>
      </c>
      <c r="I2038" s="43">
        <v>0</v>
      </c>
      <c r="J2038" s="43">
        <v>0</v>
      </c>
      <c r="K2038" s="43">
        <v>0</v>
      </c>
      <c r="L2038" s="43">
        <v>0</v>
      </c>
      <c r="M2038" s="43">
        <v>0</v>
      </c>
      <c r="N2038" s="43">
        <v>0</v>
      </c>
      <c r="O2038" s="43">
        <v>0</v>
      </c>
      <c r="P2038" s="43">
        <v>0</v>
      </c>
      <c r="Q2038" s="43">
        <v>0</v>
      </c>
      <c r="R2038" s="43">
        <v>0</v>
      </c>
    </row>
    <row r="2039" spans="1:18" x14ac:dyDescent="0.25">
      <c r="A2039" s="43" t="s">
        <v>1243</v>
      </c>
      <c r="C2039" s="54">
        <v>52510</v>
      </c>
      <c r="D2039" s="43">
        <v>56555</v>
      </c>
      <c r="E2039">
        <v>63122</v>
      </c>
      <c r="F2039" s="43">
        <v>65328</v>
      </c>
      <c r="G2039" s="43">
        <v>34471</v>
      </c>
      <c r="H2039" s="43">
        <v>0</v>
      </c>
      <c r="I2039" s="43">
        <v>0</v>
      </c>
      <c r="J2039" s="43">
        <v>0</v>
      </c>
      <c r="K2039" s="43">
        <v>0</v>
      </c>
      <c r="L2039" s="43">
        <v>0</v>
      </c>
      <c r="M2039" s="43">
        <v>0</v>
      </c>
      <c r="N2039" s="43">
        <v>0</v>
      </c>
      <c r="O2039" s="43">
        <v>0</v>
      </c>
      <c r="P2039" s="43">
        <v>0</v>
      </c>
      <c r="Q2039" s="43">
        <v>0</v>
      </c>
      <c r="R2039" s="43">
        <v>0</v>
      </c>
    </row>
    <row r="2040" spans="1:18" x14ac:dyDescent="0.25">
      <c r="A2040" s="43" t="s">
        <v>1145</v>
      </c>
      <c r="C2040" s="59">
        <v>30000</v>
      </c>
    </row>
    <row r="2041" spans="1:18" x14ac:dyDescent="0.25">
      <c r="A2041" s="43" t="s">
        <v>1244</v>
      </c>
      <c r="C2041" s="59"/>
      <c r="E2041" s="50"/>
      <c r="F2041" s="50"/>
      <c r="G2041" s="50">
        <v>0</v>
      </c>
      <c r="H2041" s="50">
        <v>420100</v>
      </c>
      <c r="I2041" s="50">
        <v>7060</v>
      </c>
      <c r="J2041" s="43">
        <v>0</v>
      </c>
      <c r="K2041" s="43">
        <v>0</v>
      </c>
      <c r="L2041" s="43">
        <v>0</v>
      </c>
      <c r="M2041" s="43">
        <v>0</v>
      </c>
      <c r="N2041" s="43">
        <v>0</v>
      </c>
      <c r="O2041" s="43">
        <v>0</v>
      </c>
      <c r="P2041" s="43">
        <v>0</v>
      </c>
      <c r="Q2041" s="43">
        <v>0</v>
      </c>
      <c r="R2041" s="43">
        <v>0</v>
      </c>
    </row>
    <row r="2042" spans="1:18" x14ac:dyDescent="0.25">
      <c r="A2042" s="43" t="s">
        <v>1245</v>
      </c>
      <c r="C2042" s="50"/>
      <c r="D2042" s="50"/>
      <c r="E2042" s="50"/>
      <c r="F2042" s="50"/>
      <c r="G2042" s="50"/>
      <c r="H2042" s="50"/>
      <c r="I2042" s="50"/>
      <c r="J2042" s="50"/>
      <c r="K2042" s="50"/>
      <c r="L2042" s="50"/>
      <c r="M2042" s="50"/>
      <c r="N2042" s="50"/>
      <c r="O2042" s="50"/>
      <c r="P2042" s="50"/>
      <c r="Q2042" s="50"/>
      <c r="R2042" s="50"/>
    </row>
    <row r="2043" spans="1:18" x14ac:dyDescent="0.25">
      <c r="A2043" s="52" t="s">
        <v>1148</v>
      </c>
      <c r="C2043" s="50"/>
      <c r="D2043" s="50"/>
      <c r="E2043" s="50"/>
      <c r="F2043" s="50"/>
      <c r="G2043" s="50"/>
      <c r="H2043" s="50"/>
      <c r="I2043" s="50"/>
      <c r="J2043" s="50"/>
      <c r="K2043" s="50"/>
      <c r="L2043" s="50"/>
      <c r="M2043" s="50"/>
      <c r="N2043" s="50"/>
      <c r="O2043" s="50"/>
      <c r="P2043" s="50"/>
      <c r="Q2043" s="50"/>
      <c r="R2043" s="50"/>
    </row>
    <row r="2044" spans="1:18" s="43" customFormat="1" x14ac:dyDescent="0.25">
      <c r="A2044" s="41" t="s">
        <v>1246</v>
      </c>
      <c r="B2044" s="53"/>
      <c r="C2044" s="50"/>
      <c r="D2044" s="50"/>
      <c r="E2044" s="50"/>
      <c r="F2044" s="50"/>
      <c r="G2044" s="50"/>
      <c r="H2044" s="50"/>
      <c r="I2044" s="50"/>
      <c r="J2044" s="50"/>
      <c r="K2044" s="50"/>
      <c r="L2044" s="50"/>
      <c r="M2044" s="50"/>
      <c r="N2044" s="50"/>
      <c r="O2044" s="50"/>
      <c r="P2044" s="50"/>
      <c r="Q2044" s="50"/>
      <c r="R2044" s="50"/>
    </row>
    <row r="2045" spans="1:18" s="43" customFormat="1" x14ac:dyDescent="0.25">
      <c r="A2045" s="109" t="s">
        <v>1176</v>
      </c>
      <c r="B2045" s="53"/>
      <c r="C2045" s="50"/>
      <c r="D2045" s="50"/>
      <c r="E2045" s="50"/>
      <c r="F2045" s="50"/>
      <c r="G2045" s="50"/>
      <c r="H2045" s="50"/>
      <c r="I2045" s="50"/>
      <c r="J2045" s="50"/>
      <c r="K2045" s="50"/>
      <c r="L2045" s="50"/>
      <c r="M2045" s="50"/>
      <c r="N2045" s="50"/>
      <c r="O2045" s="50"/>
      <c r="P2045" s="50"/>
      <c r="Q2045" s="50"/>
      <c r="R2045" s="50"/>
    </row>
    <row r="2046" spans="1:18" s="43" customFormat="1" x14ac:dyDescent="0.25">
      <c r="A2046" s="52" t="s">
        <v>1247</v>
      </c>
      <c r="B2046" s="53"/>
      <c r="C2046" s="50"/>
      <c r="D2046" s="50"/>
      <c r="E2046" s="50"/>
      <c r="F2046" s="50"/>
      <c r="G2046" s="50"/>
      <c r="H2046" s="50"/>
      <c r="I2046" s="50"/>
      <c r="J2046" s="50"/>
      <c r="K2046" s="50"/>
      <c r="L2046" s="50"/>
      <c r="M2046" s="50"/>
      <c r="N2046" s="50"/>
      <c r="O2046" s="50"/>
      <c r="P2046" s="50"/>
      <c r="Q2046" s="50"/>
      <c r="R2046" s="50"/>
    </row>
    <row r="2047" spans="1:18" s="43" customFormat="1" x14ac:dyDescent="0.25">
      <c r="A2047" s="52" t="s">
        <v>1248</v>
      </c>
      <c r="B2047" s="53"/>
      <c r="C2047" s="50"/>
      <c r="D2047" s="50"/>
      <c r="E2047" s="50"/>
      <c r="F2047" s="50"/>
      <c r="G2047" s="50"/>
      <c r="H2047" s="50"/>
      <c r="I2047" s="50"/>
      <c r="J2047" s="50"/>
      <c r="K2047" s="50"/>
      <c r="L2047" s="50"/>
      <c r="M2047" s="50"/>
      <c r="N2047" s="50"/>
      <c r="O2047" s="50"/>
      <c r="P2047" s="50"/>
      <c r="Q2047" s="50"/>
      <c r="R2047" s="50"/>
    </row>
    <row r="2048" spans="1:18" s="43" customFormat="1" x14ac:dyDescent="0.25">
      <c r="A2048" s="52" t="s">
        <v>954</v>
      </c>
      <c r="B2048" s="53"/>
      <c r="C2048" s="50"/>
      <c r="D2048" s="50"/>
      <c r="E2048" s="50"/>
      <c r="F2048" s="50"/>
      <c r="G2048" s="50"/>
      <c r="H2048" s="50"/>
      <c r="I2048" s="50"/>
      <c r="J2048" s="50"/>
      <c r="K2048" s="50"/>
      <c r="L2048" s="50"/>
      <c r="M2048" s="50"/>
      <c r="N2048" s="50"/>
      <c r="O2048" s="50"/>
      <c r="P2048" s="50"/>
      <c r="Q2048" s="50"/>
      <c r="R2048" s="50"/>
    </row>
    <row r="2049" spans="1:18" s="43" customFormat="1" x14ac:dyDescent="0.25">
      <c r="A2049" s="43" t="s">
        <v>1084</v>
      </c>
      <c r="B2049" s="53"/>
      <c r="C2049" s="50"/>
      <c r="D2049" s="50"/>
      <c r="E2049" s="50"/>
      <c r="F2049" s="50"/>
      <c r="G2049" s="50"/>
      <c r="H2049" s="50"/>
      <c r="I2049" s="50"/>
      <c r="J2049" s="50"/>
      <c r="K2049" s="50"/>
      <c r="L2049" s="50"/>
      <c r="M2049" s="50"/>
      <c r="N2049" s="50"/>
      <c r="O2049" s="50"/>
      <c r="P2049" s="50"/>
      <c r="Q2049" s="50"/>
      <c r="R2049" s="50"/>
    </row>
    <row r="2050" spans="1:18" s="43" customFormat="1" x14ac:dyDescent="0.25">
      <c r="A2050" s="59" t="s">
        <v>1177</v>
      </c>
      <c r="B2050" s="53"/>
      <c r="C2050" s="50"/>
      <c r="D2050" s="50"/>
      <c r="E2050" s="50"/>
      <c r="F2050" s="50"/>
      <c r="G2050" s="50"/>
      <c r="H2050" s="50"/>
      <c r="I2050" s="50"/>
      <c r="J2050" s="50"/>
      <c r="K2050" s="50"/>
      <c r="L2050" s="50"/>
      <c r="M2050" s="50"/>
      <c r="N2050" s="50"/>
      <c r="O2050" s="50"/>
      <c r="P2050" s="50"/>
      <c r="Q2050" s="50"/>
      <c r="R2050" s="50"/>
    </row>
    <row r="2051" spans="1:18" s="43" customFormat="1" x14ac:dyDescent="0.25">
      <c r="A2051" s="43" t="s">
        <v>627</v>
      </c>
      <c r="B2051" s="53"/>
      <c r="C2051" s="50"/>
      <c r="D2051" s="50"/>
      <c r="E2051" s="50"/>
      <c r="F2051" s="50"/>
      <c r="G2051" s="50"/>
      <c r="H2051" s="50"/>
      <c r="I2051" s="50"/>
      <c r="J2051" s="50"/>
      <c r="K2051" s="50"/>
      <c r="L2051" s="50"/>
      <c r="M2051" s="50"/>
      <c r="N2051" s="50"/>
      <c r="O2051" s="50"/>
      <c r="P2051" s="50"/>
      <c r="Q2051" s="50"/>
      <c r="R2051" s="50"/>
    </row>
    <row r="2052" spans="1:18" s="43" customFormat="1" x14ac:dyDescent="0.25">
      <c r="A2052" s="52" t="s">
        <v>1249</v>
      </c>
      <c r="B2052" s="53"/>
      <c r="C2052" s="50"/>
      <c r="D2052" s="50"/>
      <c r="E2052" s="50"/>
      <c r="F2052" s="50"/>
      <c r="G2052" s="50"/>
      <c r="H2052" s="50"/>
      <c r="I2052" s="50"/>
      <c r="J2052" s="50"/>
      <c r="K2052" s="50"/>
      <c r="L2052" s="50"/>
      <c r="M2052" s="50"/>
      <c r="N2052" s="50"/>
      <c r="O2052" s="50"/>
      <c r="P2052" s="50"/>
      <c r="Q2052" s="50"/>
      <c r="R2052" s="50"/>
    </row>
    <row r="2053" spans="1:18" s="43" customFormat="1" x14ac:dyDescent="0.25">
      <c r="A2053" s="52" t="s">
        <v>1250</v>
      </c>
      <c r="B2053" s="53"/>
      <c r="C2053" s="50"/>
      <c r="D2053" s="50"/>
      <c r="E2053" s="50"/>
      <c r="F2053" s="50"/>
      <c r="G2053" s="50"/>
      <c r="H2053" s="50"/>
      <c r="I2053" s="50"/>
      <c r="J2053" s="50"/>
      <c r="K2053" s="50"/>
      <c r="L2053" s="50"/>
      <c r="M2053" s="50"/>
      <c r="N2053" s="50"/>
      <c r="O2053" s="50"/>
      <c r="P2053" s="50"/>
      <c r="Q2053" s="50"/>
      <c r="R2053" s="50"/>
    </row>
    <row r="2054" spans="1:18" s="43" customFormat="1" x14ac:dyDescent="0.25">
      <c r="A2054" s="52" t="s">
        <v>1027</v>
      </c>
      <c r="B2054" s="53"/>
      <c r="C2054" s="50"/>
      <c r="D2054" s="50"/>
      <c r="E2054" s="50"/>
      <c r="F2054" s="50"/>
      <c r="G2054" s="50"/>
      <c r="H2054" s="50"/>
      <c r="I2054" s="50"/>
      <c r="J2054" s="50"/>
      <c r="K2054" s="50"/>
      <c r="L2054" s="50"/>
      <c r="M2054" s="50"/>
      <c r="N2054" s="50"/>
      <c r="O2054" s="50"/>
      <c r="P2054" s="50"/>
      <c r="Q2054" s="50"/>
      <c r="R2054" s="50"/>
    </row>
    <row r="2055" spans="1:18" s="43" customFormat="1" x14ac:dyDescent="0.25">
      <c r="A2055" s="43" t="s">
        <v>1178</v>
      </c>
      <c r="B2055" s="53"/>
      <c r="C2055" s="50"/>
      <c r="D2055" s="50"/>
      <c r="E2055" s="50"/>
      <c r="F2055" s="50"/>
      <c r="G2055" s="50"/>
      <c r="H2055" s="50"/>
      <c r="I2055" s="50"/>
      <c r="J2055" s="50"/>
      <c r="K2055" s="50"/>
      <c r="L2055" s="50"/>
      <c r="M2055" s="50"/>
      <c r="N2055" s="50"/>
      <c r="O2055" s="50"/>
      <c r="P2055" s="50"/>
      <c r="Q2055" s="50"/>
      <c r="R2055" s="50"/>
    </row>
    <row r="2056" spans="1:18" s="43" customFormat="1" x14ac:dyDescent="0.25">
      <c r="A2056" s="52" t="s">
        <v>792</v>
      </c>
      <c r="B2056" s="53"/>
      <c r="C2056" s="50"/>
      <c r="D2056" s="50"/>
      <c r="E2056" s="50"/>
      <c r="F2056" s="50"/>
      <c r="G2056" s="50"/>
      <c r="H2056" s="50"/>
      <c r="I2056" s="50"/>
      <c r="J2056" s="50"/>
      <c r="K2056" s="50"/>
      <c r="L2056" s="50"/>
      <c r="M2056" s="50"/>
      <c r="N2056" s="50"/>
      <c r="O2056" s="50"/>
      <c r="P2056" s="50"/>
      <c r="Q2056" s="50"/>
      <c r="R2056" s="50"/>
    </row>
    <row r="2057" spans="1:18" s="43" customFormat="1" x14ac:dyDescent="0.25">
      <c r="A2057" s="41" t="s">
        <v>1251</v>
      </c>
      <c r="B2057" s="53"/>
      <c r="C2057" s="50"/>
      <c r="D2057" s="50"/>
      <c r="E2057" s="50"/>
      <c r="F2057" s="50"/>
      <c r="G2057" s="50"/>
      <c r="H2057" s="50"/>
      <c r="I2057" s="50"/>
      <c r="J2057" s="50"/>
      <c r="K2057" s="50"/>
      <c r="L2057" s="50"/>
      <c r="M2057" s="50"/>
      <c r="N2057" s="50"/>
      <c r="O2057" s="50"/>
      <c r="P2057" s="50"/>
      <c r="Q2057" s="50"/>
      <c r="R2057" s="50"/>
    </row>
    <row r="2058" spans="1:18" s="43" customFormat="1" x14ac:dyDescent="0.25">
      <c r="A2058" s="52" t="s">
        <v>1252</v>
      </c>
      <c r="B2058" s="53"/>
      <c r="C2058" s="67"/>
      <c r="D2058" s="50"/>
      <c r="E2058" s="50"/>
      <c r="F2058" s="50"/>
      <c r="G2058" s="50"/>
      <c r="H2058" s="50"/>
      <c r="I2058" s="50"/>
      <c r="J2058" s="50"/>
      <c r="K2058" s="50"/>
      <c r="L2058" s="50"/>
      <c r="M2058" s="50"/>
      <c r="N2058" s="50"/>
      <c r="O2058" s="50"/>
      <c r="P2058" s="50"/>
      <c r="Q2058" s="50"/>
      <c r="R2058" s="50"/>
    </row>
    <row r="2059" spans="1:18" s="43" customFormat="1" x14ac:dyDescent="0.25">
      <c r="A2059" s="52" t="s">
        <v>1253</v>
      </c>
      <c r="B2059" s="53"/>
      <c r="C2059" s="67"/>
      <c r="D2059" s="50"/>
      <c r="E2059" s="50"/>
      <c r="F2059" s="50"/>
      <c r="G2059" s="50"/>
      <c r="H2059" s="50"/>
      <c r="I2059" s="50"/>
      <c r="J2059" s="50"/>
      <c r="K2059" s="50"/>
      <c r="L2059" s="50"/>
      <c r="M2059" s="50"/>
      <c r="N2059" s="50"/>
      <c r="O2059" s="50"/>
      <c r="P2059" s="50"/>
      <c r="Q2059" s="50"/>
      <c r="R2059" s="50"/>
    </row>
    <row r="2060" spans="1:18" s="43" customFormat="1" x14ac:dyDescent="0.25">
      <c r="A2060" s="52" t="s">
        <v>1254</v>
      </c>
      <c r="B2060" s="53"/>
      <c r="C2060" s="67"/>
      <c r="D2060" s="50"/>
      <c r="E2060" s="50"/>
      <c r="F2060" s="50"/>
      <c r="G2060" s="50"/>
      <c r="H2060" s="50"/>
      <c r="I2060" s="50"/>
      <c r="J2060" s="50"/>
      <c r="K2060" s="50"/>
      <c r="L2060" s="50"/>
      <c r="M2060" s="50"/>
      <c r="N2060" s="50"/>
      <c r="O2060" s="50"/>
      <c r="P2060" s="50"/>
      <c r="Q2060" s="50"/>
      <c r="R2060" s="50"/>
    </row>
    <row r="2061" spans="1:18" s="43" customFormat="1" x14ac:dyDescent="0.25">
      <c r="A2061" s="52" t="s">
        <v>1255</v>
      </c>
      <c r="B2061" s="53"/>
      <c r="C2061" s="67"/>
      <c r="D2061" s="50"/>
      <c r="E2061" s="50"/>
      <c r="F2061" s="50"/>
      <c r="G2061" s="50"/>
      <c r="H2061" s="50"/>
      <c r="I2061" s="50"/>
      <c r="J2061" s="50"/>
      <c r="K2061" s="50"/>
      <c r="L2061" s="50"/>
      <c r="M2061" s="50"/>
      <c r="N2061" s="50"/>
      <c r="O2061" s="50"/>
      <c r="P2061" s="50"/>
      <c r="Q2061" s="50"/>
      <c r="R2061" s="50"/>
    </row>
    <row r="2062" spans="1:18" s="43" customFormat="1" x14ac:dyDescent="0.25">
      <c r="A2062" s="52" t="s">
        <v>999</v>
      </c>
      <c r="B2062" s="53"/>
      <c r="C2062" s="52"/>
      <c r="D2062" s="50"/>
      <c r="E2062" s="50"/>
      <c r="F2062" s="50"/>
      <c r="G2062" s="50"/>
      <c r="H2062" s="50"/>
      <c r="I2062" s="50"/>
      <c r="J2062" s="50"/>
      <c r="K2062" s="50"/>
      <c r="L2062" s="50"/>
      <c r="M2062" s="50"/>
      <c r="N2062" s="50"/>
      <c r="O2062" s="50"/>
      <c r="P2062" s="50"/>
      <c r="Q2062" s="50"/>
      <c r="R2062" s="50"/>
    </row>
    <row r="2063" spans="1:18" s="43" customFormat="1" x14ac:dyDescent="0.25">
      <c r="A2063" s="52" t="s">
        <v>1054</v>
      </c>
      <c r="B2063" s="53"/>
      <c r="C2063" s="52"/>
      <c r="D2063" s="50"/>
      <c r="E2063" s="50"/>
      <c r="F2063" s="50"/>
      <c r="G2063" s="50"/>
      <c r="H2063" s="50"/>
      <c r="I2063" s="50"/>
      <c r="J2063" s="50"/>
      <c r="K2063" s="50"/>
      <c r="L2063" s="50"/>
      <c r="M2063" s="50"/>
      <c r="N2063" s="50"/>
      <c r="O2063" s="50"/>
      <c r="P2063" s="50"/>
      <c r="Q2063" s="50"/>
      <c r="R2063" s="50"/>
    </row>
    <row r="2064" spans="1:18" s="43" customFormat="1" x14ac:dyDescent="0.25">
      <c r="A2064" s="52" t="s">
        <v>1055</v>
      </c>
      <c r="B2064" s="53"/>
      <c r="C2064" s="52"/>
      <c r="D2064" s="50"/>
      <c r="E2064" s="50"/>
      <c r="F2064" s="50"/>
      <c r="G2064" s="50"/>
      <c r="H2064" s="50"/>
      <c r="I2064" s="50"/>
      <c r="J2064" s="50"/>
      <c r="K2064" s="50"/>
      <c r="L2064" s="50"/>
      <c r="M2064" s="50"/>
      <c r="N2064" s="50"/>
      <c r="O2064" s="50"/>
      <c r="P2064" s="50"/>
      <c r="Q2064" s="50"/>
      <c r="R2064" s="50"/>
    </row>
    <row r="2065" spans="1:18" s="43" customFormat="1" x14ac:dyDescent="0.25">
      <c r="A2065" s="52" t="s">
        <v>1082</v>
      </c>
      <c r="B2065" s="53"/>
      <c r="C2065" s="67"/>
      <c r="D2065" s="50"/>
      <c r="E2065" s="50"/>
      <c r="F2065" s="50"/>
      <c r="G2065" s="50"/>
      <c r="H2065" s="50"/>
      <c r="I2065" s="50"/>
      <c r="J2065" s="50"/>
      <c r="K2065" s="50"/>
      <c r="L2065" s="50"/>
      <c r="M2065" s="50"/>
      <c r="N2065" s="50"/>
      <c r="O2065" s="50"/>
      <c r="P2065" s="50"/>
      <c r="Q2065" s="50"/>
      <c r="R2065" s="50"/>
    </row>
    <row r="2066" spans="1:18" s="43" customFormat="1" x14ac:dyDescent="0.25">
      <c r="A2066" s="52" t="s">
        <v>1094</v>
      </c>
      <c r="B2066" s="53"/>
      <c r="C2066" s="52"/>
      <c r="D2066" s="50"/>
      <c r="E2066" s="50"/>
      <c r="F2066" s="50"/>
      <c r="G2066" s="50"/>
      <c r="H2066" s="50"/>
      <c r="I2066" s="50"/>
      <c r="J2066" s="50"/>
      <c r="K2066" s="50"/>
      <c r="L2066" s="50"/>
      <c r="M2066" s="50"/>
      <c r="N2066" s="50"/>
      <c r="O2066" s="50"/>
      <c r="P2066" s="50"/>
      <c r="Q2066" s="50"/>
      <c r="R2066" s="50"/>
    </row>
    <row r="2067" spans="1:18" s="43" customFormat="1" x14ac:dyDescent="0.25">
      <c r="A2067" s="52" t="s">
        <v>1096</v>
      </c>
      <c r="B2067" s="53"/>
      <c r="C2067" s="52"/>
      <c r="D2067" s="50"/>
      <c r="E2067" s="50"/>
      <c r="F2067" s="50"/>
      <c r="G2067" s="50"/>
      <c r="H2067" s="50"/>
      <c r="I2067" s="50"/>
      <c r="J2067" s="50"/>
      <c r="K2067" s="50"/>
      <c r="L2067" s="50"/>
      <c r="M2067" s="50"/>
      <c r="N2067" s="50"/>
      <c r="O2067" s="50"/>
      <c r="P2067" s="50"/>
      <c r="Q2067" s="50"/>
      <c r="R2067" s="50"/>
    </row>
    <row r="2068" spans="1:18" s="43" customFormat="1" x14ac:dyDescent="0.25">
      <c r="A2068" s="59" t="s">
        <v>1177</v>
      </c>
      <c r="B2068" s="53"/>
      <c r="C2068" s="52"/>
      <c r="D2068" s="50"/>
      <c r="E2068" s="50"/>
      <c r="F2068" s="50"/>
      <c r="G2068" s="50">
        <v>41744</v>
      </c>
      <c r="H2068" s="50"/>
      <c r="I2068" s="50"/>
      <c r="J2068" s="50"/>
      <c r="K2068" s="50"/>
      <c r="L2068" s="50"/>
      <c r="M2068" s="50"/>
      <c r="N2068" s="50"/>
      <c r="O2068" s="50"/>
      <c r="P2068" s="50"/>
      <c r="Q2068" s="50"/>
      <c r="R2068" s="50"/>
    </row>
    <row r="2069" spans="1:18" s="43" customFormat="1" x14ac:dyDescent="0.25">
      <c r="A2069" s="52" t="s">
        <v>1102</v>
      </c>
      <c r="B2069" s="53"/>
      <c r="C2069" s="52"/>
      <c r="D2069" s="50"/>
      <c r="E2069" s="50"/>
      <c r="F2069" s="50"/>
      <c r="G2069" s="50"/>
      <c r="H2069" s="50"/>
      <c r="I2069" s="50"/>
      <c r="J2069" s="50"/>
      <c r="K2069" s="50"/>
      <c r="L2069" s="50"/>
      <c r="M2069" s="50"/>
      <c r="N2069" s="50"/>
      <c r="O2069" s="50"/>
      <c r="P2069" s="50"/>
      <c r="Q2069" s="50"/>
      <c r="R2069" s="50"/>
    </row>
    <row r="2070" spans="1:18" s="43" customFormat="1" x14ac:dyDescent="0.25">
      <c r="A2070" s="52" t="s">
        <v>1176</v>
      </c>
      <c r="B2070" s="53"/>
      <c r="C2070" s="52"/>
      <c r="D2070" s="50"/>
      <c r="E2070" s="50"/>
      <c r="F2070" s="50"/>
      <c r="G2070" s="50"/>
      <c r="H2070" s="50"/>
      <c r="I2070" s="50"/>
      <c r="J2070" s="50"/>
      <c r="K2070" s="50"/>
      <c r="L2070" s="50"/>
      <c r="M2070" s="50"/>
      <c r="N2070" s="50"/>
      <c r="O2070" s="50"/>
      <c r="P2070" s="50"/>
      <c r="Q2070" s="50"/>
      <c r="R2070" s="50"/>
    </row>
    <row r="2071" spans="1:18" s="43" customFormat="1" x14ac:dyDescent="0.25">
      <c r="A2071" s="52" t="s">
        <v>632</v>
      </c>
      <c r="B2071" s="53"/>
      <c r="C2071" s="52"/>
      <c r="D2071" s="50"/>
      <c r="E2071" s="50"/>
      <c r="F2071" s="50"/>
      <c r="G2071" s="50"/>
      <c r="H2071" s="50"/>
      <c r="I2071" s="50"/>
      <c r="J2071" s="50"/>
      <c r="K2071" s="50"/>
      <c r="L2071" s="50"/>
      <c r="M2071" s="50"/>
      <c r="N2071" s="50"/>
      <c r="O2071" s="50"/>
      <c r="P2071" s="50"/>
      <c r="Q2071" s="50"/>
      <c r="R2071" s="50"/>
    </row>
    <row r="2072" spans="1:18" s="43" customFormat="1" x14ac:dyDescent="0.25">
      <c r="A2072" s="52" t="s">
        <v>749</v>
      </c>
      <c r="B2072" s="53"/>
      <c r="C2072" s="52"/>
      <c r="D2072" s="50"/>
      <c r="E2072" s="50"/>
      <c r="F2072" s="50"/>
      <c r="G2072" s="50"/>
      <c r="H2072" s="50"/>
      <c r="I2072" s="50"/>
      <c r="J2072" s="50"/>
      <c r="K2072" s="50"/>
      <c r="L2072" s="50"/>
      <c r="M2072" s="50"/>
      <c r="N2072" s="50"/>
      <c r="O2072" s="50"/>
      <c r="P2072" s="50"/>
      <c r="Q2072" s="50"/>
      <c r="R2072" s="50"/>
    </row>
    <row r="2073" spans="1:18" s="43" customFormat="1" x14ac:dyDescent="0.25">
      <c r="A2073" s="52" t="s">
        <v>752</v>
      </c>
      <c r="B2073" s="53"/>
      <c r="C2073" s="52"/>
      <c r="D2073" s="50"/>
      <c r="E2073" s="50"/>
      <c r="F2073" s="50"/>
      <c r="G2073" s="50"/>
      <c r="H2073" s="50"/>
      <c r="I2073" s="50"/>
      <c r="J2073" s="50"/>
      <c r="K2073" s="50"/>
      <c r="L2073" s="50"/>
      <c r="M2073" s="50"/>
      <c r="N2073" s="50"/>
      <c r="O2073" s="50"/>
      <c r="P2073" s="50"/>
      <c r="Q2073" s="50"/>
      <c r="R2073" s="50"/>
    </row>
    <row r="2074" spans="1:18" s="43" customFormat="1" x14ac:dyDescent="0.25">
      <c r="A2074" s="52" t="s">
        <v>751</v>
      </c>
      <c r="B2074" s="53"/>
      <c r="C2074" s="52"/>
      <c r="D2074" s="50"/>
      <c r="E2074" s="50"/>
      <c r="F2074" s="50"/>
      <c r="G2074" s="50"/>
      <c r="H2074" s="50"/>
      <c r="I2074" s="50"/>
      <c r="J2074" s="50"/>
      <c r="K2074" s="50"/>
      <c r="L2074" s="50"/>
      <c r="M2074" s="50"/>
      <c r="N2074" s="50"/>
      <c r="O2074" s="50"/>
      <c r="P2074" s="50"/>
      <c r="Q2074" s="50"/>
      <c r="R2074" s="50"/>
    </row>
    <row r="2075" spans="1:18" x14ac:dyDescent="0.25">
      <c r="A2075" s="52" t="s">
        <v>1256</v>
      </c>
      <c r="B2075" s="44"/>
      <c r="C2075" s="52"/>
      <c r="D2075" s="50"/>
      <c r="E2075" s="50"/>
      <c r="F2075" s="50"/>
      <c r="G2075" s="50"/>
      <c r="H2075" s="50"/>
      <c r="I2075" s="50"/>
      <c r="J2075" s="50"/>
      <c r="K2075" s="50"/>
      <c r="L2075" s="50"/>
      <c r="M2075" s="50"/>
      <c r="N2075" s="50"/>
      <c r="O2075" s="50"/>
      <c r="P2075" s="50"/>
      <c r="Q2075" s="50"/>
      <c r="R2075" s="50"/>
    </row>
    <row r="2076" spans="1:18" x14ac:dyDescent="0.25">
      <c r="A2076" s="41" t="s">
        <v>1181</v>
      </c>
      <c r="B2076" s="44"/>
      <c r="C2076" s="52"/>
      <c r="D2076" s="50"/>
      <c r="E2076" s="50"/>
      <c r="F2076" s="50"/>
      <c r="G2076" s="50"/>
      <c r="H2076" s="50"/>
      <c r="I2076" s="50"/>
      <c r="J2076" s="50"/>
      <c r="K2076" s="50"/>
      <c r="L2076" s="50"/>
      <c r="M2076" s="50"/>
      <c r="N2076" s="50"/>
      <c r="O2076" s="50"/>
      <c r="P2076" s="50"/>
      <c r="Q2076" s="50"/>
      <c r="R2076" s="50"/>
    </row>
    <row r="2077" spans="1:18" x14ac:dyDescent="0.25">
      <c r="A2077" s="131" t="s">
        <v>486</v>
      </c>
      <c r="B2077" s="44"/>
      <c r="C2077" s="50">
        <v>12727</v>
      </c>
      <c r="D2077" s="50"/>
      <c r="E2077" s="50"/>
      <c r="F2077" s="50"/>
      <c r="G2077" s="50"/>
      <c r="H2077" s="50"/>
      <c r="I2077" s="50"/>
      <c r="J2077" s="50"/>
      <c r="K2077" s="50"/>
      <c r="L2077" s="50"/>
      <c r="M2077" s="50"/>
      <c r="N2077" s="50"/>
      <c r="O2077" s="50"/>
      <c r="P2077" s="50"/>
      <c r="Q2077" s="50"/>
      <c r="R2077" s="50"/>
    </row>
    <row r="2078" spans="1:18" x14ac:dyDescent="0.25">
      <c r="A2078" s="131" t="s">
        <v>535</v>
      </c>
      <c r="B2078" s="44"/>
      <c r="C2078" s="50">
        <v>3000</v>
      </c>
      <c r="D2078" s="50"/>
      <c r="E2078" s="50"/>
      <c r="F2078" s="50"/>
      <c r="G2078" s="50"/>
      <c r="H2078" s="50"/>
      <c r="I2078" s="50"/>
      <c r="J2078" s="50"/>
      <c r="K2078" s="50"/>
      <c r="L2078" s="50"/>
      <c r="M2078" s="50"/>
      <c r="N2078" s="50"/>
      <c r="O2078" s="50"/>
      <c r="P2078" s="50"/>
      <c r="Q2078" s="50"/>
      <c r="R2078" s="50"/>
    </row>
    <row r="2079" spans="1:18" x14ac:dyDescent="0.25">
      <c r="A2079" s="131" t="s">
        <v>548</v>
      </c>
      <c r="B2079" s="44"/>
      <c r="C2079" s="50">
        <v>5000</v>
      </c>
      <c r="D2079" s="50"/>
      <c r="E2079" s="50"/>
      <c r="F2079" s="50"/>
      <c r="G2079" s="50"/>
      <c r="H2079" s="50"/>
      <c r="I2079" s="50"/>
      <c r="J2079" s="50"/>
      <c r="K2079" s="50"/>
      <c r="L2079" s="50"/>
      <c r="M2079" s="50"/>
      <c r="N2079" s="50"/>
      <c r="O2079" s="50"/>
      <c r="P2079" s="50"/>
      <c r="Q2079" s="50"/>
      <c r="R2079" s="50"/>
    </row>
    <row r="2080" spans="1:18" x14ac:dyDescent="0.25">
      <c r="A2080" s="91" t="s">
        <v>561</v>
      </c>
      <c r="B2080" s="44"/>
      <c r="C2080" s="50">
        <v>140467</v>
      </c>
      <c r="D2080" s="50"/>
      <c r="E2080" s="50"/>
      <c r="F2080" s="50"/>
      <c r="G2080" s="50"/>
      <c r="H2080" s="50"/>
      <c r="I2080" s="50"/>
      <c r="J2080" s="50"/>
      <c r="K2080" s="50"/>
      <c r="L2080" s="50"/>
      <c r="M2080" s="50"/>
      <c r="N2080" s="50"/>
      <c r="O2080" s="50"/>
      <c r="P2080" s="50"/>
      <c r="Q2080" s="50"/>
      <c r="R2080" s="50"/>
    </row>
    <row r="2081" spans="1:18" s="43" customFormat="1" x14ac:dyDescent="0.25">
      <c r="A2081" s="233" t="s">
        <v>1257</v>
      </c>
      <c r="B2081" s="44"/>
      <c r="C2081" s="50"/>
      <c r="D2081" s="50"/>
      <c r="E2081" s="50"/>
      <c r="F2081" s="50"/>
      <c r="H2081" s="50"/>
      <c r="I2081" s="50"/>
      <c r="J2081" s="50"/>
      <c r="K2081" s="50"/>
      <c r="L2081" s="50"/>
      <c r="M2081" s="50"/>
      <c r="N2081" s="50"/>
      <c r="O2081" s="50"/>
      <c r="P2081" s="50"/>
      <c r="Q2081" s="50"/>
      <c r="R2081" s="50"/>
    </row>
    <row r="2082" spans="1:18" s="43" customFormat="1" x14ac:dyDescent="0.25">
      <c r="A2082" s="147" t="s">
        <v>310</v>
      </c>
      <c r="B2082" s="44"/>
      <c r="C2082" s="50"/>
      <c r="D2082" s="50"/>
      <c r="E2082" s="50"/>
      <c r="F2082" s="50"/>
      <c r="G2082" s="250">
        <v>45511</v>
      </c>
      <c r="H2082" s="50"/>
      <c r="I2082" s="50"/>
      <c r="J2082" s="50"/>
      <c r="K2082" s="50"/>
      <c r="L2082" s="50"/>
      <c r="M2082" s="50"/>
      <c r="N2082" s="50"/>
      <c r="O2082" s="50"/>
      <c r="P2082" s="50"/>
      <c r="Q2082" s="50"/>
      <c r="R2082" s="50"/>
    </row>
    <row r="2083" spans="1:18" s="43" customFormat="1" x14ac:dyDescent="0.25">
      <c r="A2083" s="147" t="s">
        <v>249</v>
      </c>
      <c r="B2083" s="44"/>
      <c r="C2083" s="50"/>
      <c r="D2083" s="50"/>
      <c r="E2083" s="50"/>
      <c r="F2083" s="50"/>
      <c r="G2083" s="234">
        <v>5000</v>
      </c>
      <c r="H2083" s="50"/>
      <c r="I2083" s="50"/>
      <c r="J2083" s="50"/>
      <c r="K2083" s="50"/>
      <c r="L2083" s="50"/>
      <c r="M2083" s="50"/>
      <c r="N2083" s="50"/>
      <c r="O2083" s="50"/>
      <c r="P2083" s="50"/>
      <c r="Q2083" s="50"/>
      <c r="R2083" s="50"/>
    </row>
    <row r="2084" spans="1:18" s="43" customFormat="1" x14ac:dyDescent="0.25">
      <c r="A2084" s="251" t="s">
        <v>815</v>
      </c>
      <c r="B2084" s="44"/>
      <c r="C2084" s="50"/>
      <c r="D2084" s="50"/>
      <c r="E2084" s="50"/>
      <c r="F2084" s="50"/>
      <c r="G2084" s="250">
        <v>5040</v>
      </c>
      <c r="H2084" s="50"/>
      <c r="I2084" s="50"/>
      <c r="J2084" s="50"/>
      <c r="K2084" s="50"/>
      <c r="L2084" s="50"/>
      <c r="M2084" s="50"/>
      <c r="N2084" s="50"/>
      <c r="O2084" s="50"/>
      <c r="P2084" s="50"/>
      <c r="Q2084" s="50"/>
      <c r="R2084" s="50"/>
    </row>
    <row r="2085" spans="1:18" s="43" customFormat="1" x14ac:dyDescent="0.25">
      <c r="A2085" s="251" t="s">
        <v>1229</v>
      </c>
      <c r="B2085" s="44"/>
      <c r="C2085" s="50"/>
      <c r="D2085" s="50"/>
      <c r="E2085" s="50"/>
      <c r="F2085" s="50"/>
      <c r="G2085" s="250">
        <v>6968</v>
      </c>
      <c r="H2085" s="50"/>
      <c r="I2085" s="50"/>
      <c r="J2085" s="50"/>
      <c r="K2085" s="50"/>
      <c r="L2085" s="50"/>
      <c r="M2085" s="50"/>
      <c r="N2085" s="50"/>
      <c r="O2085" s="50"/>
      <c r="P2085" s="50"/>
      <c r="Q2085" s="50"/>
      <c r="R2085" s="50"/>
    </row>
    <row r="2086" spans="1:18" s="43" customFormat="1" x14ac:dyDescent="0.25">
      <c r="A2086" s="147" t="s">
        <v>1230</v>
      </c>
      <c r="B2086" s="44"/>
      <c r="C2086" s="50"/>
      <c r="D2086" s="50"/>
      <c r="E2086" s="50"/>
      <c r="F2086" s="50"/>
      <c r="G2086" s="250">
        <v>3373</v>
      </c>
      <c r="H2086" s="50"/>
      <c r="I2086" s="50"/>
      <c r="J2086" s="50"/>
      <c r="K2086" s="50"/>
      <c r="L2086" s="50"/>
      <c r="M2086" s="50"/>
      <c r="N2086" s="50"/>
      <c r="O2086" s="50"/>
      <c r="P2086" s="50"/>
      <c r="Q2086" s="50"/>
      <c r="R2086" s="50"/>
    </row>
    <row r="2087" spans="1:18" s="43" customFormat="1" x14ac:dyDescent="0.25">
      <c r="A2087" s="147" t="s">
        <v>1231</v>
      </c>
      <c r="B2087" s="44"/>
      <c r="C2087" s="50"/>
      <c r="D2087" s="50"/>
      <c r="E2087" s="50"/>
      <c r="F2087" s="50"/>
      <c r="G2087" s="250">
        <v>5018</v>
      </c>
      <c r="H2087" s="50"/>
      <c r="I2087" s="50"/>
      <c r="J2087" s="50"/>
      <c r="K2087" s="50"/>
      <c r="L2087" s="50"/>
      <c r="M2087" s="50"/>
      <c r="N2087" s="50"/>
      <c r="O2087" s="50"/>
      <c r="P2087" s="50"/>
      <c r="Q2087" s="50"/>
      <c r="R2087" s="50"/>
    </row>
    <row r="2088" spans="1:18" s="43" customFormat="1" x14ac:dyDescent="0.25">
      <c r="A2088" s="147" t="s">
        <v>1232</v>
      </c>
      <c r="B2088" s="44"/>
      <c r="C2088" s="50"/>
      <c r="D2088" s="50"/>
      <c r="E2088" s="50"/>
      <c r="F2088" s="50"/>
      <c r="G2088" s="250">
        <v>14474</v>
      </c>
      <c r="H2088" s="50"/>
      <c r="I2088" s="50"/>
      <c r="J2088" s="50"/>
      <c r="K2088" s="50"/>
      <c r="L2088" s="50"/>
      <c r="M2088" s="50"/>
      <c r="N2088" s="50"/>
      <c r="O2088" s="50"/>
      <c r="P2088" s="50"/>
      <c r="Q2088" s="50"/>
      <c r="R2088" s="50"/>
    </row>
    <row r="2089" spans="1:18" s="43" customFormat="1" x14ac:dyDescent="0.25">
      <c r="A2089" s="52" t="s">
        <v>958</v>
      </c>
      <c r="B2089" s="44"/>
      <c r="C2089" s="50"/>
      <c r="D2089" s="50"/>
      <c r="E2089" s="50"/>
      <c r="F2089" s="50"/>
      <c r="G2089">
        <v>85000</v>
      </c>
      <c r="H2089" s="50"/>
      <c r="I2089" s="50"/>
      <c r="J2089" s="50"/>
      <c r="K2089" s="50"/>
      <c r="L2089" s="50"/>
      <c r="M2089" s="50"/>
      <c r="N2089" s="50"/>
      <c r="O2089" s="50"/>
      <c r="P2089" s="50"/>
      <c r="Q2089" s="50"/>
      <c r="R2089" s="50"/>
    </row>
    <row r="2090" spans="1:18" s="43" customFormat="1" x14ac:dyDescent="0.25">
      <c r="A2090" s="52" t="s">
        <v>1258</v>
      </c>
      <c r="B2090" s="44"/>
      <c r="C2090" s="50"/>
      <c r="D2090" s="50"/>
      <c r="E2090" s="50"/>
      <c r="F2090" s="50"/>
      <c r="G2090">
        <v>18000</v>
      </c>
      <c r="H2090" s="50"/>
      <c r="I2090" s="50"/>
      <c r="J2090" s="50"/>
      <c r="K2090" s="50"/>
      <c r="L2090" s="50"/>
      <c r="M2090" s="50"/>
      <c r="N2090" s="50"/>
      <c r="O2090" s="50"/>
      <c r="P2090" s="50"/>
      <c r="Q2090" s="50"/>
      <c r="R2090" s="50"/>
    </row>
    <row r="2091" spans="1:18" s="43" customFormat="1" x14ac:dyDescent="0.25">
      <c r="A2091" s="252" t="s">
        <v>1086</v>
      </c>
      <c r="B2091" s="44"/>
      <c r="C2091" s="50"/>
      <c r="D2091" s="50"/>
      <c r="E2091" s="50"/>
      <c r="F2091" s="50"/>
      <c r="G2091" s="43">
        <v>64000</v>
      </c>
      <c r="H2091" s="50"/>
      <c r="I2091" s="50"/>
      <c r="J2091" s="50"/>
      <c r="K2091" s="50"/>
      <c r="L2091" s="50"/>
      <c r="M2091" s="50"/>
      <c r="N2091" s="50"/>
      <c r="O2091" s="50"/>
      <c r="P2091" s="50"/>
      <c r="Q2091" s="50"/>
      <c r="R2091" s="50"/>
    </row>
    <row r="2092" spans="1:18" s="43" customFormat="1" x14ac:dyDescent="0.25">
      <c r="A2092" s="141" t="s">
        <v>1233</v>
      </c>
      <c r="B2092" s="44"/>
      <c r="C2092" s="50"/>
      <c r="D2092" s="50"/>
      <c r="E2092" s="50"/>
      <c r="F2092" s="50"/>
      <c r="G2092" s="43">
        <v>13500</v>
      </c>
      <c r="H2092" s="50"/>
      <c r="I2092" s="50"/>
      <c r="J2092" s="50"/>
      <c r="K2092" s="50"/>
      <c r="L2092" s="50"/>
      <c r="M2092" s="50"/>
      <c r="N2092" s="50"/>
      <c r="O2092" s="50"/>
      <c r="P2092" s="50"/>
      <c r="Q2092" s="50"/>
      <c r="R2092" s="50"/>
    </row>
    <row r="2093" spans="1:18" s="43" customFormat="1" x14ac:dyDescent="0.25">
      <c r="A2093" s="141" t="s">
        <v>1259</v>
      </c>
      <c r="B2093" s="44"/>
      <c r="C2093" s="50"/>
      <c r="D2093" s="50"/>
      <c r="E2093" s="50"/>
      <c r="F2093" s="50"/>
      <c r="G2093" s="43">
        <v>20532</v>
      </c>
      <c r="H2093" s="50"/>
      <c r="I2093" s="50"/>
      <c r="J2093" s="50"/>
      <c r="K2093" s="50"/>
      <c r="L2093" s="50"/>
      <c r="M2093" s="50"/>
      <c r="N2093" s="50"/>
      <c r="O2093" s="50"/>
      <c r="P2093" s="50"/>
      <c r="Q2093" s="50"/>
      <c r="R2093" s="50"/>
    </row>
    <row r="2094" spans="1:18" s="43" customFormat="1" x14ac:dyDescent="0.25">
      <c r="A2094" s="141" t="s">
        <v>1234</v>
      </c>
      <c r="B2094" s="44"/>
      <c r="C2094" s="50"/>
      <c r="D2094" s="50"/>
      <c r="E2094" s="50"/>
      <c r="F2094" s="50"/>
      <c r="G2094" s="43">
        <v>17000</v>
      </c>
      <c r="H2094" s="50"/>
      <c r="I2094" s="50"/>
      <c r="J2094" s="50"/>
      <c r="K2094" s="50"/>
      <c r="L2094" s="50"/>
      <c r="M2094" s="50"/>
      <c r="N2094" s="50"/>
      <c r="O2094" s="50"/>
      <c r="P2094" s="50"/>
      <c r="Q2094" s="50"/>
      <c r="R2094" s="50"/>
    </row>
    <row r="2095" spans="1:18" s="43" customFormat="1" x14ac:dyDescent="0.25">
      <c r="A2095" s="235" t="s">
        <v>1197</v>
      </c>
      <c r="B2095" s="44"/>
      <c r="C2095" s="50"/>
      <c r="D2095" s="50"/>
      <c r="E2095" s="50"/>
      <c r="F2095" s="50"/>
      <c r="G2095" s="250">
        <v>925600</v>
      </c>
      <c r="H2095" s="50"/>
      <c r="I2095" s="50"/>
      <c r="J2095" s="50"/>
      <c r="K2095" s="50"/>
      <c r="L2095" s="50"/>
      <c r="M2095" s="50"/>
      <c r="N2095" s="50"/>
      <c r="O2095" s="50"/>
      <c r="P2095" s="50"/>
      <c r="Q2095" s="50"/>
      <c r="R2095" s="50"/>
    </row>
    <row r="2096" spans="1:18" s="43" customFormat="1" x14ac:dyDescent="0.25">
      <c r="A2096" s="235" t="s">
        <v>1209</v>
      </c>
      <c r="B2096" s="44"/>
      <c r="C2096" s="50"/>
      <c r="D2096" s="50"/>
      <c r="E2096" s="50"/>
      <c r="F2096" s="50"/>
      <c r="G2096" s="250">
        <v>185338</v>
      </c>
      <c r="H2096" s="50"/>
      <c r="I2096" s="50"/>
      <c r="J2096" s="50"/>
      <c r="K2096" s="50"/>
      <c r="L2096" s="50"/>
      <c r="M2096" s="50"/>
      <c r="N2096" s="50"/>
      <c r="O2096" s="50"/>
      <c r="P2096" s="50"/>
      <c r="Q2096" s="50"/>
      <c r="R2096" s="50"/>
    </row>
    <row r="2097" spans="1:18" s="43" customFormat="1" x14ac:dyDescent="0.25">
      <c r="A2097" s="41" t="s">
        <v>1260</v>
      </c>
      <c r="B2097" s="44"/>
      <c r="C2097" s="50"/>
      <c r="D2097" s="50"/>
      <c r="E2097" s="50"/>
      <c r="F2097" s="50"/>
      <c r="G2097">
        <v>204714</v>
      </c>
      <c r="H2097" s="50"/>
      <c r="I2097" s="50"/>
      <c r="J2097" s="50"/>
      <c r="K2097" s="50"/>
      <c r="L2097" s="50"/>
      <c r="M2097" s="50"/>
      <c r="N2097" s="50"/>
      <c r="O2097" s="50"/>
      <c r="P2097" s="50"/>
      <c r="Q2097" s="50"/>
      <c r="R2097" s="50"/>
    </row>
    <row r="2098" spans="1:18" s="43" customFormat="1" x14ac:dyDescent="0.25">
      <c r="A2098" s="52"/>
      <c r="B2098" s="44"/>
      <c r="C2098" s="50"/>
      <c r="D2098" s="50"/>
      <c r="E2098" s="50"/>
      <c r="F2098" s="50"/>
      <c r="G2098" s="50"/>
      <c r="H2098" s="50"/>
      <c r="I2098" s="50"/>
      <c r="J2098" s="50"/>
      <c r="K2098" s="50"/>
      <c r="L2098" s="50"/>
      <c r="M2098" s="50"/>
      <c r="N2098" s="50"/>
      <c r="O2098" s="50"/>
      <c r="P2098" s="50"/>
      <c r="Q2098" s="50"/>
      <c r="R2098" s="50"/>
    </row>
    <row r="2099" spans="1:18" s="43" customFormat="1" x14ac:dyDescent="0.25">
      <c r="A2099" s="52"/>
      <c r="B2099" s="44"/>
      <c r="C2099" s="50"/>
      <c r="D2099" s="50"/>
      <c r="E2099" s="50"/>
      <c r="F2099" s="50"/>
      <c r="G2099" s="50"/>
      <c r="H2099" s="50"/>
      <c r="I2099" s="50"/>
      <c r="J2099" s="50"/>
      <c r="K2099" s="50"/>
      <c r="L2099" s="50"/>
      <c r="M2099" s="50"/>
      <c r="N2099" s="50"/>
      <c r="O2099" s="50"/>
      <c r="P2099" s="50"/>
      <c r="Q2099" s="50"/>
      <c r="R2099" s="50"/>
    </row>
    <row r="2100" spans="1:18" s="43" customFormat="1" x14ac:dyDescent="0.25">
      <c r="A2100" s="52"/>
      <c r="B2100" s="44"/>
      <c r="C2100" s="50"/>
      <c r="D2100" s="50"/>
      <c r="E2100" s="50"/>
      <c r="F2100" s="50"/>
      <c r="G2100" s="50"/>
      <c r="H2100" s="50"/>
      <c r="I2100" s="50"/>
      <c r="J2100" s="50"/>
      <c r="K2100" s="50"/>
      <c r="L2100" s="50"/>
      <c r="M2100" s="50"/>
      <c r="N2100" s="50"/>
      <c r="O2100" s="50"/>
      <c r="P2100" s="50"/>
      <c r="Q2100" s="50"/>
      <c r="R2100" s="50"/>
    </row>
    <row r="2101" spans="1:18" s="43" customFormat="1" x14ac:dyDescent="0.25">
      <c r="A2101" s="52"/>
      <c r="B2101" s="44"/>
      <c r="C2101" s="50"/>
      <c r="D2101" s="50"/>
      <c r="E2101" s="50"/>
      <c r="F2101" s="50"/>
      <c r="G2101" s="50"/>
      <c r="H2101" s="50"/>
      <c r="I2101" s="50"/>
      <c r="J2101" s="50"/>
      <c r="K2101" s="50"/>
      <c r="L2101" s="50"/>
      <c r="M2101" s="50"/>
      <c r="N2101" s="50"/>
      <c r="O2101" s="50"/>
      <c r="P2101" s="50"/>
      <c r="Q2101" s="50"/>
      <c r="R2101" s="50"/>
    </row>
    <row r="2102" spans="1:18" s="43" customFormat="1" x14ac:dyDescent="0.25">
      <c r="A2102" s="52"/>
      <c r="B2102" s="44"/>
      <c r="C2102" s="50"/>
      <c r="D2102" s="50"/>
      <c r="E2102" s="50"/>
      <c r="F2102" s="50"/>
      <c r="G2102" s="50"/>
      <c r="H2102" s="50"/>
      <c r="I2102" s="50"/>
      <c r="J2102" s="50"/>
      <c r="K2102" s="50"/>
      <c r="L2102" s="50"/>
      <c r="M2102" s="50"/>
      <c r="N2102" s="50"/>
      <c r="O2102" s="50"/>
      <c r="P2102" s="50"/>
      <c r="Q2102" s="50"/>
      <c r="R2102" s="50"/>
    </row>
    <row r="2103" spans="1:18" s="43" customFormat="1" x14ac:dyDescent="0.25">
      <c r="A2103" s="52"/>
      <c r="B2103" s="44"/>
      <c r="C2103" s="50"/>
      <c r="D2103" s="50"/>
      <c r="E2103" s="50"/>
      <c r="F2103" s="50"/>
      <c r="G2103" s="50"/>
      <c r="H2103" s="50"/>
      <c r="I2103" s="50"/>
      <c r="J2103" s="50"/>
      <c r="K2103" s="50"/>
      <c r="L2103" s="50"/>
      <c r="M2103" s="50"/>
      <c r="N2103" s="50"/>
      <c r="O2103" s="50"/>
      <c r="P2103" s="50"/>
      <c r="Q2103" s="50"/>
      <c r="R2103" s="50"/>
    </row>
    <row r="2104" spans="1:18" s="43" customFormat="1" x14ac:dyDescent="0.25">
      <c r="A2104" s="52"/>
      <c r="B2104" s="44"/>
      <c r="C2104" s="50"/>
      <c r="D2104" s="50"/>
      <c r="E2104" s="50"/>
      <c r="F2104" s="50"/>
      <c r="G2104" s="50"/>
      <c r="H2104" s="50"/>
      <c r="I2104" s="50"/>
      <c r="J2104" s="50"/>
      <c r="K2104" s="50"/>
      <c r="L2104" s="50"/>
      <c r="M2104" s="50"/>
      <c r="N2104" s="50"/>
      <c r="O2104" s="50"/>
      <c r="P2104" s="50"/>
      <c r="Q2104" s="50"/>
      <c r="R2104" s="50"/>
    </row>
    <row r="2105" spans="1:18" x14ac:dyDescent="0.25">
      <c r="A2105" s="52"/>
      <c r="B2105" s="44"/>
      <c r="C2105" s="52"/>
      <c r="D2105" s="50"/>
      <c r="E2105" s="50"/>
      <c r="F2105" s="50"/>
      <c r="G2105" s="50"/>
      <c r="H2105" s="50"/>
      <c r="I2105" s="50"/>
      <c r="J2105" s="50"/>
      <c r="K2105" s="50"/>
      <c r="L2105" s="50"/>
      <c r="M2105" s="50"/>
      <c r="N2105" s="50"/>
      <c r="O2105" s="50"/>
      <c r="P2105" s="50"/>
      <c r="Q2105" s="50"/>
      <c r="R2105" s="50"/>
    </row>
    <row r="2106" spans="1:18" x14ac:dyDescent="0.25">
      <c r="A2106" s="41" t="s">
        <v>107</v>
      </c>
      <c r="B2106" s="44"/>
      <c r="C2106" s="51">
        <f>SUM(C2028:C2105)</f>
        <v>1173095</v>
      </c>
      <c r="D2106" s="51">
        <f>SUM(D2028:D2075)</f>
        <v>961606</v>
      </c>
      <c r="E2106" s="51">
        <f>SUM(E2028:E2075)</f>
        <v>1078717</v>
      </c>
      <c r="F2106" s="51">
        <f t="shared" ref="F2106" si="1075">SUM(F2028:F2105)</f>
        <v>1033081</v>
      </c>
      <c r="G2106" s="51">
        <f>SUM(G2028:G2105)</f>
        <v>2826400.77</v>
      </c>
      <c r="H2106" s="51">
        <f>SUM(H2028:H2105)</f>
        <v>1772919.9569942858</v>
      </c>
      <c r="I2106" s="51">
        <f t="shared" ref="I2106:R2106" si="1076">SUM(I2028:I2075)</f>
        <v>1165752.6236609523</v>
      </c>
      <c r="J2106" s="51">
        <f t="shared" si="1076"/>
        <v>1132901.4636609524</v>
      </c>
      <c r="K2106" s="51">
        <f t="shared" si="1076"/>
        <v>1149484.1155009523</v>
      </c>
      <c r="L2106" s="51">
        <f t="shared" si="1076"/>
        <v>1174016.2939732724</v>
      </c>
      <c r="M2106" s="51">
        <f t="shared" si="1076"/>
        <v>1162026.1120883033</v>
      </c>
      <c r="N2106" s="51">
        <f t="shared" si="1076"/>
        <v>1203097.7851852844</v>
      </c>
      <c r="O2106" s="51">
        <f t="shared" si="1076"/>
        <v>1210505.3897951494</v>
      </c>
      <c r="P2106" s="51">
        <f t="shared" si="1076"/>
        <v>1277111.2135456367</v>
      </c>
      <c r="Q2106" s="51">
        <f t="shared" si="1076"/>
        <v>1305838.1417219378</v>
      </c>
      <c r="R2106" s="51">
        <f t="shared" si="1076"/>
        <v>1341064.0410393537</v>
      </c>
    </row>
    <row r="2107" spans="1:18" x14ac:dyDescent="0.25">
      <c r="C2107" s="50"/>
      <c r="D2107" s="50"/>
      <c r="E2107" s="50"/>
      <c r="F2107" s="50"/>
      <c r="G2107" s="50"/>
      <c r="H2107" s="50"/>
      <c r="I2107" s="50"/>
      <c r="J2107" s="50"/>
      <c r="K2107" s="50"/>
      <c r="L2107" s="50"/>
      <c r="M2107" s="50"/>
      <c r="N2107" s="50"/>
      <c r="O2107" s="50"/>
      <c r="P2107" s="50"/>
      <c r="Q2107" s="50"/>
      <c r="R2107" s="50"/>
    </row>
    <row r="2108" spans="1:18" x14ac:dyDescent="0.25">
      <c r="A2108" s="41" t="s">
        <v>1261</v>
      </c>
      <c r="B2108" s="44"/>
      <c r="C2108" s="51">
        <f t="shared" ref="C2108:R2108" si="1077">C2106-C2023+C1796</f>
        <v>-1703368.42</v>
      </c>
      <c r="D2108" s="51">
        <f t="shared" si="1077"/>
        <v>-2784171</v>
      </c>
      <c r="E2108" s="51">
        <f t="shared" si="1077"/>
        <v>-2486182</v>
      </c>
      <c r="F2108" s="51">
        <f t="shared" si="1077"/>
        <v>-2242985</v>
      </c>
      <c r="G2108" s="51">
        <f t="shared" si="1077"/>
        <v>249539.41000000015</v>
      </c>
      <c r="H2108" s="51">
        <f t="shared" si="1077"/>
        <v>-1608957</v>
      </c>
      <c r="I2108" s="51">
        <f t="shared" si="1077"/>
        <v>-1678388.5</v>
      </c>
      <c r="J2108" s="51">
        <f t="shared" si="1077"/>
        <v>-1922281.0724999998</v>
      </c>
      <c r="K2108" s="51">
        <f t="shared" si="1077"/>
        <v>-1826307.1919475005</v>
      </c>
      <c r="L2108" s="51">
        <f t="shared" si="1077"/>
        <v>-1809973.6581457676</v>
      </c>
      <c r="M2108" s="51">
        <f t="shared" si="1077"/>
        <v>-1958717.3101823037</v>
      </c>
      <c r="N2108" s="51">
        <f t="shared" si="1077"/>
        <v>-2106314.3045983124</v>
      </c>
      <c r="O2108" s="51">
        <f t="shared" si="1077"/>
        <v>-1925299.321883539</v>
      </c>
      <c r="P2108" s="51">
        <f t="shared" si="1077"/>
        <v>-2123941.4678188367</v>
      </c>
      <c r="Q2108" s="51">
        <f t="shared" si="1077"/>
        <v>-2084142.7796313863</v>
      </c>
      <c r="R2108" s="51">
        <f t="shared" si="1077"/>
        <v>-2092371.3065393241</v>
      </c>
    </row>
    <row r="2109" spans="1:18" x14ac:dyDescent="0.25">
      <c r="C2109" s="50"/>
      <c r="D2109" s="50"/>
      <c r="E2109" s="50"/>
      <c r="F2109" s="50"/>
      <c r="G2109" s="50"/>
      <c r="H2109" s="50"/>
      <c r="I2109" s="50"/>
      <c r="J2109" s="50"/>
      <c r="K2109" s="50"/>
      <c r="L2109" s="50"/>
      <c r="M2109" s="50"/>
      <c r="N2109" s="50"/>
      <c r="O2109" s="50"/>
      <c r="P2109" s="50"/>
      <c r="Q2109" s="50"/>
      <c r="R2109" s="50"/>
    </row>
    <row r="2110" spans="1:18" x14ac:dyDescent="0.25">
      <c r="A2110" s="41" t="s">
        <v>1262</v>
      </c>
      <c r="B2110" s="44"/>
      <c r="C2110" s="50"/>
      <c r="D2110" s="50"/>
      <c r="E2110" s="50"/>
      <c r="F2110" s="50"/>
      <c r="G2110" s="50"/>
      <c r="H2110" s="50"/>
      <c r="I2110" s="50"/>
      <c r="J2110" s="50"/>
      <c r="K2110" s="50"/>
      <c r="L2110" s="50"/>
      <c r="M2110" s="50"/>
      <c r="N2110" s="50"/>
      <c r="O2110" s="50"/>
      <c r="P2110" s="50"/>
      <c r="Q2110" s="50"/>
      <c r="R2110" s="50"/>
    </row>
    <row r="2111" spans="1:18" x14ac:dyDescent="0.25">
      <c r="A2111" s="41"/>
      <c r="B2111" s="44"/>
      <c r="C2111" s="50"/>
      <c r="D2111" s="50"/>
      <c r="E2111" s="50"/>
      <c r="F2111" s="50"/>
      <c r="G2111" s="50"/>
      <c r="H2111" s="50"/>
      <c r="I2111" s="50"/>
      <c r="J2111" s="50"/>
      <c r="K2111" s="50"/>
      <c r="L2111" s="50"/>
      <c r="M2111" s="50"/>
      <c r="N2111" s="50"/>
      <c r="O2111" s="50"/>
      <c r="P2111" s="50"/>
      <c r="Q2111" s="50"/>
      <c r="R2111" s="50"/>
    </row>
    <row r="2112" spans="1:18" x14ac:dyDescent="0.25">
      <c r="A2112" s="41" t="s">
        <v>202</v>
      </c>
      <c r="B2112" s="44"/>
      <c r="C2112" s="50"/>
      <c r="D2112" s="50"/>
      <c r="E2112" s="50"/>
      <c r="F2112" s="50"/>
      <c r="G2112" s="50"/>
      <c r="H2112" s="50"/>
      <c r="I2112" s="50"/>
      <c r="J2112" s="50"/>
      <c r="K2112" s="50"/>
      <c r="L2112" s="50"/>
      <c r="M2112" s="50"/>
      <c r="N2112" s="50"/>
      <c r="O2112" s="50"/>
      <c r="P2112" s="50"/>
      <c r="Q2112" s="50"/>
      <c r="R2112" s="50"/>
    </row>
    <row r="2113" spans="1:20" x14ac:dyDescent="0.25">
      <c r="A2113" s="41"/>
      <c r="B2113" s="44"/>
      <c r="C2113" s="50"/>
      <c r="D2113" s="50"/>
      <c r="E2113" s="50"/>
      <c r="F2113" s="50"/>
      <c r="G2113" s="50"/>
      <c r="H2113" s="50"/>
      <c r="I2113" s="50"/>
      <c r="J2113" s="50"/>
      <c r="K2113" s="50"/>
      <c r="L2113" s="50"/>
      <c r="M2113" s="50"/>
      <c r="N2113" s="50"/>
      <c r="O2113" s="50"/>
      <c r="P2113" s="50"/>
      <c r="Q2113" s="50"/>
      <c r="R2113" s="50"/>
    </row>
    <row r="2114" spans="1:20" x14ac:dyDescent="0.25">
      <c r="C2114" s="50"/>
      <c r="D2114" s="50"/>
      <c r="E2114" s="50"/>
      <c r="F2114" s="50"/>
      <c r="G2114" s="50"/>
      <c r="H2114" s="50"/>
      <c r="I2114" s="50"/>
      <c r="J2114" s="50"/>
      <c r="K2114" s="50"/>
      <c r="L2114" s="50"/>
      <c r="M2114" s="50"/>
      <c r="N2114" s="50"/>
      <c r="O2114" s="50"/>
      <c r="P2114" s="50"/>
      <c r="Q2114" s="50"/>
      <c r="R2114" s="50"/>
    </row>
    <row r="2115" spans="1:20" x14ac:dyDescent="0.25">
      <c r="A2115" s="43" t="s">
        <v>1263</v>
      </c>
      <c r="C2115" s="54">
        <v>3305</v>
      </c>
      <c r="D2115" s="54">
        <v>650</v>
      </c>
      <c r="E2115">
        <v>1616</v>
      </c>
      <c r="F2115" s="54">
        <v>1250</v>
      </c>
      <c r="G2115" s="54">
        <v>4020</v>
      </c>
      <c r="H2115" s="54">
        <v>2000</v>
      </c>
      <c r="I2115" s="54">
        <f t="shared" ref="I2115:I2118" si="1078">H2115*1.023</f>
        <v>2045.9999999999998</v>
      </c>
      <c r="J2115" s="54">
        <f t="shared" ref="J2115:K2118" si="1079">I2115*1.024</f>
        <v>2095.1039999999998</v>
      </c>
      <c r="K2115" s="54">
        <f t="shared" si="1079"/>
        <v>2145.3864960000001</v>
      </c>
      <c r="L2115" s="54">
        <f t="shared" ref="L2115:L2118" si="1080">K2115*1.023</f>
        <v>2194.7303854080001</v>
      </c>
      <c r="M2115" s="54">
        <f t="shared" ref="M2115:M2118" si="1081">L2115*1.022</f>
        <v>2243.0144538869763</v>
      </c>
      <c r="N2115" s="54">
        <f t="shared" ref="N2115:N2118" si="1082">M2115*1.023</f>
        <v>2294.6037863263764</v>
      </c>
      <c r="O2115" s="54">
        <f t="shared" ref="O2115:P2118" si="1083">N2115*1.025</f>
        <v>2351.9688809845356</v>
      </c>
      <c r="P2115" s="54">
        <f t="shared" si="1083"/>
        <v>2410.7681030091489</v>
      </c>
      <c r="Q2115" s="54">
        <f t="shared" ref="Q2115:R2118" si="1084">P2115*1.024</f>
        <v>2468.6265374813684</v>
      </c>
      <c r="R2115" s="54">
        <f t="shared" si="1084"/>
        <v>2527.8735743809211</v>
      </c>
    </row>
    <row r="2116" spans="1:20" x14ac:dyDescent="0.25">
      <c r="A2116" s="43" t="s">
        <v>1264</v>
      </c>
      <c r="C2116" s="54">
        <v>24640</v>
      </c>
      <c r="D2116" s="54">
        <v>21647</v>
      </c>
      <c r="E2116">
        <v>21312</v>
      </c>
      <c r="F2116" s="54">
        <v>18900</v>
      </c>
      <c r="G2116" s="54">
        <v>18635</v>
      </c>
      <c r="H2116" s="54">
        <v>20000</v>
      </c>
      <c r="I2116" s="54">
        <f t="shared" si="1078"/>
        <v>20460</v>
      </c>
      <c r="J2116" s="54">
        <f t="shared" si="1079"/>
        <v>20951.04</v>
      </c>
      <c r="K2116" s="54">
        <f t="shared" si="1079"/>
        <v>21453.864960000003</v>
      </c>
      <c r="L2116" s="54">
        <f t="shared" si="1080"/>
        <v>21947.303854080001</v>
      </c>
      <c r="M2116" s="54">
        <f t="shared" si="1081"/>
        <v>22430.144538869761</v>
      </c>
      <c r="N2116" s="54">
        <f t="shared" si="1082"/>
        <v>22946.037863263762</v>
      </c>
      <c r="O2116" s="54">
        <f t="shared" si="1083"/>
        <v>23519.688809845353</v>
      </c>
      <c r="P2116" s="54">
        <f t="shared" si="1083"/>
        <v>24107.681030091484</v>
      </c>
      <c r="Q2116" s="54">
        <f t="shared" si="1084"/>
        <v>24686.26537481368</v>
      </c>
      <c r="R2116" s="54">
        <f t="shared" si="1084"/>
        <v>25278.735743809208</v>
      </c>
    </row>
    <row r="2117" spans="1:20" x14ac:dyDescent="0.25">
      <c r="A2117" s="43" t="s">
        <v>1265</v>
      </c>
      <c r="C2117" s="54">
        <v>54376</v>
      </c>
      <c r="D2117" s="54">
        <v>56776</v>
      </c>
      <c r="E2117">
        <v>58873</v>
      </c>
      <c r="F2117" s="54">
        <v>59120</v>
      </c>
      <c r="G2117" s="54">
        <v>61336</v>
      </c>
      <c r="H2117" s="54">
        <v>61000</v>
      </c>
      <c r="I2117" s="54">
        <f t="shared" si="1078"/>
        <v>62402.999999999993</v>
      </c>
      <c r="J2117" s="54">
        <f t="shared" si="1079"/>
        <v>63900.671999999991</v>
      </c>
      <c r="K2117" s="54">
        <f t="shared" si="1079"/>
        <v>65434.288127999993</v>
      </c>
      <c r="L2117" s="54">
        <f t="shared" si="1080"/>
        <v>66939.276754943989</v>
      </c>
      <c r="M2117" s="54">
        <f t="shared" si="1081"/>
        <v>68411.940843552758</v>
      </c>
      <c r="N2117" s="54">
        <f t="shared" si="1082"/>
        <v>69985.415482954471</v>
      </c>
      <c r="O2117" s="54">
        <f t="shared" si="1083"/>
        <v>71735.050870028324</v>
      </c>
      <c r="P2117" s="54">
        <f t="shared" si="1083"/>
        <v>73528.42714177903</v>
      </c>
      <c r="Q2117" s="54">
        <f t="shared" si="1084"/>
        <v>75293.10939318173</v>
      </c>
      <c r="R2117" s="54">
        <f t="shared" si="1084"/>
        <v>77100.144018618099</v>
      </c>
    </row>
    <row r="2118" spans="1:20" x14ac:dyDescent="0.25">
      <c r="A2118" s="43" t="s">
        <v>1266</v>
      </c>
      <c r="C2118" s="54">
        <v>50</v>
      </c>
      <c r="D2118" s="43">
        <v>50</v>
      </c>
      <c r="E2118">
        <v>45</v>
      </c>
      <c r="F2118" s="50">
        <v>20</v>
      </c>
      <c r="G2118" s="50">
        <v>0</v>
      </c>
      <c r="H2118" s="50">
        <v>100</v>
      </c>
      <c r="I2118" s="54">
        <f t="shared" si="1078"/>
        <v>102.3</v>
      </c>
      <c r="J2118" s="54">
        <f t="shared" si="1079"/>
        <v>104.7552</v>
      </c>
      <c r="K2118" s="54">
        <f t="shared" si="1079"/>
        <v>107.26932480000001</v>
      </c>
      <c r="L2118" s="54">
        <f t="shared" si="1080"/>
        <v>109.7365192704</v>
      </c>
      <c r="M2118" s="54">
        <f t="shared" si="1081"/>
        <v>112.1507226943488</v>
      </c>
      <c r="N2118" s="54">
        <f t="shared" si="1082"/>
        <v>114.73018931631881</v>
      </c>
      <c r="O2118" s="54">
        <f t="shared" si="1083"/>
        <v>117.59844404922677</v>
      </c>
      <c r="P2118" s="54">
        <f t="shared" si="1083"/>
        <v>120.53840515045744</v>
      </c>
      <c r="Q2118" s="54">
        <f t="shared" si="1084"/>
        <v>123.43132687406842</v>
      </c>
      <c r="R2118" s="54">
        <f t="shared" si="1084"/>
        <v>126.39367871904606</v>
      </c>
    </row>
    <row r="2119" spans="1:20" x14ac:dyDescent="0.25">
      <c r="A2119" s="52" t="s">
        <v>1267</v>
      </c>
      <c r="C2119" s="54"/>
      <c r="E2119">
        <v>3986244</v>
      </c>
      <c r="F2119" s="50">
        <v>0</v>
      </c>
      <c r="G2119" s="50">
        <v>0</v>
      </c>
      <c r="H2119" s="50">
        <v>0</v>
      </c>
      <c r="I2119" s="50">
        <v>0</v>
      </c>
      <c r="J2119" s="50">
        <v>0</v>
      </c>
      <c r="K2119" s="50">
        <v>0</v>
      </c>
      <c r="L2119" s="50">
        <v>0</v>
      </c>
      <c r="M2119" s="50">
        <v>0</v>
      </c>
      <c r="N2119" s="50">
        <v>0</v>
      </c>
      <c r="O2119" s="50">
        <v>0</v>
      </c>
      <c r="P2119" s="50">
        <v>0</v>
      </c>
      <c r="Q2119" s="50">
        <v>0</v>
      </c>
      <c r="R2119" s="50">
        <v>0</v>
      </c>
    </row>
    <row r="2120" spans="1:20" x14ac:dyDescent="0.25">
      <c r="A2120" s="43" t="s">
        <v>1268</v>
      </c>
      <c r="C2120" s="54">
        <v>26375</v>
      </c>
      <c r="D2120" s="50">
        <v>15452</v>
      </c>
      <c r="E2120">
        <v>31227</v>
      </c>
      <c r="F2120" s="50">
        <v>9005</v>
      </c>
      <c r="G2120" s="50">
        <v>2959</v>
      </c>
      <c r="H2120" s="50">
        <v>32900</v>
      </c>
      <c r="I2120" s="50">
        <v>81600</v>
      </c>
      <c r="J2120" s="50">
        <v>26700</v>
      </c>
      <c r="K2120" s="50">
        <v>0</v>
      </c>
      <c r="L2120" s="50">
        <v>0</v>
      </c>
      <c r="M2120" s="50">
        <v>38100</v>
      </c>
      <c r="N2120" s="50">
        <v>39700</v>
      </c>
      <c r="O2120" s="50">
        <v>19800</v>
      </c>
      <c r="P2120" s="50">
        <v>64900</v>
      </c>
      <c r="Q2120" s="43">
        <v>19400</v>
      </c>
      <c r="R2120" s="43">
        <v>19400</v>
      </c>
    </row>
    <row r="2121" spans="1:20" x14ac:dyDescent="0.25">
      <c r="A2121" s="43" t="s">
        <v>1269</v>
      </c>
      <c r="C2121" s="54">
        <f>96+1037+253</f>
        <v>1386</v>
      </c>
      <c r="D2121" s="54">
        <v>5834</v>
      </c>
      <c r="E2121">
        <f>370+5177+253</f>
        <v>5800</v>
      </c>
      <c r="F2121" s="54">
        <v>504</v>
      </c>
      <c r="G2121" s="54">
        <v>904</v>
      </c>
      <c r="H2121" s="54">
        <v>1200</v>
      </c>
      <c r="I2121" s="54">
        <f t="shared" ref="I2121:I2122" si="1085">H2121*1.023</f>
        <v>1227.5999999999999</v>
      </c>
      <c r="J2121" s="54">
        <f t="shared" ref="J2121:K2122" si="1086">I2121*1.024</f>
        <v>1257.0624</v>
      </c>
      <c r="K2121" s="54">
        <f t="shared" si="1086"/>
        <v>1287.2318976000001</v>
      </c>
      <c r="L2121" s="54">
        <f t="shared" ref="L2121:L2122" si="1087">K2121*1.023</f>
        <v>1316.8382312448</v>
      </c>
      <c r="M2121" s="54">
        <f t="shared" ref="M2121:M2122" si="1088">L2121*1.022</f>
        <v>1345.8086723321856</v>
      </c>
      <c r="N2121" s="54">
        <f t="shared" ref="N2121:N2122" si="1089">M2121*1.023</f>
        <v>1376.7622717958257</v>
      </c>
      <c r="O2121" s="54">
        <f t="shared" ref="O2121:P2122" si="1090">N2121*1.025</f>
        <v>1411.1813285907213</v>
      </c>
      <c r="P2121" s="54">
        <f t="shared" si="1090"/>
        <v>1446.4608618054892</v>
      </c>
      <c r="Q2121" s="54">
        <f t="shared" ref="Q2121:R2122" si="1091">P2121*1.024</f>
        <v>1481.175922488821</v>
      </c>
      <c r="R2121" s="54">
        <f t="shared" si="1091"/>
        <v>1516.7241446285527</v>
      </c>
    </row>
    <row r="2122" spans="1:20" x14ac:dyDescent="0.25">
      <c r="A2122" s="43" t="s">
        <v>1270</v>
      </c>
      <c r="C2122" s="54">
        <f>3239</f>
        <v>3239</v>
      </c>
      <c r="D2122" s="54">
        <v>3573</v>
      </c>
      <c r="E2122">
        <v>3975</v>
      </c>
      <c r="F2122" s="54">
        <v>11999</v>
      </c>
      <c r="G2122" s="54">
        <v>14183</v>
      </c>
      <c r="H2122" s="54">
        <v>13700</v>
      </c>
      <c r="I2122" s="54">
        <f t="shared" si="1085"/>
        <v>14015.099999999999</v>
      </c>
      <c r="J2122" s="54">
        <f t="shared" si="1086"/>
        <v>14351.462399999999</v>
      </c>
      <c r="K2122" s="54">
        <f t="shared" si="1086"/>
        <v>14695.897497599999</v>
      </c>
      <c r="L2122" s="54">
        <f t="shared" si="1087"/>
        <v>15033.903140044798</v>
      </c>
      <c r="M2122" s="54">
        <f t="shared" si="1088"/>
        <v>15364.649009125784</v>
      </c>
      <c r="N2122" s="54">
        <f t="shared" si="1089"/>
        <v>15718.035936335675</v>
      </c>
      <c r="O2122" s="54">
        <f t="shared" si="1090"/>
        <v>16110.986834744066</v>
      </c>
      <c r="P2122" s="54">
        <f t="shared" si="1090"/>
        <v>16513.761505612667</v>
      </c>
      <c r="Q2122" s="54">
        <f t="shared" si="1091"/>
        <v>16910.091781747371</v>
      </c>
      <c r="R2122" s="54">
        <f t="shared" si="1091"/>
        <v>17315.933984509309</v>
      </c>
    </row>
    <row r="2123" spans="1:20" x14ac:dyDescent="0.25">
      <c r="A2123" s="52" t="s">
        <v>1271</v>
      </c>
      <c r="C2123" s="54">
        <v>6819937</v>
      </c>
      <c r="D2123" s="50">
        <v>6978871</v>
      </c>
      <c r="E2123">
        <v>7193586</v>
      </c>
      <c r="F2123" s="50">
        <v>7345366</v>
      </c>
      <c r="G2123" s="50">
        <v>7453142</v>
      </c>
      <c r="H2123" s="50">
        <f>7849500-161200-53400</f>
        <v>7634900</v>
      </c>
      <c r="I2123" s="50">
        <f>8078900-I2131-53000</f>
        <v>7860300</v>
      </c>
      <c r="J2123" s="50">
        <f t="shared" ref="J2123:R2123" si="1092">I2123*1.025</f>
        <v>8056807.4999999991</v>
      </c>
      <c r="K2123" s="50">
        <f t="shared" si="1092"/>
        <v>8258227.6874999981</v>
      </c>
      <c r="L2123" s="50">
        <f t="shared" si="1092"/>
        <v>8464683.3796874974</v>
      </c>
      <c r="M2123" s="50">
        <f t="shared" si="1092"/>
        <v>8676300.4641796835</v>
      </c>
      <c r="N2123" s="50">
        <f t="shared" si="1092"/>
        <v>8893207.9757841751</v>
      </c>
      <c r="O2123" s="50">
        <f t="shared" si="1092"/>
        <v>9115538.1751787793</v>
      </c>
      <c r="P2123" s="50">
        <f t="shared" si="1092"/>
        <v>9343426.6295582484</v>
      </c>
      <c r="Q2123" s="50">
        <f t="shared" si="1092"/>
        <v>9577012.2952972036</v>
      </c>
      <c r="R2123" s="50">
        <f t="shared" si="1092"/>
        <v>9816437.6026796326</v>
      </c>
      <c r="T2123" s="54"/>
    </row>
    <row r="2124" spans="1:20" ht="12" customHeight="1" x14ac:dyDescent="0.25">
      <c r="A2124" s="209" t="s">
        <v>1272</v>
      </c>
      <c r="B2124" s="204" t="s">
        <v>950</v>
      </c>
      <c r="C2124" s="253"/>
      <c r="D2124" s="205">
        <v>0</v>
      </c>
      <c r="E2124" s="205">
        <v>0</v>
      </c>
      <c r="F2124" s="205">
        <v>-34</v>
      </c>
      <c r="G2124" s="205">
        <v>0</v>
      </c>
      <c r="H2124" s="205">
        <v>0</v>
      </c>
      <c r="I2124" s="205">
        <v>0</v>
      </c>
      <c r="J2124" s="205">
        <v>0</v>
      </c>
      <c r="K2124" s="205">
        <v>0</v>
      </c>
      <c r="L2124" s="205">
        <v>0</v>
      </c>
      <c r="M2124" s="207">
        <v>0</v>
      </c>
      <c r="N2124" s="207">
        <v>0</v>
      </c>
      <c r="O2124" s="207">
        <v>0</v>
      </c>
      <c r="P2124" s="207">
        <v>0</v>
      </c>
      <c r="Q2124" s="207">
        <f t="shared" ref="Q2124:R2124" si="1093">P2124*1.03</f>
        <v>0</v>
      </c>
      <c r="R2124" s="207">
        <f t="shared" si="1093"/>
        <v>0</v>
      </c>
    </row>
    <row r="2125" spans="1:20" ht="12" customHeight="1" x14ac:dyDescent="0.25">
      <c r="A2125" s="253" t="s">
        <v>1273</v>
      </c>
      <c r="B2125" s="204"/>
      <c r="C2125" s="206">
        <f>335020-54</f>
        <v>334966</v>
      </c>
      <c r="D2125" s="205">
        <v>342421</v>
      </c>
      <c r="E2125" s="205">
        <v>354401</v>
      </c>
      <c r="F2125" s="205">
        <v>361788</v>
      </c>
      <c r="G2125" s="205">
        <v>366922</v>
      </c>
      <c r="H2125" s="205">
        <v>375900</v>
      </c>
      <c r="I2125" s="205">
        <v>387000</v>
      </c>
      <c r="J2125" s="205">
        <f t="shared" ref="J2125:L2125" si="1094">I2125*1.025</f>
        <v>396674.99999999994</v>
      </c>
      <c r="K2125" s="205">
        <f t="shared" si="1094"/>
        <v>406591.87499999988</v>
      </c>
      <c r="L2125" s="205">
        <f t="shared" si="1094"/>
        <v>416756.67187499983</v>
      </c>
      <c r="M2125" s="207">
        <f>L2125*1.025</f>
        <v>427175.58867187478</v>
      </c>
      <c r="N2125" s="207">
        <f t="shared" ref="N2125:R2125" si="1095">M2125*1.025</f>
        <v>437854.97838867159</v>
      </c>
      <c r="O2125" s="207">
        <f t="shared" si="1095"/>
        <v>448801.35284838831</v>
      </c>
      <c r="P2125" s="207">
        <f t="shared" si="1095"/>
        <v>460021.386669598</v>
      </c>
      <c r="Q2125" s="207">
        <f t="shared" si="1095"/>
        <v>471521.92133633792</v>
      </c>
      <c r="R2125" s="207">
        <f t="shared" si="1095"/>
        <v>483309.96936974634</v>
      </c>
      <c r="T2125" s="54"/>
    </row>
    <row r="2126" spans="1:20" x14ac:dyDescent="0.25">
      <c r="A2126" s="213" t="s">
        <v>1272</v>
      </c>
      <c r="B2126" s="254" t="s">
        <v>590</v>
      </c>
      <c r="C2126" s="54">
        <f>225781-64</f>
        <v>225717</v>
      </c>
      <c r="D2126" s="255">
        <v>0</v>
      </c>
      <c r="E2126" s="255">
        <v>0</v>
      </c>
      <c r="F2126" s="255">
        <v>0</v>
      </c>
      <c r="G2126" s="255">
        <v>0</v>
      </c>
      <c r="H2126" s="255">
        <v>0</v>
      </c>
      <c r="I2126" s="255">
        <v>0</v>
      </c>
      <c r="J2126" s="255">
        <v>0</v>
      </c>
      <c r="K2126" s="255">
        <v>0</v>
      </c>
      <c r="L2126" s="255">
        <v>0</v>
      </c>
      <c r="M2126" s="161">
        <v>0</v>
      </c>
      <c r="N2126" s="161">
        <v>0</v>
      </c>
      <c r="O2126" s="161">
        <v>0</v>
      </c>
      <c r="P2126" s="161">
        <v>0</v>
      </c>
      <c r="Q2126" s="161">
        <f t="shared" ref="Q2126:R2126" si="1096">P2126*1.03</f>
        <v>0</v>
      </c>
      <c r="R2126" s="161">
        <f t="shared" si="1096"/>
        <v>0</v>
      </c>
    </row>
    <row r="2127" spans="1:20" x14ac:dyDescent="0.25">
      <c r="A2127" s="158" t="s">
        <v>1274</v>
      </c>
      <c r="B2127" s="256"/>
      <c r="C2127" s="59"/>
      <c r="D2127" s="255">
        <v>230760</v>
      </c>
      <c r="E2127" s="255">
        <v>238735</v>
      </c>
      <c r="F2127" s="255">
        <v>243703</v>
      </c>
      <c r="G2127" s="255">
        <v>247145</v>
      </c>
      <c r="H2127" s="255">
        <v>251200</v>
      </c>
      <c r="I2127" s="255">
        <v>258100</v>
      </c>
      <c r="J2127" s="255">
        <f t="shared" ref="J2127:R2131" si="1097">I2127*1.025</f>
        <v>264552.5</v>
      </c>
      <c r="K2127" s="255">
        <f t="shared" si="1097"/>
        <v>271166.3125</v>
      </c>
      <c r="L2127" s="255">
        <f t="shared" si="1097"/>
        <v>277945.47031249997</v>
      </c>
      <c r="M2127" s="161">
        <f t="shared" si="1097"/>
        <v>284894.10707031243</v>
      </c>
      <c r="N2127" s="161">
        <f t="shared" si="1097"/>
        <v>292016.45974707021</v>
      </c>
      <c r="O2127" s="161">
        <f t="shared" si="1097"/>
        <v>299316.87124074693</v>
      </c>
      <c r="P2127" s="161">
        <f t="shared" si="1097"/>
        <v>306799.7930217656</v>
      </c>
      <c r="Q2127" s="161">
        <f t="shared" si="1097"/>
        <v>314469.78784730972</v>
      </c>
      <c r="R2127" s="161">
        <f t="shared" si="1097"/>
        <v>322331.53254349245</v>
      </c>
    </row>
    <row r="2128" spans="1:20" x14ac:dyDescent="0.25">
      <c r="A2128" s="257" t="s">
        <v>1275</v>
      </c>
      <c r="B2128" s="258" t="s">
        <v>832</v>
      </c>
      <c r="C2128" s="54">
        <v>79018</v>
      </c>
      <c r="D2128" s="259">
        <v>80762</v>
      </c>
      <c r="E2128" s="259">
        <v>83579</v>
      </c>
      <c r="F2128" s="259">
        <f>170628/2</f>
        <v>85314</v>
      </c>
      <c r="G2128" s="259">
        <v>86536</v>
      </c>
      <c r="H2128" s="259">
        <v>88700</v>
      </c>
      <c r="I2128" s="259">
        <v>91300</v>
      </c>
      <c r="J2128" s="259">
        <f t="shared" si="1097"/>
        <v>93582.499999999985</v>
      </c>
      <c r="K2128" s="259">
        <f t="shared" si="1097"/>
        <v>95922.062499999971</v>
      </c>
      <c r="L2128" s="259">
        <f t="shared" si="1097"/>
        <v>98320.114062499968</v>
      </c>
      <c r="M2128" s="190">
        <f t="shared" si="1097"/>
        <v>100778.11691406246</v>
      </c>
      <c r="N2128" s="190">
        <f t="shared" si="1097"/>
        <v>103297.569836914</v>
      </c>
      <c r="O2128" s="190">
        <f t="shared" si="1097"/>
        <v>105880.00908283684</v>
      </c>
      <c r="P2128" s="190">
        <f t="shared" si="1097"/>
        <v>108527.00930990775</v>
      </c>
      <c r="Q2128" s="190">
        <f t="shared" si="1097"/>
        <v>111240.18454265544</v>
      </c>
      <c r="R2128" s="190">
        <f t="shared" si="1097"/>
        <v>114021.18915622181</v>
      </c>
    </row>
    <row r="2129" spans="1:20" x14ac:dyDescent="0.25">
      <c r="A2129" s="260" t="s">
        <v>1276</v>
      </c>
      <c r="B2129" s="127" t="s">
        <v>468</v>
      </c>
      <c r="C2129" s="54">
        <v>79017</v>
      </c>
      <c r="D2129" s="134">
        <v>80762</v>
      </c>
      <c r="E2129" s="134">
        <v>83579</v>
      </c>
      <c r="F2129" s="134">
        <v>85314</v>
      </c>
      <c r="G2129" s="134">
        <v>86535</v>
      </c>
      <c r="H2129" s="134">
        <v>88700</v>
      </c>
      <c r="I2129" s="134">
        <v>91300</v>
      </c>
      <c r="J2129" s="134">
        <f t="shared" si="1097"/>
        <v>93582.499999999985</v>
      </c>
      <c r="K2129" s="134">
        <f t="shared" si="1097"/>
        <v>95922.062499999971</v>
      </c>
      <c r="L2129" s="134">
        <f t="shared" si="1097"/>
        <v>98320.114062499968</v>
      </c>
      <c r="M2129" s="195">
        <f t="shared" si="1097"/>
        <v>100778.11691406246</v>
      </c>
      <c r="N2129" s="195">
        <f t="shared" si="1097"/>
        <v>103297.569836914</v>
      </c>
      <c r="O2129" s="195">
        <f t="shared" si="1097"/>
        <v>105880.00908283684</v>
      </c>
      <c r="P2129" s="195">
        <f t="shared" si="1097"/>
        <v>108527.00930990775</v>
      </c>
      <c r="Q2129" s="195">
        <f t="shared" si="1097"/>
        <v>111240.18454265544</v>
      </c>
      <c r="R2129" s="195">
        <f t="shared" si="1097"/>
        <v>114021.18915622181</v>
      </c>
    </row>
    <row r="2130" spans="1:20" x14ac:dyDescent="0.25">
      <c r="A2130" s="83" t="s">
        <v>1277</v>
      </c>
      <c r="B2130" s="84" t="s">
        <v>317</v>
      </c>
      <c r="C2130" s="54">
        <v>311846</v>
      </c>
      <c r="D2130" s="261">
        <v>318766</v>
      </c>
      <c r="E2130" s="261">
        <v>329686</v>
      </c>
      <c r="F2130" s="261">
        <v>336471</v>
      </c>
      <c r="G2130" s="89">
        <v>-81</v>
      </c>
      <c r="H2130" s="89">
        <v>0</v>
      </c>
      <c r="I2130" s="89">
        <v>350000</v>
      </c>
      <c r="J2130" s="89">
        <f>I2130*1.025</f>
        <v>358749.99999999994</v>
      </c>
      <c r="K2130" s="89">
        <f t="shared" si="1097"/>
        <v>367718.74999999988</v>
      </c>
      <c r="L2130" s="89">
        <f t="shared" si="1097"/>
        <v>376911.71874999983</v>
      </c>
      <c r="M2130" s="89">
        <f t="shared" si="1097"/>
        <v>386334.51171874977</v>
      </c>
      <c r="N2130" s="89">
        <f t="shared" si="1097"/>
        <v>395992.87451171846</v>
      </c>
      <c r="O2130" s="89">
        <f t="shared" si="1097"/>
        <v>405892.6963745114</v>
      </c>
      <c r="P2130" s="89">
        <f t="shared" si="1097"/>
        <v>416040.01378387416</v>
      </c>
      <c r="Q2130" s="89">
        <f t="shared" si="1097"/>
        <v>426441.01412847097</v>
      </c>
      <c r="R2130" s="89">
        <f t="shared" si="1097"/>
        <v>437102.0394816827</v>
      </c>
      <c r="S2130" s="43"/>
    </row>
    <row r="2131" spans="1:20" s="43" customFormat="1" x14ac:dyDescent="0.25">
      <c r="A2131" s="262" t="s">
        <v>1278</v>
      </c>
      <c r="B2131" s="263">
        <v>0.02</v>
      </c>
      <c r="C2131" s="54">
        <v>145600</v>
      </c>
      <c r="D2131" s="264">
        <v>148900</v>
      </c>
      <c r="E2131" s="264">
        <v>152500</v>
      </c>
      <c r="F2131" s="264">
        <v>155300</v>
      </c>
      <c r="G2131" s="264">
        <v>157600</v>
      </c>
      <c r="H2131" s="264">
        <v>161200</v>
      </c>
      <c r="I2131" s="264">
        <v>165600</v>
      </c>
      <c r="J2131" s="264">
        <f t="shared" ref="J2131:K2131" si="1098">I2131*1.025</f>
        <v>169739.99999999997</v>
      </c>
      <c r="K2131" s="264">
        <f t="shared" si="1098"/>
        <v>173983.49999999994</v>
      </c>
      <c r="L2131" s="190">
        <f>K2131*1.025</f>
        <v>178333.08749999994</v>
      </c>
      <c r="M2131" s="190">
        <f>L2131*1.025</f>
        <v>182791.41468749993</v>
      </c>
      <c r="N2131" s="190">
        <f t="shared" si="1097"/>
        <v>187361.20005468742</v>
      </c>
      <c r="O2131" s="190">
        <f t="shared" si="1097"/>
        <v>192045.2300560546</v>
      </c>
      <c r="P2131" s="190">
        <f t="shared" si="1097"/>
        <v>196846.36080745596</v>
      </c>
      <c r="Q2131" s="190">
        <f t="shared" si="1097"/>
        <v>201767.51982764233</v>
      </c>
      <c r="R2131" s="190">
        <f t="shared" si="1097"/>
        <v>206811.70782333336</v>
      </c>
      <c r="T2131" s="54"/>
    </row>
    <row r="2132" spans="1:20" s="43" customFormat="1" x14ac:dyDescent="0.25">
      <c r="A2132" s="265" t="s">
        <v>1279</v>
      </c>
      <c r="B2132" s="266">
        <v>0.03</v>
      </c>
      <c r="C2132" s="50"/>
      <c r="D2132" s="50"/>
      <c r="E2132" s="50"/>
      <c r="F2132" s="50"/>
      <c r="G2132" s="50">
        <v>0</v>
      </c>
      <c r="H2132" s="50"/>
      <c r="I2132" s="267">
        <v>0</v>
      </c>
      <c r="J2132" s="267">
        <f>I2132*1.025</f>
        <v>0</v>
      </c>
      <c r="K2132" s="267">
        <f>J2132*1.025</f>
        <v>0</v>
      </c>
      <c r="L2132" s="267">
        <f t="shared" ref="L2132:R2132" si="1099">K2132*1.025</f>
        <v>0</v>
      </c>
      <c r="M2132" s="267">
        <f t="shared" si="1099"/>
        <v>0</v>
      </c>
      <c r="N2132" s="267">
        <f t="shared" si="1099"/>
        <v>0</v>
      </c>
      <c r="O2132" s="267">
        <f t="shared" si="1099"/>
        <v>0</v>
      </c>
      <c r="P2132" s="267">
        <f t="shared" si="1099"/>
        <v>0</v>
      </c>
      <c r="Q2132" s="267">
        <f t="shared" si="1099"/>
        <v>0</v>
      </c>
      <c r="R2132" s="267">
        <f t="shared" si="1099"/>
        <v>0</v>
      </c>
    </row>
    <row r="2133" spans="1:20" x14ac:dyDescent="0.25">
      <c r="A2133" s="52" t="s">
        <v>1280</v>
      </c>
      <c r="B2133" s="53"/>
      <c r="C2133" s="54">
        <v>19127</v>
      </c>
      <c r="D2133" s="54">
        <v>17247</v>
      </c>
      <c r="E2133" s="43">
        <v>20437</v>
      </c>
      <c r="F2133" s="54">
        <v>20351</v>
      </c>
      <c r="G2133" s="54">
        <v>17799</v>
      </c>
      <c r="H2133" s="54">
        <v>17400</v>
      </c>
      <c r="I2133" s="54">
        <f>H2133*1.025</f>
        <v>17835</v>
      </c>
      <c r="J2133" s="54">
        <f t="shared" ref="J2133:R2133" si="1100">I2133*1.025</f>
        <v>18280.875</v>
      </c>
      <c r="K2133" s="54">
        <f t="shared" si="1100"/>
        <v>18737.896874999999</v>
      </c>
      <c r="L2133" s="54">
        <f t="shared" si="1100"/>
        <v>19206.344296874995</v>
      </c>
      <c r="M2133" s="54">
        <f t="shared" si="1100"/>
        <v>19686.502904296867</v>
      </c>
      <c r="N2133" s="54">
        <f t="shared" si="1100"/>
        <v>20178.665476904287</v>
      </c>
      <c r="O2133" s="54">
        <f t="shared" si="1100"/>
        <v>20683.132113826894</v>
      </c>
      <c r="P2133" s="54">
        <f t="shared" si="1100"/>
        <v>21200.210416672566</v>
      </c>
      <c r="Q2133" s="54">
        <f t="shared" si="1100"/>
        <v>21730.215677089378</v>
      </c>
      <c r="R2133" s="54">
        <f t="shared" si="1100"/>
        <v>22273.47106901661</v>
      </c>
      <c r="S2133" s="43"/>
    </row>
    <row r="2134" spans="1:20" x14ac:dyDescent="0.25">
      <c r="A2134" s="43" t="s">
        <v>1281</v>
      </c>
      <c r="C2134" s="54">
        <v>337545</v>
      </c>
      <c r="D2134" s="50">
        <v>303584</v>
      </c>
      <c r="E2134" s="50">
        <v>326320</v>
      </c>
      <c r="F2134" s="50">
        <v>478024</v>
      </c>
      <c r="G2134" s="50">
        <v>466439</v>
      </c>
      <c r="H2134" s="54">
        <f>473400+12000</f>
        <v>485400</v>
      </c>
      <c r="I2134" s="54">
        <f>493100+12000</f>
        <v>505100</v>
      </c>
      <c r="J2134" s="54">
        <f>591700+12000</f>
        <v>603700</v>
      </c>
      <c r="K2134" s="50">
        <f>611500+12000</f>
        <v>623500</v>
      </c>
      <c r="L2134" s="50">
        <f>572048.387096774+12000</f>
        <v>584048.38709677395</v>
      </c>
      <c r="M2134" s="50">
        <f>532596.774193548+12000</f>
        <v>544596.77419354802</v>
      </c>
      <c r="N2134" s="50">
        <f>611500+12000</f>
        <v>623500</v>
      </c>
      <c r="O2134" s="50">
        <f>690403.225806452+12000</f>
        <v>702403.22580645198</v>
      </c>
      <c r="P2134" s="50">
        <f>710129.032258064+12000</f>
        <v>722129.03225806402</v>
      </c>
      <c r="Q2134" s="50">
        <f>670677.419354839+12000</f>
        <v>682677.41935483902</v>
      </c>
      <c r="R2134" s="50">
        <f>670677.419354839+12000</f>
        <v>682677.41935483902</v>
      </c>
      <c r="S2134" s="43"/>
    </row>
    <row r="2135" spans="1:20" x14ac:dyDescent="0.25">
      <c r="A2135" s="43" t="s">
        <v>1282</v>
      </c>
      <c r="C2135" s="54">
        <v>141407</v>
      </c>
      <c r="D2135">
        <v>299461</v>
      </c>
      <c r="E2135" s="43">
        <v>297821</v>
      </c>
      <c r="F2135" s="54">
        <v>447463</v>
      </c>
      <c r="G2135" s="50">
        <v>306229</v>
      </c>
      <c r="H2135" s="50">
        <f>294900+6500</f>
        <v>301400</v>
      </c>
      <c r="I2135" s="54">
        <f t="shared" ref="I2135" si="1101">H2135*1.023</f>
        <v>308332.19999999995</v>
      </c>
      <c r="J2135" s="54">
        <f t="shared" ref="J2135:K2135" si="1102">I2135*1.024</f>
        <v>315732.17279999994</v>
      </c>
      <c r="K2135" s="54">
        <f t="shared" si="1102"/>
        <v>323309.74494719994</v>
      </c>
      <c r="L2135" s="54">
        <f t="shared" ref="L2135" si="1103">K2135*1.023</f>
        <v>330745.86908098549</v>
      </c>
      <c r="M2135" s="54">
        <f t="shared" ref="M2135" si="1104">L2135*1.022</f>
        <v>338022.27820076718</v>
      </c>
      <c r="N2135" s="54">
        <f t="shared" ref="N2135" si="1105">M2135*1.023</f>
        <v>345796.79059938481</v>
      </c>
      <c r="O2135" s="54">
        <f t="shared" ref="O2135:P2135" si="1106">N2135*1.025</f>
        <v>354441.71036436938</v>
      </c>
      <c r="P2135" s="54">
        <f t="shared" si="1106"/>
        <v>363302.75312347861</v>
      </c>
      <c r="Q2135" s="54">
        <f t="shared" ref="Q2135:R2135" si="1107">P2135*1.024</f>
        <v>372022.01919844211</v>
      </c>
      <c r="R2135" s="54">
        <f t="shared" si="1107"/>
        <v>380950.54765920475</v>
      </c>
      <c r="S2135" s="43"/>
    </row>
    <row r="2136" spans="1:20" x14ac:dyDescent="0.25">
      <c r="A2136" s="43" t="s">
        <v>1283</v>
      </c>
      <c r="C2136" s="54">
        <v>52613</v>
      </c>
      <c r="D2136" s="54">
        <v>51981</v>
      </c>
      <c r="E2136" s="52">
        <v>50567</v>
      </c>
      <c r="F2136" s="54">
        <v>49034</v>
      </c>
      <c r="G2136" s="50">
        <v>28452</v>
      </c>
      <c r="H2136" s="50">
        <v>29400</v>
      </c>
      <c r="I2136" s="50">
        <f>53000*0.55</f>
        <v>29150.000000000004</v>
      </c>
      <c r="J2136" s="50">
        <f t="shared" ref="J2136:R2136" si="1108">I2136*1.025</f>
        <v>29878.75</v>
      </c>
      <c r="K2136" s="50">
        <f t="shared" si="1108"/>
        <v>30625.718749999996</v>
      </c>
      <c r="L2136" s="50">
        <f t="shared" si="1108"/>
        <v>31391.361718749995</v>
      </c>
      <c r="M2136" s="50">
        <f t="shared" si="1108"/>
        <v>32176.145761718741</v>
      </c>
      <c r="N2136" s="50">
        <f t="shared" si="1108"/>
        <v>32980.549405761703</v>
      </c>
      <c r="O2136" s="50">
        <f t="shared" si="1108"/>
        <v>33805.063140905746</v>
      </c>
      <c r="P2136" s="50">
        <f t="shared" si="1108"/>
        <v>34650.189719428388</v>
      </c>
      <c r="Q2136" s="50">
        <f t="shared" si="1108"/>
        <v>35516.444462414096</v>
      </c>
      <c r="R2136" s="50">
        <f t="shared" si="1108"/>
        <v>36404.355573974448</v>
      </c>
      <c r="S2136" s="43"/>
    </row>
    <row r="2137" spans="1:20" x14ac:dyDescent="0.25">
      <c r="A2137" s="43" t="s">
        <v>1284</v>
      </c>
      <c r="C2137" s="59"/>
      <c r="D2137" s="54">
        <v>230</v>
      </c>
      <c r="E2137" s="43">
        <v>75</v>
      </c>
      <c r="F2137" s="54"/>
      <c r="G2137" s="54">
        <v>0</v>
      </c>
      <c r="H2137" s="54"/>
      <c r="I2137" s="54"/>
      <c r="J2137" s="54"/>
      <c r="K2137" s="54"/>
      <c r="L2137" s="54"/>
      <c r="M2137" s="54"/>
      <c r="N2137" s="54"/>
      <c r="O2137" s="54"/>
      <c r="P2137" s="54"/>
      <c r="Q2137" s="54"/>
      <c r="R2137" s="54"/>
    </row>
    <row r="2138" spans="1:20" x14ac:dyDescent="0.25">
      <c r="A2138" s="52" t="s">
        <v>1285</v>
      </c>
      <c r="C2138" s="59"/>
      <c r="D2138" s="54"/>
      <c r="E2138" s="43">
        <v>435</v>
      </c>
      <c r="F2138" s="54"/>
      <c r="G2138" s="54">
        <v>312</v>
      </c>
      <c r="H2138" s="54"/>
      <c r="I2138" s="54"/>
      <c r="J2138" s="54"/>
      <c r="K2138" s="54"/>
      <c r="L2138" s="54"/>
      <c r="M2138" s="54"/>
      <c r="N2138" s="54"/>
      <c r="O2138" s="54"/>
      <c r="P2138" s="54"/>
      <c r="Q2138" s="54"/>
      <c r="R2138" s="54"/>
    </row>
    <row r="2139" spans="1:20" x14ac:dyDescent="0.25">
      <c r="A2139" s="52" t="s">
        <v>1286</v>
      </c>
      <c r="C2139" s="52"/>
      <c r="D2139" s="54"/>
      <c r="E2139" s="54"/>
      <c r="F2139" s="54"/>
      <c r="G2139" s="54">
        <v>0</v>
      </c>
      <c r="H2139" s="54"/>
      <c r="I2139" s="54"/>
      <c r="J2139" s="54"/>
      <c r="K2139" s="54"/>
      <c r="L2139" s="54"/>
      <c r="M2139" s="54"/>
      <c r="N2139" s="54"/>
      <c r="O2139" s="54"/>
      <c r="P2139" s="54"/>
      <c r="Q2139" s="54"/>
      <c r="R2139" s="54"/>
    </row>
    <row r="2140" spans="1:20" x14ac:dyDescent="0.25">
      <c r="A2140" s="52" t="s">
        <v>1270</v>
      </c>
      <c r="C2140" s="52"/>
      <c r="D2140" s="54"/>
      <c r="E2140" s="54"/>
      <c r="F2140" s="50">
        <v>61347</v>
      </c>
      <c r="G2140" s="54"/>
      <c r="H2140" s="54"/>
      <c r="I2140" s="54"/>
      <c r="J2140" s="54"/>
      <c r="K2140" s="54"/>
      <c r="L2140" s="54"/>
      <c r="M2140" s="54"/>
      <c r="N2140" s="54"/>
      <c r="O2140" s="54"/>
      <c r="P2140" s="54"/>
      <c r="Q2140" s="54"/>
      <c r="R2140" s="54"/>
    </row>
    <row r="2141" spans="1:20" x14ac:dyDescent="0.25">
      <c r="C2141" s="50"/>
      <c r="D2141" s="50"/>
      <c r="E2141" s="50"/>
      <c r="F2141" s="50"/>
      <c r="G2141" s="50"/>
      <c r="H2141" s="50"/>
      <c r="I2141" s="50"/>
      <c r="J2141" s="50"/>
      <c r="K2141" s="50"/>
      <c r="L2141" s="50"/>
      <c r="M2141" s="50"/>
      <c r="N2141" s="50"/>
      <c r="O2141" s="50"/>
      <c r="P2141" s="50"/>
      <c r="Q2141" s="50"/>
      <c r="R2141" s="50"/>
    </row>
    <row r="2142" spans="1:20" x14ac:dyDescent="0.25">
      <c r="A2142" s="41" t="s">
        <v>216</v>
      </c>
      <c r="B2142" s="44"/>
      <c r="C2142" s="51">
        <f t="shared" ref="C2142" si="1109">SUM(C2115:C2141)</f>
        <v>8660164</v>
      </c>
      <c r="D2142" s="51">
        <f t="shared" ref="D2142:F2142" si="1110">SUM(D2115:D2141)</f>
        <v>8957727</v>
      </c>
      <c r="E2142" s="51">
        <f t="shared" si="1110"/>
        <v>13240813</v>
      </c>
      <c r="F2142" s="51">
        <f t="shared" si="1110"/>
        <v>9770239</v>
      </c>
      <c r="G2142" s="51">
        <f>SUM(G2115:G2141)</f>
        <v>9319067</v>
      </c>
      <c r="H2142" s="51">
        <f>SUM(H2115:H2141)</f>
        <v>9565100</v>
      </c>
      <c r="I2142" s="51">
        <f t="shared" ref="I2142:R2142" si="1111">SUM(I2115:I2141)</f>
        <v>10245871.199999999</v>
      </c>
      <c r="J2142" s="51">
        <f t="shared" si="1111"/>
        <v>10530641.8938</v>
      </c>
      <c r="K2142" s="51">
        <f t="shared" si="1111"/>
        <v>10770829.548876198</v>
      </c>
      <c r="L2142" s="51">
        <f t="shared" si="1111"/>
        <v>10984204.307328371</v>
      </c>
      <c r="M2142" s="51">
        <f t="shared" si="1111"/>
        <v>11241541.729457038</v>
      </c>
      <c r="N2142" s="51">
        <f t="shared" si="1111"/>
        <v>11587620.219172195</v>
      </c>
      <c r="O2142" s="51">
        <f t="shared" si="1111"/>
        <v>11919733.950457953</v>
      </c>
      <c r="P2142" s="51">
        <f t="shared" si="1111"/>
        <v>12264498.025025854</v>
      </c>
      <c r="Q2142" s="51">
        <f t="shared" si="1111"/>
        <v>12466001.706551649</v>
      </c>
      <c r="R2142" s="51">
        <f t="shared" si="1111"/>
        <v>12759606.829012033</v>
      </c>
    </row>
    <row r="2143" spans="1:20" x14ac:dyDescent="0.25">
      <c r="C2143" s="50"/>
      <c r="D2143" s="50"/>
      <c r="E2143" s="50"/>
      <c r="F2143" s="50"/>
      <c r="G2143" s="50"/>
      <c r="H2143" s="50"/>
      <c r="I2143" s="50"/>
      <c r="J2143" s="50"/>
      <c r="K2143" s="50"/>
      <c r="L2143" s="50"/>
      <c r="M2143" s="50"/>
      <c r="N2143" s="50"/>
      <c r="O2143" s="50"/>
      <c r="P2143" s="50"/>
      <c r="Q2143" s="50"/>
      <c r="R2143" s="50"/>
    </row>
    <row r="2144" spans="1:20" x14ac:dyDescent="0.25">
      <c r="A2144" s="41" t="s">
        <v>165</v>
      </c>
      <c r="B2144" s="44"/>
      <c r="C2144" s="50"/>
      <c r="D2144" s="50"/>
      <c r="E2144" s="50"/>
      <c r="F2144" s="50"/>
      <c r="G2144" s="50"/>
      <c r="H2144" s="50"/>
      <c r="I2144" s="50"/>
      <c r="J2144" s="50"/>
      <c r="K2144" s="50"/>
      <c r="L2144" s="50"/>
      <c r="M2144" s="50"/>
      <c r="N2144" s="50"/>
      <c r="O2144" s="50"/>
      <c r="P2144" s="50"/>
      <c r="Q2144" s="50"/>
      <c r="R2144" s="50"/>
    </row>
    <row r="2145" spans="1:18" x14ac:dyDescent="0.25">
      <c r="C2145" s="50"/>
      <c r="D2145" s="50"/>
      <c r="E2145" s="50"/>
      <c r="F2145" s="50"/>
      <c r="G2145" s="50"/>
      <c r="H2145" s="50"/>
      <c r="I2145" s="50"/>
      <c r="J2145" s="50"/>
      <c r="K2145" s="50"/>
      <c r="L2145" s="50"/>
      <c r="M2145" s="50"/>
      <c r="N2145" s="50"/>
      <c r="O2145" s="50"/>
      <c r="P2145" s="50"/>
      <c r="Q2145" s="50"/>
      <c r="R2145" s="50"/>
    </row>
    <row r="2146" spans="1:18" x14ac:dyDescent="0.25">
      <c r="A2146" s="43" t="s">
        <v>217</v>
      </c>
      <c r="C2146" s="54">
        <v>259343</v>
      </c>
      <c r="D2146" s="52">
        <v>283778</v>
      </c>
      <c r="E2146" s="43">
        <v>298703</v>
      </c>
      <c r="F2146" s="43">
        <v>292934</v>
      </c>
      <c r="G2146" s="43">
        <v>303236</v>
      </c>
      <c r="H2146" s="43">
        <v>339000</v>
      </c>
      <c r="I2146" s="54">
        <f>H2146*1.025</f>
        <v>347474.99999999994</v>
      </c>
      <c r="J2146" s="50">
        <f>I2146*1.029</f>
        <v>357551.77499999991</v>
      </c>
      <c r="K2146" s="54">
        <f>J2146*1.031</f>
        <v>368635.88002499985</v>
      </c>
      <c r="L2146" s="54">
        <f>K2146*1.033</f>
        <v>380800.86406582483</v>
      </c>
      <c r="M2146" s="54">
        <f>L2146*1.032</f>
        <v>392986.49171593122</v>
      </c>
      <c r="N2146" s="54">
        <f>M2146*1.03</f>
        <v>404776.08646740916</v>
      </c>
      <c r="O2146" s="54">
        <f>N2146*1.032</f>
        <v>417728.92123436625</v>
      </c>
      <c r="P2146" s="54">
        <f>O2146*1.034</f>
        <v>431931.70455633471</v>
      </c>
      <c r="Q2146" s="54">
        <f>P2146*1.034</f>
        <v>446617.38251125009</v>
      </c>
      <c r="R2146" s="54">
        <f>Q2146*1.034</f>
        <v>461802.37351663259</v>
      </c>
    </row>
    <row r="2147" spans="1:18" x14ac:dyDescent="0.25">
      <c r="A2147" s="43" t="s">
        <v>219</v>
      </c>
      <c r="C2147" s="54">
        <v>6153</v>
      </c>
      <c r="D2147" s="54">
        <v>2342</v>
      </c>
      <c r="E2147" s="50">
        <v>3429</v>
      </c>
      <c r="F2147" s="54">
        <v>3919</v>
      </c>
      <c r="G2147" s="54">
        <v>3416</v>
      </c>
      <c r="H2147" s="50">
        <v>4200</v>
      </c>
      <c r="I2147" s="54">
        <f>H2147*1.023</f>
        <v>4296.5999999999995</v>
      </c>
      <c r="J2147" s="54">
        <f>I2147*1.024</f>
        <v>4399.7183999999997</v>
      </c>
      <c r="K2147" s="54">
        <f>J2147*1.024</f>
        <v>4505.3116416000003</v>
      </c>
      <c r="L2147" s="54">
        <f>K2147*1.023</f>
        <v>4608.9338093567994</v>
      </c>
      <c r="M2147" s="54">
        <f>L2147*1.022</f>
        <v>4710.3303531626489</v>
      </c>
      <c r="N2147" s="54">
        <f>M2147*1.023</f>
        <v>4818.6679512853898</v>
      </c>
      <c r="O2147" s="54">
        <f>N2147*1.025</f>
        <v>4939.1346500675245</v>
      </c>
      <c r="P2147" s="54">
        <f>O2147*1.025</f>
        <v>5062.613016319212</v>
      </c>
      <c r="Q2147" s="54">
        <f>P2147*1.024</f>
        <v>5184.1157287108736</v>
      </c>
      <c r="R2147" s="54">
        <f>Q2147*1.024</f>
        <v>5308.5345061999342</v>
      </c>
    </row>
    <row r="2148" spans="1:18" x14ac:dyDescent="0.25">
      <c r="A2148" s="43" t="s">
        <v>220</v>
      </c>
      <c r="C2148" s="50">
        <v>30584</v>
      </c>
      <c r="D2148" s="54">
        <v>36730</v>
      </c>
      <c r="E2148" s="43">
        <v>40443</v>
      </c>
      <c r="F2148" s="54">
        <v>42896</v>
      </c>
      <c r="G2148" s="54">
        <v>40017</v>
      </c>
      <c r="H2148" s="54">
        <v>44600</v>
      </c>
      <c r="I2148" s="50">
        <f>H2148*1.025</f>
        <v>45714.999999999993</v>
      </c>
      <c r="J2148" s="50">
        <f>I2148*1.029</f>
        <v>47040.734999999986</v>
      </c>
      <c r="K2148" s="54">
        <f>J2148*1.031</f>
        <v>48498.997784999985</v>
      </c>
      <c r="L2148" s="54">
        <f>K2148*1.033</f>
        <v>50099.464711904984</v>
      </c>
      <c r="M2148" s="54">
        <f>L2148*1.032</f>
        <v>51702.647582685946</v>
      </c>
      <c r="N2148" s="54">
        <f>M2148*1.03</f>
        <v>53253.727010166527</v>
      </c>
      <c r="O2148" s="54">
        <f>N2148*1.032</f>
        <v>54957.846274491858</v>
      </c>
      <c r="P2148" s="54">
        <f>O2148*1.034</f>
        <v>56826.413047824586</v>
      </c>
      <c r="Q2148" s="54">
        <f>P2148*1.034</f>
        <v>58758.511091450622</v>
      </c>
      <c r="R2148" s="54">
        <f>Q2148*1.034</f>
        <v>60756.300468559944</v>
      </c>
    </row>
    <row r="2149" spans="1:18" x14ac:dyDescent="0.25">
      <c r="A2149" s="43" t="s">
        <v>1032</v>
      </c>
      <c r="C2149" s="169">
        <v>5762</v>
      </c>
      <c r="D2149" s="180">
        <v>4313</v>
      </c>
      <c r="E2149" s="60">
        <v>4313</v>
      </c>
      <c r="F2149" s="180">
        <v>4313</v>
      </c>
      <c r="G2149" s="180">
        <v>4248</v>
      </c>
      <c r="H2149" s="98">
        <v>3800</v>
      </c>
      <c r="I2149" s="180">
        <v>3800</v>
      </c>
      <c r="J2149" s="180">
        <v>5000</v>
      </c>
      <c r="K2149" s="180">
        <v>5000</v>
      </c>
      <c r="L2149" s="180">
        <v>5000</v>
      </c>
      <c r="M2149" s="180">
        <v>5400</v>
      </c>
      <c r="N2149" s="180">
        <v>5400</v>
      </c>
      <c r="O2149" s="180">
        <v>5400</v>
      </c>
      <c r="P2149" s="180">
        <v>5800</v>
      </c>
      <c r="Q2149" s="180">
        <v>5800</v>
      </c>
      <c r="R2149" s="180">
        <v>5800</v>
      </c>
    </row>
    <row r="2150" spans="1:18" x14ac:dyDescent="0.25">
      <c r="A2150" s="43" t="s">
        <v>1287</v>
      </c>
      <c r="C2150" s="54">
        <f>36920-3</f>
        <v>36917</v>
      </c>
      <c r="D2150" s="54">
        <v>38371</v>
      </c>
      <c r="E2150" s="43">
        <f>38743-10</f>
        <v>38733</v>
      </c>
      <c r="F2150" s="54">
        <v>42180</v>
      </c>
      <c r="G2150" s="54">
        <v>42052</v>
      </c>
      <c r="H2150" s="54">
        <v>44000</v>
      </c>
      <c r="I2150" s="54">
        <f>H2150*1.023</f>
        <v>45011.999999999993</v>
      </c>
      <c r="J2150" s="54">
        <f>I2150*1.024</f>
        <v>46092.287999999993</v>
      </c>
      <c r="K2150" s="54">
        <f>J2150*1.024</f>
        <v>47198.502911999996</v>
      </c>
      <c r="L2150" s="54">
        <f>K2150*1.023</f>
        <v>48284.068478975991</v>
      </c>
      <c r="M2150" s="54">
        <f>L2150*1.022</f>
        <v>49346.317985513466</v>
      </c>
      <c r="N2150" s="54">
        <f>M2150*1.023</f>
        <v>50481.283299180272</v>
      </c>
      <c r="O2150" s="54">
        <f>N2150*1.025</f>
        <v>51743.315381659777</v>
      </c>
      <c r="P2150" s="54">
        <f>O2150*1.025</f>
        <v>53036.898266201264</v>
      </c>
      <c r="Q2150" s="54">
        <f>P2150*1.024</f>
        <v>54309.783824590093</v>
      </c>
      <c r="R2150" s="54">
        <f>Q2150*1.024</f>
        <v>55613.218636380254</v>
      </c>
    </row>
    <row r="2151" spans="1:18" x14ac:dyDescent="0.25">
      <c r="A2151" s="43" t="s">
        <v>1288</v>
      </c>
      <c r="C2151" s="54">
        <v>22073</v>
      </c>
      <c r="D2151" s="54">
        <v>22611</v>
      </c>
      <c r="E2151" s="43">
        <v>22957</v>
      </c>
      <c r="F2151" s="54">
        <v>23273</v>
      </c>
      <c r="G2151" s="54">
        <v>23725</v>
      </c>
      <c r="H2151" s="54">
        <v>24500</v>
      </c>
      <c r="I2151" s="54">
        <f t="shared" ref="I2151:I2152" si="1112">H2151*1.023</f>
        <v>25063.499999999996</v>
      </c>
      <c r="J2151" s="54">
        <f t="shared" ref="J2151:K2152" si="1113">I2151*1.024</f>
        <v>25665.023999999998</v>
      </c>
      <c r="K2151" s="54">
        <f t="shared" si="1113"/>
        <v>26280.984575999999</v>
      </c>
      <c r="L2151" s="54">
        <f t="shared" ref="L2151:L2152" si="1114">K2151*1.023</f>
        <v>26885.447221247996</v>
      </c>
      <c r="M2151" s="54">
        <f t="shared" ref="M2151:M2152" si="1115">L2151*1.022</f>
        <v>27476.927060115453</v>
      </c>
      <c r="N2151" s="54">
        <f t="shared" ref="N2151:N2152" si="1116">M2151*1.023</f>
        <v>28108.896382498107</v>
      </c>
      <c r="O2151" s="54">
        <f t="shared" ref="O2151:P2152" si="1117">N2151*1.025</f>
        <v>28811.618792060559</v>
      </c>
      <c r="P2151" s="54">
        <f t="shared" si="1117"/>
        <v>29531.909261862071</v>
      </c>
      <c r="Q2151" s="54">
        <f t="shared" ref="Q2151:R2152" si="1118">P2151*1.024</f>
        <v>30240.675084146762</v>
      </c>
      <c r="R2151" s="54">
        <f t="shared" si="1118"/>
        <v>30966.451286166284</v>
      </c>
    </row>
    <row r="2152" spans="1:18" x14ac:dyDescent="0.25">
      <c r="A2152" s="43" t="s">
        <v>1289</v>
      </c>
      <c r="C2152" s="54">
        <v>361</v>
      </c>
      <c r="D2152" s="54">
        <v>2343</v>
      </c>
      <c r="E2152" s="43">
        <v>9668</v>
      </c>
      <c r="F2152" s="54">
        <v>17983</v>
      </c>
      <c r="G2152" s="54">
        <v>1802</v>
      </c>
      <c r="H2152" s="54">
        <v>5000</v>
      </c>
      <c r="I2152" s="54">
        <f t="shared" si="1112"/>
        <v>5115</v>
      </c>
      <c r="J2152" s="54">
        <f t="shared" si="1113"/>
        <v>5237.76</v>
      </c>
      <c r="K2152" s="54">
        <f t="shared" si="1113"/>
        <v>5363.4662400000007</v>
      </c>
      <c r="L2152" s="54">
        <f t="shared" si="1114"/>
        <v>5486.8259635200002</v>
      </c>
      <c r="M2152" s="54">
        <f t="shared" si="1115"/>
        <v>5607.5361347174403</v>
      </c>
      <c r="N2152" s="54">
        <f t="shared" si="1116"/>
        <v>5736.5094658159405</v>
      </c>
      <c r="O2152" s="54">
        <f t="shared" si="1117"/>
        <v>5879.9222024613382</v>
      </c>
      <c r="P2152" s="54">
        <f t="shared" si="1117"/>
        <v>6026.920257522871</v>
      </c>
      <c r="Q2152" s="54">
        <f t="shared" si="1118"/>
        <v>6171.56634370342</v>
      </c>
      <c r="R2152" s="54">
        <f t="shared" si="1118"/>
        <v>6319.6839359523019</v>
      </c>
    </row>
    <row r="2153" spans="1:18" x14ac:dyDescent="0.25">
      <c r="A2153" s="43" t="s">
        <v>1290</v>
      </c>
      <c r="C2153" s="54">
        <v>2452</v>
      </c>
      <c r="D2153" s="54">
        <v>3340</v>
      </c>
      <c r="E2153" s="43">
        <v>5073</v>
      </c>
      <c r="F2153" s="54">
        <v>11669</v>
      </c>
      <c r="G2153" s="54">
        <v>14551</v>
      </c>
      <c r="H2153" s="50">
        <v>0</v>
      </c>
      <c r="I2153" s="50">
        <v>0</v>
      </c>
      <c r="J2153" s="50">
        <v>0</v>
      </c>
      <c r="K2153" s="50">
        <v>3800</v>
      </c>
      <c r="L2153" s="50">
        <v>11900</v>
      </c>
      <c r="M2153" s="50">
        <v>0</v>
      </c>
      <c r="N2153" s="50">
        <v>0</v>
      </c>
      <c r="O2153" s="50">
        <v>0</v>
      </c>
      <c r="P2153" s="50">
        <v>0</v>
      </c>
      <c r="Q2153" s="50">
        <v>0</v>
      </c>
      <c r="R2153" s="50">
        <v>0</v>
      </c>
    </row>
    <row r="2154" spans="1:18" x14ac:dyDescent="0.25">
      <c r="A2154" s="43" t="s">
        <v>1291</v>
      </c>
      <c r="C2154" s="54">
        <v>0</v>
      </c>
      <c r="D2154" s="52">
        <v>0</v>
      </c>
      <c r="E2154" s="43">
        <v>0</v>
      </c>
      <c r="F2154" s="52">
        <v>0</v>
      </c>
      <c r="G2154" s="52">
        <v>0</v>
      </c>
      <c r="H2154" s="52">
        <v>0</v>
      </c>
      <c r="I2154" s="54">
        <v>0</v>
      </c>
      <c r="J2154" s="54">
        <v>0</v>
      </c>
      <c r="K2154" s="54">
        <v>0</v>
      </c>
      <c r="L2154" s="54">
        <v>0</v>
      </c>
      <c r="M2154" s="54">
        <v>0</v>
      </c>
      <c r="N2154" s="54">
        <v>0</v>
      </c>
      <c r="O2154" s="54">
        <v>0</v>
      </c>
      <c r="P2154" s="54">
        <v>0</v>
      </c>
      <c r="Q2154" s="54">
        <f t="shared" ref="Q2154:R2154" si="1119">P2154*1.024</f>
        <v>0</v>
      </c>
      <c r="R2154" s="54">
        <f t="shared" si="1119"/>
        <v>0</v>
      </c>
    </row>
    <row r="2155" spans="1:18" x14ac:dyDescent="0.25">
      <c r="A2155" s="43" t="s">
        <v>1292</v>
      </c>
      <c r="C2155" s="54">
        <v>17974</v>
      </c>
      <c r="D2155" s="52">
        <v>13969</v>
      </c>
      <c r="E2155" s="43">
        <v>9666</v>
      </c>
      <c r="F2155" s="52">
        <v>5033</v>
      </c>
      <c r="G2155" s="52">
        <v>672</v>
      </c>
      <c r="H2155" s="52">
        <v>0</v>
      </c>
      <c r="I2155" s="52">
        <v>0</v>
      </c>
      <c r="J2155" s="52">
        <v>0</v>
      </c>
      <c r="K2155" s="52">
        <v>0</v>
      </c>
      <c r="L2155" s="52">
        <v>0</v>
      </c>
      <c r="M2155" s="52">
        <v>0</v>
      </c>
      <c r="N2155" s="52">
        <v>0</v>
      </c>
      <c r="O2155" s="52">
        <v>0</v>
      </c>
      <c r="P2155" s="52">
        <v>0</v>
      </c>
      <c r="Q2155" s="52">
        <v>0</v>
      </c>
      <c r="R2155" s="52">
        <v>0</v>
      </c>
    </row>
    <row r="2156" spans="1:18" x14ac:dyDescent="0.25">
      <c r="A2156" s="52" t="s">
        <v>226</v>
      </c>
      <c r="B2156" s="53"/>
      <c r="C2156" s="54">
        <v>124</v>
      </c>
      <c r="D2156" s="54">
        <v>146</v>
      </c>
      <c r="E2156" s="43">
        <v>0</v>
      </c>
      <c r="F2156" s="54">
        <v>231</v>
      </c>
      <c r="G2156" s="54">
        <v>0</v>
      </c>
      <c r="H2156" s="54">
        <v>800</v>
      </c>
      <c r="I2156" s="54">
        <f>H2156*1.023</f>
        <v>818.4</v>
      </c>
      <c r="J2156" s="54">
        <f t="shared" ref="J2156:K2156" si="1120">I2156*1.024</f>
        <v>838.04160000000002</v>
      </c>
      <c r="K2156" s="54">
        <f t="shared" si="1120"/>
        <v>858.15459840000005</v>
      </c>
      <c r="L2156" s="54">
        <f t="shared" ref="L2156" si="1121">K2156*1.023</f>
        <v>877.89215416319996</v>
      </c>
      <c r="M2156" s="54">
        <f t="shared" ref="M2156" si="1122">L2156*1.022</f>
        <v>897.20578155479041</v>
      </c>
      <c r="N2156" s="54">
        <f t="shared" ref="N2156" si="1123">M2156*1.023</f>
        <v>917.84151453055051</v>
      </c>
      <c r="O2156" s="54">
        <f t="shared" ref="O2156:P2156" si="1124">N2156*1.025</f>
        <v>940.78755239381417</v>
      </c>
      <c r="P2156" s="54">
        <f t="shared" si="1124"/>
        <v>964.30724120365949</v>
      </c>
      <c r="Q2156" s="54">
        <f t="shared" ref="Q2156:R2156" si="1125">P2156*1.024</f>
        <v>987.45061499254734</v>
      </c>
      <c r="R2156" s="54">
        <f t="shared" si="1125"/>
        <v>1011.1494297523685</v>
      </c>
    </row>
    <row r="2157" spans="1:18" x14ac:dyDescent="0.25">
      <c r="A2157" s="52" t="s">
        <v>1293</v>
      </c>
      <c r="B2157" s="53"/>
      <c r="C2157" s="59">
        <v>0</v>
      </c>
      <c r="D2157" s="54">
        <f>C2157*1.024</f>
        <v>0</v>
      </c>
      <c r="E2157" s="43">
        <v>0</v>
      </c>
      <c r="F2157" s="54">
        <v>0</v>
      </c>
      <c r="G2157" s="54">
        <v>0</v>
      </c>
      <c r="H2157" s="54">
        <v>0</v>
      </c>
      <c r="I2157" s="54">
        <v>0</v>
      </c>
      <c r="J2157" s="54">
        <v>0</v>
      </c>
      <c r="K2157" s="54">
        <v>0</v>
      </c>
      <c r="L2157" s="54">
        <v>0</v>
      </c>
      <c r="M2157" s="54">
        <v>0</v>
      </c>
      <c r="N2157" s="54">
        <v>0</v>
      </c>
      <c r="O2157" s="54">
        <v>0</v>
      </c>
      <c r="P2157" s="54">
        <v>0</v>
      </c>
      <c r="Q2157" s="54">
        <f>P2157*1.028</f>
        <v>0</v>
      </c>
      <c r="R2157" s="54">
        <f>Q2157*1.028</f>
        <v>0</v>
      </c>
    </row>
    <row r="2158" spans="1:18" x14ac:dyDescent="0.25">
      <c r="A2158" s="59" t="s">
        <v>1294</v>
      </c>
      <c r="B2158" s="53"/>
      <c r="C2158" s="59"/>
      <c r="D2158" s="54"/>
      <c r="F2158" s="54">
        <v>4075</v>
      </c>
      <c r="G2158" s="54"/>
      <c r="H2158" s="54"/>
      <c r="I2158" s="54"/>
      <c r="J2158" s="54"/>
      <c r="K2158" s="54"/>
      <c r="L2158" s="54"/>
      <c r="M2158" s="54"/>
      <c r="N2158" s="54"/>
      <c r="O2158" s="54"/>
      <c r="P2158" s="54"/>
      <c r="Q2158" s="54"/>
      <c r="R2158" s="54"/>
    </row>
    <row r="2159" spans="1:18" x14ac:dyDescent="0.25">
      <c r="C2159" s="50"/>
      <c r="D2159" s="50"/>
      <c r="E2159" s="50"/>
      <c r="F2159" s="50"/>
      <c r="G2159" s="50"/>
      <c r="H2159" s="50"/>
      <c r="I2159" s="50"/>
      <c r="J2159" s="50"/>
      <c r="K2159" s="50"/>
      <c r="L2159" s="50"/>
      <c r="M2159" s="50"/>
      <c r="N2159" s="50"/>
      <c r="O2159" s="50"/>
      <c r="P2159" s="50"/>
      <c r="Q2159" s="50"/>
      <c r="R2159" s="50"/>
    </row>
    <row r="2160" spans="1:18" x14ac:dyDescent="0.25">
      <c r="A2160" s="41" t="s">
        <v>230</v>
      </c>
      <c r="B2160" s="44"/>
      <c r="C2160" s="51">
        <f t="shared" ref="C2160" si="1126">SUM(C2146:C2159)</f>
        <v>381743</v>
      </c>
      <c r="D2160" s="51">
        <f t="shared" ref="D2160:R2160" si="1127">SUM(D2146:D2159)</f>
        <v>407943</v>
      </c>
      <c r="E2160" s="51">
        <f t="shared" si="1127"/>
        <v>432985</v>
      </c>
      <c r="F2160" s="51">
        <f t="shared" si="1127"/>
        <v>448506</v>
      </c>
      <c r="G2160" s="51">
        <f t="shared" si="1127"/>
        <v>433719</v>
      </c>
      <c r="H2160" s="51">
        <f t="shared" si="1127"/>
        <v>465900</v>
      </c>
      <c r="I2160" s="51">
        <f t="shared" si="1127"/>
        <v>477295.49999999994</v>
      </c>
      <c r="J2160" s="51">
        <f t="shared" si="1127"/>
        <v>491825.34199999989</v>
      </c>
      <c r="K2160" s="51">
        <f t="shared" si="1127"/>
        <v>510141.29777799983</v>
      </c>
      <c r="L2160" s="51">
        <f t="shared" si="1127"/>
        <v>533943.49640499381</v>
      </c>
      <c r="M2160" s="51">
        <f t="shared" si="1127"/>
        <v>538127.45661368093</v>
      </c>
      <c r="N2160" s="51">
        <f t="shared" si="1127"/>
        <v>553493.01209088601</v>
      </c>
      <c r="O2160" s="51">
        <f t="shared" si="1127"/>
        <v>570401.5460875011</v>
      </c>
      <c r="P2160" s="51">
        <f t="shared" si="1127"/>
        <v>589180.76564726827</v>
      </c>
      <c r="Q2160" s="51">
        <f t="shared" si="1127"/>
        <v>608069.48519884446</v>
      </c>
      <c r="R2160" s="51">
        <f t="shared" si="1127"/>
        <v>627577.71177964367</v>
      </c>
    </row>
    <row r="2161" spans="1:18" x14ac:dyDescent="0.25">
      <c r="A2161" s="41"/>
      <c r="B2161" s="44"/>
      <c r="C2161" s="50"/>
      <c r="D2161" s="50"/>
      <c r="E2161" s="50"/>
      <c r="F2161" s="50"/>
      <c r="G2161" s="50"/>
      <c r="H2161" s="50"/>
      <c r="I2161" s="50"/>
      <c r="J2161" s="50"/>
      <c r="K2161" s="50"/>
      <c r="L2161" s="50"/>
      <c r="M2161" s="50"/>
      <c r="N2161" s="50"/>
      <c r="O2161" s="50"/>
      <c r="P2161" s="50"/>
      <c r="Q2161" s="50"/>
      <c r="R2161" s="50"/>
    </row>
    <row r="2162" spans="1:18" x14ac:dyDescent="0.25">
      <c r="A2162" s="41" t="s">
        <v>1295</v>
      </c>
      <c r="B2162" s="44"/>
      <c r="C2162" s="51">
        <f t="shared" ref="C2162:R2162" si="1128">C2160-C2142</f>
        <v>-8278421</v>
      </c>
      <c r="D2162" s="51">
        <f t="shared" si="1128"/>
        <v>-8549784</v>
      </c>
      <c r="E2162" s="51">
        <f t="shared" si="1128"/>
        <v>-12807828</v>
      </c>
      <c r="F2162" s="51">
        <f t="shared" si="1128"/>
        <v>-9321733</v>
      </c>
      <c r="G2162" s="51">
        <f t="shared" si="1128"/>
        <v>-8885348</v>
      </c>
      <c r="H2162" s="51">
        <f t="shared" si="1128"/>
        <v>-9099200</v>
      </c>
      <c r="I2162" s="51">
        <f t="shared" si="1128"/>
        <v>-9768575.6999999993</v>
      </c>
      <c r="J2162" s="51">
        <f t="shared" si="1128"/>
        <v>-10038816.5518</v>
      </c>
      <c r="K2162" s="51">
        <f t="shared" si="1128"/>
        <v>-10260688.251098199</v>
      </c>
      <c r="L2162" s="51">
        <f t="shared" si="1128"/>
        <v>-10450260.810923377</v>
      </c>
      <c r="M2162" s="51">
        <f t="shared" si="1128"/>
        <v>-10703414.272843357</v>
      </c>
      <c r="N2162" s="51">
        <f t="shared" si="1128"/>
        <v>-11034127.207081309</v>
      </c>
      <c r="O2162" s="51">
        <f t="shared" si="1128"/>
        <v>-11349332.404370451</v>
      </c>
      <c r="P2162" s="51">
        <f t="shared" si="1128"/>
        <v>-11675317.259378586</v>
      </c>
      <c r="Q2162" s="51">
        <f t="shared" si="1128"/>
        <v>-11857932.221352804</v>
      </c>
      <c r="R2162" s="51">
        <f t="shared" si="1128"/>
        <v>-12132029.11723239</v>
      </c>
    </row>
    <row r="2163" spans="1:18" x14ac:dyDescent="0.25">
      <c r="A2163" s="41"/>
      <c r="B2163" s="44"/>
    </row>
    <row r="2164" spans="1:18" x14ac:dyDescent="0.25">
      <c r="A2164" s="41" t="s">
        <v>1296</v>
      </c>
      <c r="B2164" s="44"/>
      <c r="C2164" s="50"/>
      <c r="D2164" s="50"/>
      <c r="E2164" s="50"/>
      <c r="F2164" s="50"/>
      <c r="G2164" s="50"/>
      <c r="H2164" s="50"/>
      <c r="I2164" s="50"/>
      <c r="J2164" s="50"/>
      <c r="K2164" s="50"/>
      <c r="L2164" s="50"/>
      <c r="M2164" s="50"/>
      <c r="N2164" s="50"/>
      <c r="O2164" s="50"/>
      <c r="P2164" s="50"/>
      <c r="Q2164" s="50"/>
      <c r="R2164" s="50"/>
    </row>
    <row r="2165" spans="1:18" x14ac:dyDescent="0.25">
      <c r="C2165" s="50"/>
      <c r="D2165" s="50"/>
      <c r="E2165" s="50"/>
      <c r="F2165" s="50"/>
      <c r="G2165" s="50"/>
      <c r="H2165" s="50"/>
      <c r="I2165" s="50"/>
      <c r="J2165" s="50"/>
      <c r="K2165" s="50"/>
      <c r="L2165" s="50"/>
      <c r="M2165" s="50"/>
      <c r="N2165" s="50"/>
      <c r="O2165" s="50"/>
      <c r="P2165" s="50"/>
      <c r="Q2165" s="50"/>
      <c r="R2165" s="50"/>
    </row>
    <row r="2166" spans="1:18" x14ac:dyDescent="0.25">
      <c r="A2166" s="41" t="s">
        <v>165</v>
      </c>
      <c r="B2166" s="44"/>
      <c r="C2166" s="50"/>
      <c r="D2166" s="50"/>
      <c r="E2166" s="50"/>
      <c r="F2166" s="50"/>
      <c r="G2166" s="50"/>
      <c r="H2166" s="50"/>
      <c r="I2166" s="50"/>
      <c r="J2166" s="50"/>
      <c r="K2166" s="50"/>
      <c r="L2166" s="50"/>
      <c r="M2166" s="50"/>
      <c r="N2166" s="50"/>
      <c r="O2166" s="50"/>
      <c r="P2166" s="50"/>
      <c r="Q2166" s="50"/>
      <c r="R2166" s="50"/>
    </row>
    <row r="2167" spans="1:18" x14ac:dyDescent="0.25">
      <c r="C2167" s="50"/>
      <c r="D2167" s="50"/>
      <c r="E2167" s="50"/>
      <c r="F2167" s="50"/>
      <c r="G2167" s="50"/>
      <c r="H2167" s="50"/>
      <c r="I2167" s="50"/>
      <c r="J2167" s="50"/>
      <c r="K2167" s="50"/>
      <c r="L2167" s="50"/>
      <c r="M2167" s="50"/>
      <c r="N2167" s="50"/>
      <c r="O2167" s="50"/>
      <c r="P2167" s="50"/>
      <c r="Q2167" s="50"/>
      <c r="R2167" s="50"/>
    </row>
    <row r="2168" spans="1:18" x14ac:dyDescent="0.25">
      <c r="A2168" s="43" t="s">
        <v>217</v>
      </c>
      <c r="C2168" s="54">
        <v>230287</v>
      </c>
      <c r="D2168" s="54">
        <v>259373</v>
      </c>
      <c r="E2168" s="43">
        <v>242778</v>
      </c>
      <c r="F2168" s="43">
        <v>247266</v>
      </c>
      <c r="G2168" s="43">
        <v>255852</v>
      </c>
      <c r="H2168" s="43">
        <v>274900</v>
      </c>
      <c r="I2168" s="54">
        <f>H2168*1.025</f>
        <v>281772.5</v>
      </c>
      <c r="J2168" s="50">
        <f>I2168*1.029</f>
        <v>289943.90249999997</v>
      </c>
      <c r="K2168" s="54">
        <f>J2168*1.031</f>
        <v>298932.16347749997</v>
      </c>
      <c r="L2168" s="54">
        <f>K2168*1.033</f>
        <v>308796.92487225746</v>
      </c>
      <c r="M2168" s="54">
        <f>L2168*1.032</f>
        <v>318678.42646816972</v>
      </c>
      <c r="N2168" s="54">
        <f>M2168*1.03</f>
        <v>328238.77926221484</v>
      </c>
      <c r="O2168" s="54">
        <f>N2168*1.032</f>
        <v>338742.42019860575</v>
      </c>
      <c r="P2168" s="54">
        <f>O2168*1.034</f>
        <v>350259.66248535836</v>
      </c>
      <c r="Q2168" s="54">
        <f>P2168*1.034</f>
        <v>362168.49100986053</v>
      </c>
      <c r="R2168" s="54">
        <f>Q2168*1.034</f>
        <v>374482.2197041958</v>
      </c>
    </row>
    <row r="2169" spans="1:18" x14ac:dyDescent="0.25">
      <c r="A2169" s="43" t="s">
        <v>219</v>
      </c>
      <c r="C2169" s="54">
        <v>0</v>
      </c>
      <c r="D2169" s="54">
        <f>C2169*1.024</f>
        <v>0</v>
      </c>
      <c r="E2169" s="43">
        <v>13</v>
      </c>
      <c r="F2169" s="54">
        <v>0</v>
      </c>
      <c r="G2169" s="54">
        <v>0</v>
      </c>
      <c r="H2169" s="54">
        <v>0</v>
      </c>
      <c r="I2169" s="54">
        <f>H2169*1.02</f>
        <v>0</v>
      </c>
      <c r="J2169" s="54">
        <f t="shared" ref="J2169" si="1129">I2169*1.021</f>
        <v>0</v>
      </c>
      <c r="K2169" s="54">
        <f t="shared" ref="K2169" si="1130">J2169*1.023</f>
        <v>0</v>
      </c>
      <c r="L2169" s="54">
        <f t="shared" ref="L2169" si="1131">K2169*1.024</f>
        <v>0</v>
      </c>
      <c r="M2169" s="54">
        <f t="shared" ref="M2169" si="1132">L2169*1.023</f>
        <v>0</v>
      </c>
      <c r="N2169" s="54">
        <f t="shared" ref="N2169" si="1133">M2169*1.021</f>
        <v>0</v>
      </c>
      <c r="O2169" s="54">
        <f t="shared" ref="O2169" si="1134">N2169*1.022</f>
        <v>0</v>
      </c>
      <c r="P2169" s="54">
        <f t="shared" ref="P2169:R2169" si="1135">O2169*1.025</f>
        <v>0</v>
      </c>
      <c r="Q2169" s="54">
        <f t="shared" si="1135"/>
        <v>0</v>
      </c>
      <c r="R2169" s="54">
        <f t="shared" si="1135"/>
        <v>0</v>
      </c>
    </row>
    <row r="2170" spans="1:18" x14ac:dyDescent="0.25">
      <c r="A2170" s="43" t="s">
        <v>220</v>
      </c>
      <c r="C2170" s="50">
        <v>39370</v>
      </c>
      <c r="D2170" s="54">
        <v>42918</v>
      </c>
      <c r="E2170" s="43">
        <v>26846</v>
      </c>
      <c r="F2170" s="54">
        <v>24369</v>
      </c>
      <c r="G2170" s="54">
        <v>27975</v>
      </c>
      <c r="H2170" s="54">
        <v>34100</v>
      </c>
      <c r="I2170" s="54">
        <f>H2170*1.025</f>
        <v>34952.5</v>
      </c>
      <c r="J2170" s="50">
        <f>I2170*1.029</f>
        <v>35966.122499999998</v>
      </c>
      <c r="K2170" s="54">
        <f>J2170*1.031</f>
        <v>37081.072297499995</v>
      </c>
      <c r="L2170" s="54">
        <f>K2170*1.033</f>
        <v>38304.747683317495</v>
      </c>
      <c r="M2170" s="54">
        <f>L2170*1.032</f>
        <v>39530.499609183658</v>
      </c>
      <c r="N2170" s="54">
        <f>M2170*1.03</f>
        <v>40716.414597459167</v>
      </c>
      <c r="O2170" s="54">
        <f>N2170*1.032</f>
        <v>42019.339864577858</v>
      </c>
      <c r="P2170" s="54">
        <f>O2170*1.034</f>
        <v>43447.997419973508</v>
      </c>
      <c r="Q2170" s="54">
        <f>P2170*1.034</f>
        <v>44925.229332252609</v>
      </c>
      <c r="R2170" s="54">
        <f>Q2170*1.034</f>
        <v>46452.687129549202</v>
      </c>
    </row>
    <row r="2171" spans="1:18" x14ac:dyDescent="0.25">
      <c r="A2171" s="52" t="s">
        <v>1297</v>
      </c>
      <c r="B2171" s="53"/>
      <c r="C2171" s="52">
        <v>0</v>
      </c>
      <c r="D2171" s="54">
        <v>0</v>
      </c>
      <c r="E2171" s="43">
        <v>0</v>
      </c>
      <c r="F2171" s="54"/>
      <c r="G2171" s="54">
        <v>0</v>
      </c>
      <c r="H2171" s="54">
        <v>1000</v>
      </c>
      <c r="I2171" s="54">
        <f>H2171*1.023</f>
        <v>1022.9999999999999</v>
      </c>
      <c r="J2171" s="54">
        <f t="shared" ref="J2171:K2171" si="1136">I2171*1.024</f>
        <v>1047.5519999999999</v>
      </c>
      <c r="K2171" s="54">
        <f t="shared" si="1136"/>
        <v>1072.693248</v>
      </c>
      <c r="L2171" s="54">
        <f t="shared" ref="L2171" si="1137">K2171*1.023</f>
        <v>1097.365192704</v>
      </c>
      <c r="M2171" s="54">
        <f t="shared" ref="M2171" si="1138">L2171*1.022</f>
        <v>1121.5072269434881</v>
      </c>
      <c r="N2171" s="54">
        <f t="shared" ref="N2171" si="1139">M2171*1.023</f>
        <v>1147.3018931631882</v>
      </c>
      <c r="O2171" s="54">
        <f t="shared" ref="O2171:P2171" si="1140">N2171*1.025</f>
        <v>1175.9844404922678</v>
      </c>
      <c r="P2171" s="54">
        <f t="shared" si="1140"/>
        <v>1205.3840515045745</v>
      </c>
      <c r="Q2171" s="54">
        <f t="shared" ref="Q2171:R2171" si="1141">P2171*1.024</f>
        <v>1234.3132687406842</v>
      </c>
      <c r="R2171" s="54">
        <f t="shared" si="1141"/>
        <v>1263.9367871904606</v>
      </c>
    </row>
    <row r="2172" spans="1:18" x14ac:dyDescent="0.25">
      <c r="C2172" s="50"/>
      <c r="D2172" s="50"/>
      <c r="F2172" s="50"/>
      <c r="G2172" s="50"/>
      <c r="H2172" s="50"/>
      <c r="I2172" s="50"/>
      <c r="J2172" s="50"/>
      <c r="K2172" s="50"/>
      <c r="L2172" s="50"/>
      <c r="M2172" s="50"/>
      <c r="N2172" s="50"/>
      <c r="O2172" s="50"/>
      <c r="P2172" s="50"/>
      <c r="Q2172" s="50"/>
      <c r="R2172" s="50"/>
    </row>
    <row r="2173" spans="1:18" x14ac:dyDescent="0.25">
      <c r="A2173" s="41" t="s">
        <v>230</v>
      </c>
      <c r="B2173" s="44"/>
      <c r="C2173" s="51">
        <f t="shared" ref="C2173" si="1142">SUM(C2168:C2172)</f>
        <v>269657</v>
      </c>
      <c r="D2173" s="51">
        <f t="shared" ref="D2173:R2173" si="1143">SUM(D2168:D2172)</f>
        <v>302291</v>
      </c>
      <c r="E2173" s="51">
        <f t="shared" si="1143"/>
        <v>269637</v>
      </c>
      <c r="F2173" s="51">
        <f t="shared" si="1143"/>
        <v>271635</v>
      </c>
      <c r="G2173" s="51">
        <f t="shared" si="1143"/>
        <v>283827</v>
      </c>
      <c r="H2173" s="51">
        <f t="shared" si="1143"/>
        <v>310000</v>
      </c>
      <c r="I2173" s="51">
        <f t="shared" si="1143"/>
        <v>317748</v>
      </c>
      <c r="J2173" s="51">
        <f t="shared" si="1143"/>
        <v>326957.57699999999</v>
      </c>
      <c r="K2173" s="51">
        <f t="shared" si="1143"/>
        <v>337085.92902299995</v>
      </c>
      <c r="L2173" s="51">
        <f t="shared" si="1143"/>
        <v>348199.03774827899</v>
      </c>
      <c r="M2173" s="51">
        <f t="shared" si="1143"/>
        <v>359330.43330429686</v>
      </c>
      <c r="N2173" s="51">
        <f t="shared" si="1143"/>
        <v>370102.49575283722</v>
      </c>
      <c r="O2173" s="51">
        <f t="shared" si="1143"/>
        <v>381937.7445036759</v>
      </c>
      <c r="P2173" s="51">
        <f t="shared" si="1143"/>
        <v>394913.04395683645</v>
      </c>
      <c r="Q2173" s="51">
        <f t="shared" si="1143"/>
        <v>408328.03361085383</v>
      </c>
      <c r="R2173" s="51">
        <f t="shared" si="1143"/>
        <v>422198.84362093545</v>
      </c>
    </row>
    <row r="2174" spans="1:18" x14ac:dyDescent="0.25">
      <c r="C2174" s="50"/>
      <c r="D2174" s="50"/>
      <c r="E2174" s="50"/>
      <c r="F2174" s="50"/>
      <c r="G2174" s="50"/>
      <c r="H2174" s="50"/>
      <c r="I2174" s="50"/>
      <c r="J2174" s="50"/>
      <c r="K2174" s="50"/>
      <c r="L2174" s="50"/>
      <c r="M2174" s="50"/>
      <c r="N2174" s="50"/>
      <c r="O2174" s="50"/>
      <c r="P2174" s="50"/>
      <c r="Q2174" s="50"/>
      <c r="R2174" s="50"/>
    </row>
    <row r="2175" spans="1:18" x14ac:dyDescent="0.25">
      <c r="A2175" s="41" t="s">
        <v>1298</v>
      </c>
      <c r="B2175" s="44"/>
      <c r="C2175" s="51">
        <f t="shared" ref="C2175:R2175" si="1144">C2173</f>
        <v>269657</v>
      </c>
      <c r="D2175" s="51">
        <f t="shared" si="1144"/>
        <v>302291</v>
      </c>
      <c r="E2175" s="51">
        <f t="shared" si="1144"/>
        <v>269637</v>
      </c>
      <c r="F2175" s="51">
        <f t="shared" si="1144"/>
        <v>271635</v>
      </c>
      <c r="G2175" s="51">
        <f t="shared" si="1144"/>
        <v>283827</v>
      </c>
      <c r="H2175" s="51">
        <f t="shared" si="1144"/>
        <v>310000</v>
      </c>
      <c r="I2175" s="51">
        <f t="shared" si="1144"/>
        <v>317748</v>
      </c>
      <c r="J2175" s="51">
        <f t="shared" si="1144"/>
        <v>326957.57699999999</v>
      </c>
      <c r="K2175" s="51">
        <f t="shared" si="1144"/>
        <v>337085.92902299995</v>
      </c>
      <c r="L2175" s="51">
        <f t="shared" si="1144"/>
        <v>348199.03774827899</v>
      </c>
      <c r="M2175" s="51">
        <f t="shared" si="1144"/>
        <v>359330.43330429686</v>
      </c>
      <c r="N2175" s="51">
        <f t="shared" si="1144"/>
        <v>370102.49575283722</v>
      </c>
      <c r="O2175" s="51">
        <f t="shared" si="1144"/>
        <v>381937.7445036759</v>
      </c>
      <c r="P2175" s="51">
        <f t="shared" si="1144"/>
        <v>394913.04395683645</v>
      </c>
      <c r="Q2175" s="51">
        <f t="shared" si="1144"/>
        <v>408328.03361085383</v>
      </c>
      <c r="R2175" s="51">
        <f t="shared" si="1144"/>
        <v>422198.84362093545</v>
      </c>
    </row>
    <row r="2176" spans="1:18" x14ac:dyDescent="0.25">
      <c r="A2176" s="41"/>
      <c r="B2176" s="44"/>
    </row>
    <row r="2177" spans="1:18" x14ac:dyDescent="0.25">
      <c r="A2177" s="41" t="s">
        <v>638</v>
      </c>
      <c r="B2177" s="44"/>
      <c r="C2177" s="50"/>
      <c r="D2177" s="50"/>
      <c r="E2177" s="50"/>
      <c r="F2177" s="50"/>
      <c r="G2177" s="50"/>
      <c r="H2177" s="50"/>
      <c r="I2177" s="50"/>
      <c r="J2177" s="50"/>
      <c r="K2177" s="50"/>
      <c r="L2177" s="50"/>
      <c r="M2177" s="50"/>
      <c r="N2177" s="50"/>
      <c r="O2177" s="50"/>
      <c r="P2177" s="50"/>
      <c r="Q2177" s="50"/>
      <c r="R2177" s="50"/>
    </row>
    <row r="2178" spans="1:18" x14ac:dyDescent="0.25">
      <c r="A2178" s="41"/>
      <c r="B2178" s="44"/>
      <c r="C2178" s="50"/>
      <c r="D2178" s="50"/>
      <c r="E2178" s="50"/>
      <c r="F2178" s="50"/>
      <c r="G2178" s="50"/>
      <c r="H2178" s="50"/>
      <c r="I2178" s="50"/>
      <c r="J2178" s="50"/>
      <c r="K2178" s="50"/>
      <c r="L2178" s="50"/>
      <c r="M2178" s="50"/>
      <c r="N2178" s="50"/>
      <c r="O2178" s="50"/>
      <c r="P2178" s="50"/>
      <c r="Q2178" s="50"/>
      <c r="R2178" s="50"/>
    </row>
    <row r="2179" spans="1:18" x14ac:dyDescent="0.25">
      <c r="A2179" s="41" t="s">
        <v>165</v>
      </c>
      <c r="B2179" s="44"/>
      <c r="C2179" s="50"/>
      <c r="D2179" s="50"/>
      <c r="E2179" s="50"/>
      <c r="F2179" s="50"/>
      <c r="G2179" s="50"/>
      <c r="H2179" s="50"/>
      <c r="I2179" s="50"/>
      <c r="J2179" s="50"/>
      <c r="K2179" s="50"/>
      <c r="L2179" s="50"/>
      <c r="M2179" s="50"/>
      <c r="N2179" s="50"/>
      <c r="O2179" s="50"/>
      <c r="P2179" s="50"/>
      <c r="Q2179" s="50"/>
      <c r="R2179" s="50"/>
    </row>
    <row r="2180" spans="1:18" x14ac:dyDescent="0.25">
      <c r="C2180" s="50"/>
      <c r="D2180" s="50"/>
      <c r="E2180" s="50"/>
      <c r="F2180" s="50"/>
      <c r="G2180" s="50"/>
      <c r="H2180" s="50"/>
      <c r="I2180" s="50"/>
      <c r="J2180" s="50"/>
      <c r="K2180" s="50"/>
      <c r="L2180" s="50"/>
      <c r="M2180" s="50"/>
      <c r="N2180" s="50"/>
      <c r="O2180" s="50"/>
      <c r="P2180" s="50"/>
      <c r="Q2180" s="50"/>
      <c r="R2180" s="50"/>
    </row>
    <row r="2181" spans="1:18" x14ac:dyDescent="0.25">
      <c r="A2181" s="52" t="s">
        <v>1299</v>
      </c>
      <c r="B2181" s="53"/>
      <c r="C2181" s="50">
        <v>11711</v>
      </c>
      <c r="D2181" s="54">
        <v>9611</v>
      </c>
      <c r="E2181" s="50">
        <v>3369</v>
      </c>
      <c r="F2181" s="54">
        <v>4222</v>
      </c>
      <c r="G2181" s="54">
        <v>1959</v>
      </c>
      <c r="H2181" s="54">
        <v>6000</v>
      </c>
      <c r="I2181" s="54">
        <f>H2181*1.023</f>
        <v>6137.9999999999991</v>
      </c>
      <c r="J2181" s="54">
        <f t="shared" ref="J2181:K2181" si="1145">I2181*1.024</f>
        <v>6285.311999999999</v>
      </c>
      <c r="K2181" s="54">
        <f t="shared" si="1145"/>
        <v>6436.1594879999993</v>
      </c>
      <c r="L2181" s="54">
        <f t="shared" ref="L2181" si="1146">K2181*1.023</f>
        <v>6584.1911562239984</v>
      </c>
      <c r="M2181" s="54">
        <f t="shared" ref="M2181" si="1147">L2181*1.022</f>
        <v>6729.0433616609262</v>
      </c>
      <c r="N2181" s="54">
        <f t="shared" ref="N2181" si="1148">M2181*1.023</f>
        <v>6883.8113589791265</v>
      </c>
      <c r="O2181" s="54">
        <f t="shared" ref="O2181:P2181" si="1149">N2181*1.025</f>
        <v>7055.9066429536042</v>
      </c>
      <c r="P2181" s="54">
        <f t="shared" si="1149"/>
        <v>7232.3043090274441</v>
      </c>
      <c r="Q2181" s="54">
        <f t="shared" ref="Q2181:R2181" si="1150">P2181*1.024</f>
        <v>7405.8796124441033</v>
      </c>
      <c r="R2181" s="54">
        <f t="shared" si="1150"/>
        <v>7583.6207231427616</v>
      </c>
    </row>
    <row r="2182" spans="1:18" x14ac:dyDescent="0.25">
      <c r="A2182" s="52" t="s">
        <v>1128</v>
      </c>
      <c r="B2182" s="53"/>
      <c r="C2182" s="50"/>
      <c r="D2182" s="50"/>
      <c r="E2182" s="50"/>
      <c r="F2182" s="50"/>
      <c r="G2182" s="50">
        <v>0</v>
      </c>
      <c r="H2182" s="50"/>
      <c r="I2182" s="50"/>
      <c r="J2182" s="50"/>
      <c r="K2182" s="50"/>
      <c r="L2182" s="50"/>
      <c r="M2182" s="50"/>
      <c r="N2182" s="50"/>
      <c r="O2182" s="50"/>
      <c r="P2182" s="50"/>
      <c r="Q2182" s="50"/>
      <c r="R2182" s="50"/>
    </row>
    <row r="2183" spans="1:18" x14ac:dyDescent="0.25">
      <c r="A2183" s="43" t="s">
        <v>1300</v>
      </c>
      <c r="C2183" s="221">
        <v>118961</v>
      </c>
      <c r="D2183" s="221">
        <v>107353</v>
      </c>
      <c r="E2183" s="221">
        <v>87976</v>
      </c>
      <c r="F2183" s="268">
        <v>56695</v>
      </c>
      <c r="G2183" s="221">
        <v>53177</v>
      </c>
      <c r="H2183" s="221">
        <v>54040</v>
      </c>
      <c r="I2183" s="221">
        <v>55280</v>
      </c>
      <c r="J2183" s="221">
        <v>54225</v>
      </c>
      <c r="K2183" s="221">
        <v>55365</v>
      </c>
      <c r="L2183" s="221">
        <v>59300</v>
      </c>
      <c r="M2183" s="221">
        <v>60610</v>
      </c>
      <c r="N2183" s="221">
        <v>62000</v>
      </c>
      <c r="O2183" s="221">
        <v>63550</v>
      </c>
      <c r="P2183" s="221">
        <v>65140</v>
      </c>
      <c r="Q2183" s="221">
        <v>66700</v>
      </c>
      <c r="R2183" s="221">
        <v>66700</v>
      </c>
    </row>
    <row r="2184" spans="1:18" x14ac:dyDescent="0.25">
      <c r="A2184" s="43" t="s">
        <v>304</v>
      </c>
      <c r="C2184" s="71">
        <v>69100</v>
      </c>
      <c r="D2184" s="71">
        <v>69315</v>
      </c>
      <c r="E2184" s="71">
        <v>71203</v>
      </c>
      <c r="F2184" s="74">
        <v>71203</v>
      </c>
      <c r="G2184" s="71">
        <v>76069</v>
      </c>
      <c r="H2184" s="77">
        <v>75750</v>
      </c>
      <c r="I2184" s="77">
        <v>77490</v>
      </c>
      <c r="J2184" s="77">
        <v>79350</v>
      </c>
      <c r="K2184" s="77">
        <v>81250</v>
      </c>
      <c r="L2184" s="77">
        <v>83120</v>
      </c>
      <c r="M2184" s="77">
        <v>84950</v>
      </c>
      <c r="N2184" s="77">
        <v>86900</v>
      </c>
      <c r="O2184" s="77">
        <v>89080</v>
      </c>
      <c r="P2184" s="77">
        <v>91300</v>
      </c>
      <c r="Q2184" s="77">
        <v>93490</v>
      </c>
      <c r="R2184" s="77">
        <v>93490</v>
      </c>
    </row>
    <row r="2185" spans="1:18" x14ac:dyDescent="0.25">
      <c r="A2185" s="52" t="s">
        <v>1301</v>
      </c>
      <c r="B2185" s="53"/>
      <c r="C2185" s="50"/>
      <c r="D2185" s="50"/>
      <c r="E2185" s="50"/>
      <c r="F2185" s="50"/>
      <c r="G2185" s="50">
        <v>0</v>
      </c>
      <c r="H2185" s="50"/>
      <c r="I2185" s="50"/>
      <c r="J2185" s="50"/>
      <c r="K2185" s="50"/>
      <c r="L2185" s="50"/>
      <c r="M2185" s="50"/>
      <c r="N2185" s="50"/>
      <c r="O2185" s="50"/>
      <c r="P2185" s="50"/>
      <c r="Q2185" s="50"/>
      <c r="R2185" s="50"/>
    </row>
    <row r="2186" spans="1:18" x14ac:dyDescent="0.25">
      <c r="A2186" s="43" t="s">
        <v>1302</v>
      </c>
      <c r="C2186" s="50">
        <v>17750</v>
      </c>
      <c r="D2186" s="54">
        <v>18228</v>
      </c>
      <c r="E2186" s="54">
        <v>16759</v>
      </c>
      <c r="F2186" s="54">
        <v>15550</v>
      </c>
      <c r="G2186" s="54">
        <v>15550</v>
      </c>
      <c r="H2186" s="54">
        <v>16000</v>
      </c>
      <c r="I2186" s="54">
        <f>H2186*1.023</f>
        <v>16367.999999999998</v>
      </c>
      <c r="J2186" s="54">
        <f t="shared" ref="J2186:K2186" si="1151">I2186*1.024</f>
        <v>16760.831999999999</v>
      </c>
      <c r="K2186" s="54">
        <f t="shared" si="1151"/>
        <v>17163.091968000001</v>
      </c>
      <c r="L2186" s="54">
        <f t="shared" ref="L2186" si="1152">K2186*1.023</f>
        <v>17557.843083264001</v>
      </c>
      <c r="M2186" s="54">
        <f t="shared" ref="M2186" si="1153">L2186*1.022</f>
        <v>17944.11563109581</v>
      </c>
      <c r="N2186" s="54">
        <f t="shared" ref="N2186" si="1154">M2186*1.023</f>
        <v>18356.830290611011</v>
      </c>
      <c r="O2186" s="54">
        <f t="shared" ref="O2186:P2186" si="1155">N2186*1.025</f>
        <v>18815.751047876285</v>
      </c>
      <c r="P2186" s="54">
        <f t="shared" si="1155"/>
        <v>19286.144824073192</v>
      </c>
      <c r="Q2186" s="54">
        <f t="shared" ref="Q2186:R2186" si="1156">P2186*1.024</f>
        <v>19749.012299850947</v>
      </c>
      <c r="R2186" s="54">
        <f t="shared" si="1156"/>
        <v>20222.988595047369</v>
      </c>
    </row>
    <row r="2187" spans="1:18" x14ac:dyDescent="0.25">
      <c r="C2187" s="50"/>
      <c r="D2187" s="50"/>
      <c r="E2187" s="50"/>
      <c r="F2187" s="50"/>
      <c r="G2187" s="50"/>
      <c r="H2187" s="50"/>
      <c r="I2187" s="50"/>
      <c r="J2187" s="50"/>
      <c r="K2187" s="50"/>
      <c r="L2187" s="50"/>
      <c r="M2187" s="50"/>
      <c r="N2187" s="50"/>
      <c r="O2187" s="50"/>
      <c r="P2187" s="50"/>
      <c r="Q2187" s="50"/>
      <c r="R2187" s="50"/>
    </row>
    <row r="2188" spans="1:18" x14ac:dyDescent="0.25">
      <c r="A2188" s="41" t="s">
        <v>230</v>
      </c>
      <c r="B2188" s="44"/>
      <c r="C2188" s="51">
        <f t="shared" ref="C2188" si="1157">SUM(C2181:C2187)</f>
        <v>217522</v>
      </c>
      <c r="D2188" s="51">
        <f t="shared" ref="D2188:F2188" si="1158">SUM(D2181:D2187)</f>
        <v>204507</v>
      </c>
      <c r="E2188" s="51">
        <f t="shared" si="1158"/>
        <v>179307</v>
      </c>
      <c r="F2188" s="51">
        <f t="shared" si="1158"/>
        <v>147670</v>
      </c>
      <c r="G2188" s="51">
        <f>SUM(G2181:G2187)</f>
        <v>146755</v>
      </c>
      <c r="H2188" s="51">
        <f>SUM(H2181:H2187)</f>
        <v>151790</v>
      </c>
      <c r="I2188" s="51">
        <f t="shared" ref="I2188:R2188" si="1159">SUM(I2181:I2187)</f>
        <v>155276</v>
      </c>
      <c r="J2188" s="51">
        <f t="shared" si="1159"/>
        <v>156621.144</v>
      </c>
      <c r="K2188" s="51">
        <f t="shared" si="1159"/>
        <v>160214.251456</v>
      </c>
      <c r="L2188" s="51">
        <f t="shared" si="1159"/>
        <v>166562.03423948801</v>
      </c>
      <c r="M2188" s="51">
        <f t="shared" si="1159"/>
        <v>170233.15899275671</v>
      </c>
      <c r="N2188" s="51">
        <f t="shared" si="1159"/>
        <v>174140.64164959016</v>
      </c>
      <c r="O2188" s="51">
        <f t="shared" si="1159"/>
        <v>178501.65769082989</v>
      </c>
      <c r="P2188" s="51">
        <f t="shared" si="1159"/>
        <v>182958.44913310063</v>
      </c>
      <c r="Q2188" s="51">
        <f t="shared" si="1159"/>
        <v>187344.89191229502</v>
      </c>
      <c r="R2188" s="51">
        <f t="shared" si="1159"/>
        <v>187996.60931819014</v>
      </c>
    </row>
    <row r="2189" spans="1:18" x14ac:dyDescent="0.25">
      <c r="C2189" s="50"/>
      <c r="D2189" s="50"/>
      <c r="E2189" s="50"/>
      <c r="F2189" s="50"/>
      <c r="G2189" s="50"/>
      <c r="H2189" s="50"/>
      <c r="I2189" s="50"/>
      <c r="J2189" s="50"/>
      <c r="K2189" s="50"/>
      <c r="L2189" s="50"/>
      <c r="M2189" s="50"/>
      <c r="N2189" s="50"/>
      <c r="O2189" s="50"/>
      <c r="P2189" s="50"/>
      <c r="Q2189" s="50"/>
      <c r="R2189" s="50"/>
    </row>
    <row r="2190" spans="1:18" x14ac:dyDescent="0.25">
      <c r="A2190" s="41"/>
      <c r="B2190" s="44"/>
      <c r="C2190" s="50"/>
      <c r="D2190" s="50"/>
      <c r="E2190" s="50"/>
      <c r="F2190" s="50"/>
      <c r="G2190" s="50"/>
      <c r="H2190" s="50"/>
      <c r="I2190" s="50"/>
      <c r="J2190" s="50"/>
      <c r="K2190" s="50"/>
      <c r="L2190" s="50"/>
      <c r="M2190" s="50"/>
      <c r="N2190" s="50"/>
      <c r="O2190" s="50"/>
      <c r="P2190" s="50"/>
      <c r="Q2190" s="50"/>
      <c r="R2190" s="50"/>
    </row>
    <row r="2191" spans="1:18" x14ac:dyDescent="0.25">
      <c r="A2191" s="41" t="s">
        <v>694</v>
      </c>
      <c r="B2191" s="44"/>
      <c r="C2191" s="51">
        <f t="shared" ref="C2191:R2191" si="1160">+C2188</f>
        <v>217522</v>
      </c>
      <c r="D2191" s="51">
        <f t="shared" si="1160"/>
        <v>204507</v>
      </c>
      <c r="E2191" s="51">
        <f t="shared" si="1160"/>
        <v>179307</v>
      </c>
      <c r="F2191" s="51">
        <f t="shared" si="1160"/>
        <v>147670</v>
      </c>
      <c r="G2191" s="51">
        <f t="shared" si="1160"/>
        <v>146755</v>
      </c>
      <c r="H2191" s="51">
        <f t="shared" si="1160"/>
        <v>151790</v>
      </c>
      <c r="I2191" s="51">
        <f t="shared" si="1160"/>
        <v>155276</v>
      </c>
      <c r="J2191" s="51">
        <f t="shared" si="1160"/>
        <v>156621.144</v>
      </c>
      <c r="K2191" s="51">
        <f t="shared" si="1160"/>
        <v>160214.251456</v>
      </c>
      <c r="L2191" s="51">
        <f t="shared" si="1160"/>
        <v>166562.03423948801</v>
      </c>
      <c r="M2191" s="51">
        <f t="shared" si="1160"/>
        <v>170233.15899275671</v>
      </c>
      <c r="N2191" s="51">
        <f t="shared" si="1160"/>
        <v>174140.64164959016</v>
      </c>
      <c r="O2191" s="51">
        <f t="shared" si="1160"/>
        <v>178501.65769082989</v>
      </c>
      <c r="P2191" s="51">
        <f t="shared" si="1160"/>
        <v>182958.44913310063</v>
      </c>
      <c r="Q2191" s="51">
        <f t="shared" si="1160"/>
        <v>187344.89191229502</v>
      </c>
      <c r="R2191" s="51">
        <f t="shared" si="1160"/>
        <v>187996.60931819014</v>
      </c>
    </row>
    <row r="2192" spans="1:18" x14ac:dyDescent="0.25">
      <c r="A2192" s="41"/>
      <c r="B2192" s="44"/>
    </row>
    <row r="2193" spans="1:18" x14ac:dyDescent="0.25">
      <c r="A2193" s="41"/>
      <c r="B2193" s="44"/>
    </row>
    <row r="2195" spans="1:18" x14ac:dyDescent="0.25">
      <c r="A2195" s="41" t="s">
        <v>1303</v>
      </c>
      <c r="B2195" s="44"/>
      <c r="C2195" s="51">
        <f>C1695+C1740+C1776+C2108+C2162+C2175+C2191</f>
        <v>-7117222.4199999999</v>
      </c>
      <c r="D2195" s="51">
        <f>D1695+D1740+D1776+D2108+D2162+D2175+D2191</f>
        <v>-8229182</v>
      </c>
      <c r="E2195" s="51">
        <f>E1695+E1740+E1776+E2108+E2162+E2175+E2191</f>
        <v>-12040606.469999999</v>
      </c>
      <c r="F2195" s="51">
        <f>F1695+F1740+F1776+F2108+F2162+F2175+F2191</f>
        <v>-8537710</v>
      </c>
      <c r="G2195" s="51">
        <f t="shared" ref="G2195:R2195" si="1161">G1695+G1740+G1776+G2108+G2162+G2175+G2191</f>
        <v>-5282403.09</v>
      </c>
      <c r="H2195" s="51">
        <f t="shared" si="1161"/>
        <v>-6825787</v>
      </c>
      <c r="I2195" s="51">
        <f t="shared" si="1161"/>
        <v>-7693271.3599999994</v>
      </c>
      <c r="J2195" s="51">
        <f t="shared" si="1161"/>
        <v>-8054817.38124</v>
      </c>
      <c r="K2195" s="51">
        <f t="shared" si="1161"/>
        <v>-8085939.6366822608</v>
      </c>
      <c r="L2195" s="51">
        <f t="shared" si="1161"/>
        <v>-8112579.6416538954</v>
      </c>
      <c r="M2195" s="51">
        <f t="shared" si="1161"/>
        <v>-8401490.6100972872</v>
      </c>
      <c r="N2195" s="51">
        <f t="shared" si="1161"/>
        <v>-8591693.8535278868</v>
      </c>
      <c r="O2195" s="51">
        <f t="shared" si="1161"/>
        <v>-8694359.2422200628</v>
      </c>
      <c r="P2195" s="51">
        <f t="shared" si="1161"/>
        <v>-9077178.6516029555</v>
      </c>
      <c r="Q2195" s="51">
        <f t="shared" si="1161"/>
        <v>-9074428.1313952301</v>
      </c>
      <c r="R2195" s="51">
        <f t="shared" si="1161"/>
        <v>-9211009.6287416909</v>
      </c>
    </row>
    <row r="2200" spans="1:18" x14ac:dyDescent="0.25">
      <c r="A2200" s="50" t="s">
        <v>1304</v>
      </c>
      <c r="B2200" s="269" t="s">
        <v>1305</v>
      </c>
    </row>
    <row r="2201" spans="1:18" x14ac:dyDescent="0.25">
      <c r="A2201" s="50" t="s">
        <v>1306</v>
      </c>
      <c r="B2201" s="258" t="s">
        <v>832</v>
      </c>
      <c r="C2201" s="50"/>
      <c r="D2201" s="50"/>
      <c r="E2201" s="50"/>
      <c r="F2201" s="50"/>
      <c r="G2201" s="50"/>
      <c r="H2201" s="50"/>
      <c r="I2201" s="50"/>
      <c r="J2201" s="50"/>
      <c r="N2201" s="50"/>
      <c r="O2201" s="50"/>
    </row>
    <row r="2202" spans="1:18" x14ac:dyDescent="0.25">
      <c r="A2202" s="50" t="s">
        <v>1307</v>
      </c>
      <c r="B2202" s="127" t="s">
        <v>468</v>
      </c>
      <c r="C2202" s="50"/>
      <c r="D2202" s="50"/>
      <c r="E2202" s="50"/>
      <c r="F2202" s="50"/>
      <c r="G2202" s="50"/>
      <c r="H2202" s="50"/>
      <c r="I2202" s="50"/>
      <c r="J2202" s="50"/>
      <c r="N2202" s="50"/>
      <c r="O2202" s="50"/>
      <c r="P2202" s="50"/>
      <c r="Q2202" s="50"/>
      <c r="R2202" s="50"/>
    </row>
    <row r="2203" spans="1:18" x14ac:dyDescent="0.25">
      <c r="A2203" s="50" t="s">
        <v>1308</v>
      </c>
      <c r="B2203" s="84" t="s">
        <v>317</v>
      </c>
      <c r="C2203" s="50"/>
      <c r="D2203" s="50"/>
      <c r="E2203" s="50"/>
      <c r="F2203" s="50"/>
      <c r="G2203" s="50"/>
      <c r="H2203" s="50"/>
      <c r="I2203" s="50"/>
      <c r="J2203" s="50"/>
      <c r="N2203" s="50"/>
      <c r="O2203" s="50"/>
      <c r="P2203" s="50"/>
      <c r="Q2203" s="50"/>
      <c r="R2203" s="50"/>
    </row>
    <row r="2204" spans="1:18" x14ac:dyDescent="0.25">
      <c r="A2204" s="50" t="s">
        <v>1309</v>
      </c>
      <c r="B2204" s="270" t="s">
        <v>314</v>
      </c>
      <c r="C2204" s="50"/>
      <c r="D2204" s="50"/>
      <c r="E2204" s="50"/>
      <c r="F2204" s="50"/>
      <c r="G2204" s="50"/>
      <c r="H2204" s="50"/>
    </row>
    <row r="2205" spans="1:18" x14ac:dyDescent="0.25">
      <c r="A2205" s="50" t="s">
        <v>1310</v>
      </c>
      <c r="B2205" s="42" t="s">
        <v>626</v>
      </c>
    </row>
    <row r="2206" spans="1:18" x14ac:dyDescent="0.25">
      <c r="A2206" s="50" t="s">
        <v>1311</v>
      </c>
      <c r="B2206" s="164" t="s">
        <v>245</v>
      </c>
    </row>
    <row r="2207" spans="1:18" x14ac:dyDescent="0.25">
      <c r="A2207" s="50" t="s">
        <v>1312</v>
      </c>
      <c r="B2207" s="204" t="s">
        <v>950</v>
      </c>
      <c r="D2207" s="50"/>
      <c r="E2207" s="50"/>
      <c r="F2207" s="50"/>
      <c r="G2207" s="50"/>
      <c r="H2207" s="50"/>
    </row>
    <row r="2208" spans="1:18" x14ac:dyDescent="0.25">
      <c r="A2208" s="50" t="s">
        <v>1313</v>
      </c>
      <c r="B2208" s="271" t="s">
        <v>487</v>
      </c>
    </row>
    <row r="2209" spans="1:18" x14ac:dyDescent="0.25">
      <c r="A2209" s="50" t="s">
        <v>1314</v>
      </c>
      <c r="B2209" s="272" t="s">
        <v>839</v>
      </c>
    </row>
    <row r="2210" spans="1:18" x14ac:dyDescent="0.25">
      <c r="A2210" s="50" t="s">
        <v>1315</v>
      </c>
      <c r="B2210" s="254" t="s">
        <v>590</v>
      </c>
      <c r="N2210" s="50"/>
      <c r="O2210" s="50"/>
      <c r="P2210" s="50"/>
      <c r="Q2210" s="50"/>
      <c r="R2210" s="50"/>
    </row>
    <row r="2211" spans="1:18" x14ac:dyDescent="0.25">
      <c r="A2211" s="50" t="s">
        <v>1316</v>
      </c>
      <c r="B2211" s="88" t="s">
        <v>330</v>
      </c>
    </row>
    <row r="2212" spans="1:18" x14ac:dyDescent="0.25">
      <c r="A2212" s="122" t="s">
        <v>1317</v>
      </c>
      <c r="B2212" s="175" t="s">
        <v>691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12"/>
  <sheetViews>
    <sheetView workbookViewId="0">
      <selection activeCell="D16" sqref="D16"/>
    </sheetView>
  </sheetViews>
  <sheetFormatPr defaultRowHeight="15" x14ac:dyDescent="0.25"/>
  <cols>
    <col min="1" max="1" width="33.85546875" style="43" customWidth="1"/>
    <col min="2" max="2" width="8" style="42" customWidth="1"/>
    <col min="3" max="8" width="11.7109375" style="43" customWidth="1"/>
    <col min="9" max="9" width="10.28515625" style="43" customWidth="1"/>
    <col min="10" max="11" width="10.42578125" style="43" customWidth="1"/>
    <col min="12" max="12" width="11.42578125" style="43" customWidth="1"/>
    <col min="13" max="13" width="12" style="43" customWidth="1"/>
    <col min="14" max="14" width="11.5703125" style="43" customWidth="1"/>
    <col min="15" max="18" width="11.42578125" style="43" customWidth="1"/>
  </cols>
  <sheetData>
    <row r="1" spans="1:18" x14ac:dyDescent="0.25">
      <c r="A1" s="41" t="s">
        <v>1320</v>
      </c>
    </row>
    <row r="2" spans="1:18" x14ac:dyDescent="0.25">
      <c r="A2" s="41" t="s">
        <v>133</v>
      </c>
      <c r="B2" s="44"/>
      <c r="I2" s="45">
        <v>1</v>
      </c>
      <c r="J2" s="43">
        <v>2</v>
      </c>
      <c r="K2" s="43">
        <v>3</v>
      </c>
      <c r="L2" s="43">
        <v>4</v>
      </c>
      <c r="M2" s="43">
        <v>5</v>
      </c>
      <c r="N2" s="43">
        <v>6</v>
      </c>
      <c r="O2" s="43">
        <v>7</v>
      </c>
      <c r="P2" s="43">
        <v>8</v>
      </c>
      <c r="Q2" s="43">
        <v>9</v>
      </c>
      <c r="R2" s="43">
        <v>10</v>
      </c>
    </row>
    <row r="3" spans="1:18" x14ac:dyDescent="0.25">
      <c r="C3" s="46" t="s">
        <v>134</v>
      </c>
      <c r="D3" s="46" t="s">
        <v>135</v>
      </c>
      <c r="E3" s="46" t="s">
        <v>136</v>
      </c>
      <c r="F3" s="46" t="s">
        <v>137</v>
      </c>
      <c r="G3" s="46" t="s">
        <v>138</v>
      </c>
      <c r="H3" s="46" t="s">
        <v>139</v>
      </c>
      <c r="I3" s="46" t="s">
        <v>140</v>
      </c>
      <c r="J3" s="46" t="s">
        <v>141</v>
      </c>
      <c r="K3" s="46" t="s">
        <v>142</v>
      </c>
      <c r="L3" s="46" t="s">
        <v>143</v>
      </c>
      <c r="M3" s="46" t="s">
        <v>144</v>
      </c>
      <c r="N3" s="46" t="s">
        <v>145</v>
      </c>
      <c r="O3" s="46" t="s">
        <v>146</v>
      </c>
      <c r="P3" s="46" t="s">
        <v>147</v>
      </c>
      <c r="Q3" s="46" t="s">
        <v>148</v>
      </c>
      <c r="R3" s="46" t="s">
        <v>149</v>
      </c>
    </row>
    <row r="4" spans="1:18" x14ac:dyDescent="0.25">
      <c r="A4" s="43" t="s">
        <v>150</v>
      </c>
      <c r="B4" s="42" t="s">
        <v>151</v>
      </c>
      <c r="C4" s="47" t="s">
        <v>152</v>
      </c>
      <c r="D4" s="47" t="s">
        <v>152</v>
      </c>
      <c r="E4" s="47" t="s">
        <v>152</v>
      </c>
      <c r="F4" s="47" t="s">
        <v>152</v>
      </c>
      <c r="G4" s="47" t="s">
        <v>152</v>
      </c>
      <c r="H4" s="47" t="s">
        <v>153</v>
      </c>
      <c r="I4" s="47" t="s">
        <v>153</v>
      </c>
      <c r="J4" s="47" t="s">
        <v>153</v>
      </c>
      <c r="K4" s="47" t="s">
        <v>153</v>
      </c>
      <c r="L4" s="47" t="s">
        <v>153</v>
      </c>
      <c r="M4" s="47" t="s">
        <v>153</v>
      </c>
      <c r="N4" s="47" t="s">
        <v>153</v>
      </c>
      <c r="O4" s="47" t="s">
        <v>153</v>
      </c>
      <c r="P4" s="47" t="s">
        <v>153</v>
      </c>
      <c r="Q4" s="47" t="s">
        <v>153</v>
      </c>
      <c r="R4" s="47" t="s">
        <v>153</v>
      </c>
    </row>
    <row r="5" spans="1:18" x14ac:dyDescent="0.25">
      <c r="C5" s="47"/>
      <c r="D5" s="47"/>
      <c r="E5" s="47"/>
      <c r="F5" s="47"/>
      <c r="G5" s="47"/>
      <c r="H5" s="47" t="s">
        <v>154</v>
      </c>
      <c r="I5" s="47" t="s">
        <v>155</v>
      </c>
      <c r="J5" s="47" t="s">
        <v>155</v>
      </c>
      <c r="K5" s="47" t="s">
        <v>155</v>
      </c>
      <c r="L5" s="47" t="s">
        <v>155</v>
      </c>
      <c r="M5" s="47" t="s">
        <v>155</v>
      </c>
      <c r="N5" s="47" t="s">
        <v>155</v>
      </c>
      <c r="O5" s="47" t="s">
        <v>155</v>
      </c>
      <c r="P5" s="47" t="s">
        <v>155</v>
      </c>
      <c r="Q5" s="47" t="s">
        <v>155</v>
      </c>
      <c r="R5" s="47" t="s">
        <v>155</v>
      </c>
    </row>
    <row r="7" spans="1:18" x14ac:dyDescent="0.25">
      <c r="A7" s="48" t="s">
        <v>156</v>
      </c>
      <c r="B7" s="49"/>
    </row>
    <row r="8" spans="1:18" x14ac:dyDescent="0.25">
      <c r="A8" s="48"/>
      <c r="B8" s="49"/>
      <c r="C8" s="46"/>
    </row>
    <row r="9" spans="1:18" x14ac:dyDescent="0.25">
      <c r="A9" s="48" t="s">
        <v>157</v>
      </c>
      <c r="B9" s="49"/>
      <c r="C9" s="47"/>
    </row>
    <row r="10" spans="1:18" x14ac:dyDescent="0.25">
      <c r="A10" s="48"/>
      <c r="B10" s="49"/>
      <c r="C10" s="42"/>
    </row>
    <row r="11" spans="1:18" x14ac:dyDescent="0.25">
      <c r="A11" s="48" t="s">
        <v>158</v>
      </c>
      <c r="B11" s="49"/>
    </row>
    <row r="12" spans="1:18" x14ac:dyDescent="0.25">
      <c r="A12" s="48" t="s">
        <v>159</v>
      </c>
      <c r="B12" s="49"/>
      <c r="C12" s="50">
        <f t="shared" ref="C12:F12" si="0">C59</f>
        <v>311626</v>
      </c>
      <c r="D12" s="50">
        <f t="shared" si="0"/>
        <v>286624</v>
      </c>
      <c r="E12" s="50">
        <f t="shared" si="0"/>
        <v>371098.75</v>
      </c>
      <c r="F12" s="50">
        <f t="shared" si="0"/>
        <v>359385</v>
      </c>
      <c r="G12" s="50">
        <f>G59</f>
        <v>372236</v>
      </c>
      <c r="H12" s="50">
        <f>H59</f>
        <v>382200</v>
      </c>
      <c r="I12" s="50">
        <f t="shared" ref="I12:R12" si="1">I59</f>
        <v>390990.59999999992</v>
      </c>
      <c r="J12" s="50">
        <f t="shared" si="1"/>
        <v>400374.37440000015</v>
      </c>
      <c r="K12" s="50">
        <f t="shared" si="1"/>
        <v>409983.35938559991</v>
      </c>
      <c r="L12" s="50">
        <f t="shared" si="1"/>
        <v>419412.97665146872</v>
      </c>
      <c r="M12" s="50">
        <f t="shared" si="1"/>
        <v>428640.06213780103</v>
      </c>
      <c r="N12" s="50">
        <f t="shared" si="1"/>
        <v>438498.78356697049</v>
      </c>
      <c r="O12" s="50">
        <f t="shared" si="1"/>
        <v>449461.25315614464</v>
      </c>
      <c r="P12" s="50">
        <f t="shared" si="1"/>
        <v>460697.78448504838</v>
      </c>
      <c r="Q12" s="50">
        <f t="shared" si="1"/>
        <v>471754.53131268942</v>
      </c>
      <c r="R12" s="50">
        <f t="shared" si="1"/>
        <v>483076.64006419404</v>
      </c>
    </row>
    <row r="13" spans="1:18" x14ac:dyDescent="0.25">
      <c r="A13" s="48" t="s">
        <v>160</v>
      </c>
      <c r="B13" s="49"/>
      <c r="C13" s="50">
        <f t="shared" ref="C13:R13" si="2">C101</f>
        <v>1096632</v>
      </c>
      <c r="D13" s="50">
        <f t="shared" si="2"/>
        <v>1095036</v>
      </c>
      <c r="E13" s="50">
        <f t="shared" si="2"/>
        <v>1097611.07</v>
      </c>
      <c r="F13" s="50">
        <f t="shared" si="2"/>
        <v>1147527</v>
      </c>
      <c r="G13" s="50">
        <f t="shared" si="2"/>
        <v>1334839</v>
      </c>
      <c r="H13" s="50">
        <f t="shared" si="2"/>
        <v>1312953</v>
      </c>
      <c r="I13" s="50">
        <f t="shared" si="2"/>
        <v>1335769.6000000001</v>
      </c>
      <c r="J13" s="50">
        <f t="shared" si="2"/>
        <v>1388224.0703999999</v>
      </c>
      <c r="K13" s="50">
        <f t="shared" si="2"/>
        <v>1400819.4480895998</v>
      </c>
      <c r="L13" s="50">
        <f t="shared" si="2"/>
        <v>1454118.8053956609</v>
      </c>
      <c r="M13" s="50">
        <f t="shared" si="2"/>
        <v>1464433.8791143654</v>
      </c>
      <c r="N13" s="50">
        <f t="shared" si="2"/>
        <v>1520263.0283339955</v>
      </c>
      <c r="O13" s="50">
        <f t="shared" si="2"/>
        <v>1535821.3540423454</v>
      </c>
      <c r="P13" s="50">
        <f t="shared" si="2"/>
        <v>1596415.6378934041</v>
      </c>
      <c r="Q13" s="50">
        <f t="shared" si="2"/>
        <v>1611912.4932028456</v>
      </c>
      <c r="R13" s="50">
        <f t="shared" si="2"/>
        <v>1673965.9130397136</v>
      </c>
    </row>
    <row r="14" spans="1:18" x14ac:dyDescent="0.25">
      <c r="A14" s="41" t="s">
        <v>161</v>
      </c>
      <c r="B14" s="44"/>
      <c r="C14" s="50">
        <f t="shared" ref="C14:R14" si="3">C154</f>
        <v>2547520</v>
      </c>
      <c r="D14" s="50">
        <f t="shared" si="3"/>
        <v>2756842</v>
      </c>
      <c r="E14" s="50">
        <f t="shared" si="3"/>
        <v>2799931</v>
      </c>
      <c r="F14" s="50">
        <f t="shared" si="3"/>
        <v>2812851</v>
      </c>
      <c r="G14" s="50">
        <f t="shared" si="3"/>
        <v>2965970</v>
      </c>
      <c r="H14" s="50">
        <f t="shared" si="3"/>
        <v>3078100</v>
      </c>
      <c r="I14" s="50">
        <f t="shared" si="3"/>
        <v>3147520.8999999994</v>
      </c>
      <c r="J14" s="50">
        <f t="shared" si="3"/>
        <v>3221626.2016000007</v>
      </c>
      <c r="K14" s="50">
        <f t="shared" si="3"/>
        <v>3237710.0304384003</v>
      </c>
      <c r="L14" s="50">
        <f t="shared" si="3"/>
        <v>3312177.361138483</v>
      </c>
      <c r="M14" s="50">
        <f t="shared" si="3"/>
        <v>3385045.2630835297</v>
      </c>
      <c r="N14" s="50">
        <f t="shared" si="3"/>
        <v>3462901.3041344504</v>
      </c>
      <c r="O14" s="50">
        <f t="shared" si="3"/>
        <v>3549473.8367378111</v>
      </c>
      <c r="P14" s="50">
        <f t="shared" si="3"/>
        <v>3638210.682656256</v>
      </c>
      <c r="Q14" s="50">
        <f t="shared" si="3"/>
        <v>3725527.7390400064</v>
      </c>
      <c r="R14" s="50">
        <f t="shared" si="3"/>
        <v>3814940.4047769662</v>
      </c>
    </row>
    <row r="15" spans="1:18" x14ac:dyDescent="0.25">
      <c r="A15" s="41" t="s">
        <v>162</v>
      </c>
      <c r="B15" s="44"/>
      <c r="C15" s="50">
        <f t="shared" ref="C15:R15" si="4">C192</f>
        <v>1611604</v>
      </c>
      <c r="D15" s="50">
        <f t="shared" si="4"/>
        <v>1869914</v>
      </c>
      <c r="E15" s="50">
        <f t="shared" si="4"/>
        <v>1272420</v>
      </c>
      <c r="F15" s="50">
        <f t="shared" si="4"/>
        <v>1149141</v>
      </c>
      <c r="G15" s="50">
        <f t="shared" si="4"/>
        <v>1232439</v>
      </c>
      <c r="H15" s="50">
        <f t="shared" si="4"/>
        <v>2342900</v>
      </c>
      <c r="I15" s="50">
        <f t="shared" si="4"/>
        <v>1484313.7</v>
      </c>
      <c r="J15" s="50">
        <f t="shared" si="4"/>
        <v>1519577.2288000002</v>
      </c>
      <c r="K15" s="50">
        <f t="shared" si="4"/>
        <v>1555687.0822911998</v>
      </c>
      <c r="L15" s="50">
        <f t="shared" si="4"/>
        <v>1591122.8851838973</v>
      </c>
      <c r="M15" s="50">
        <f t="shared" si="4"/>
        <v>1625797.5886579431</v>
      </c>
      <c r="N15" s="50">
        <f t="shared" si="4"/>
        <v>1662845.9331970757</v>
      </c>
      <c r="O15" s="50">
        <f t="shared" si="4"/>
        <v>1704042.0815270026</v>
      </c>
      <c r="P15" s="50">
        <f t="shared" si="4"/>
        <v>1746268.1335651777</v>
      </c>
      <c r="Q15" s="50">
        <f t="shared" si="4"/>
        <v>1787818.568770742</v>
      </c>
      <c r="R15" s="50">
        <f t="shared" si="4"/>
        <v>1830366.2144212397</v>
      </c>
    </row>
    <row r="16" spans="1:18" x14ac:dyDescent="0.25">
      <c r="A16" s="41" t="s">
        <v>163</v>
      </c>
      <c r="B16" s="44"/>
      <c r="C16" s="50">
        <f t="shared" ref="C16:F16" si="5">C229</f>
        <v>8686373</v>
      </c>
      <c r="D16" s="50">
        <f t="shared" si="5"/>
        <v>8994196</v>
      </c>
      <c r="E16" s="50">
        <f t="shared" si="5"/>
        <v>13257679</v>
      </c>
      <c r="F16" s="50">
        <f t="shared" si="5"/>
        <v>10170198</v>
      </c>
      <c r="G16" s="50">
        <f>G229</f>
        <v>9406248</v>
      </c>
      <c r="H16" s="50">
        <f t="shared" ref="H16:R16" si="6">H229</f>
        <v>9853100</v>
      </c>
      <c r="I16" s="50">
        <f t="shared" si="6"/>
        <v>10521427.699999999</v>
      </c>
      <c r="J16" s="50">
        <f t="shared" si="6"/>
        <v>10813071.4498</v>
      </c>
      <c r="K16" s="50">
        <f t="shared" si="6"/>
        <v>11060303.606720198</v>
      </c>
      <c r="L16" s="50">
        <f t="shared" si="6"/>
        <v>11280881.963127784</v>
      </c>
      <c r="M16" s="50">
        <f t="shared" si="6"/>
        <v>11545585.299169974</v>
      </c>
      <c r="N16" s="50">
        <f t="shared" si="6"/>
        <v>11899230.11140392</v>
      </c>
      <c r="O16" s="50">
        <f t="shared" si="6"/>
        <v>12239134.089995472</v>
      </c>
      <c r="P16" s="50">
        <f t="shared" si="6"/>
        <v>12591883.168051809</v>
      </c>
      <c r="Q16" s="50">
        <f t="shared" si="6"/>
        <v>12801552.794700455</v>
      </c>
      <c r="R16" s="50">
        <f t="shared" si="6"/>
        <v>13103527.562508894</v>
      </c>
    </row>
    <row r="17" spans="1:18" x14ac:dyDescent="0.25">
      <c r="A17" s="41" t="s">
        <v>164</v>
      </c>
      <c r="B17" s="44"/>
      <c r="C17" s="51">
        <f t="shared" ref="C17:D17" si="7">SUM(C12:C16)</f>
        <v>14253755</v>
      </c>
      <c r="D17" s="51">
        <f t="shared" si="7"/>
        <v>15002612</v>
      </c>
      <c r="E17" s="51">
        <f>SUM(E12:E16)</f>
        <v>18798739.82</v>
      </c>
      <c r="F17" s="51">
        <f t="shared" ref="F17:R17" si="8">SUM(F12:F16)</f>
        <v>15639102</v>
      </c>
      <c r="G17" s="51">
        <f t="shared" si="8"/>
        <v>15311732</v>
      </c>
      <c r="H17" s="51">
        <f t="shared" si="8"/>
        <v>16969253</v>
      </c>
      <c r="I17" s="51">
        <f t="shared" si="8"/>
        <v>16880022.5</v>
      </c>
      <c r="J17" s="51">
        <f t="shared" si="8"/>
        <v>17342873.325000003</v>
      </c>
      <c r="K17" s="51">
        <f t="shared" si="8"/>
        <v>17664503.526924998</v>
      </c>
      <c r="L17" s="51">
        <f t="shared" si="8"/>
        <v>18057713.991497293</v>
      </c>
      <c r="M17" s="51">
        <f t="shared" si="8"/>
        <v>18449502.092163615</v>
      </c>
      <c r="N17" s="51">
        <f t="shared" si="8"/>
        <v>18983739.16063641</v>
      </c>
      <c r="O17" s="51">
        <f t="shared" si="8"/>
        <v>19477932.615458775</v>
      </c>
      <c r="P17" s="51">
        <f t="shared" si="8"/>
        <v>20033475.406651698</v>
      </c>
      <c r="Q17" s="51">
        <f t="shared" si="8"/>
        <v>20398566.127026737</v>
      </c>
      <c r="R17" s="51">
        <f t="shared" si="8"/>
        <v>20905876.734811008</v>
      </c>
    </row>
    <row r="18" spans="1:18" x14ac:dyDescent="0.25">
      <c r="A18" s="48"/>
      <c r="B18" s="49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</row>
    <row r="19" spans="1:18" x14ac:dyDescent="0.25">
      <c r="A19" s="41" t="s">
        <v>165</v>
      </c>
      <c r="B19" s="44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</row>
    <row r="20" spans="1:18" x14ac:dyDescent="0.25">
      <c r="A20" s="48" t="s">
        <v>159</v>
      </c>
      <c r="B20" s="49"/>
      <c r="C20" s="50">
        <f t="shared" ref="C20:R20" si="9">C65</f>
        <v>980320</v>
      </c>
      <c r="D20" s="50">
        <f t="shared" si="9"/>
        <v>1110667</v>
      </c>
      <c r="E20" s="50">
        <f t="shared" si="9"/>
        <v>1274291.9000000001</v>
      </c>
      <c r="F20" s="50">
        <f t="shared" si="9"/>
        <v>1605076</v>
      </c>
      <c r="G20" s="50">
        <f t="shared" si="9"/>
        <v>1266682</v>
      </c>
      <c r="H20" s="50">
        <f t="shared" si="9"/>
        <v>1310740</v>
      </c>
      <c r="I20" s="50">
        <f t="shared" si="9"/>
        <v>1188561.7999999998</v>
      </c>
      <c r="J20" s="50">
        <f t="shared" si="9"/>
        <v>1220939.1706999997</v>
      </c>
      <c r="K20" s="50">
        <f t="shared" si="9"/>
        <v>1255400.2955292999</v>
      </c>
      <c r="L20" s="50">
        <f t="shared" si="9"/>
        <v>1291205.7272681985</v>
      </c>
      <c r="M20" s="50">
        <f t="shared" si="9"/>
        <v>1374214.765642901</v>
      </c>
      <c r="N20" s="50">
        <f t="shared" si="9"/>
        <v>1363143.8570722444</v>
      </c>
      <c r="O20" s="50">
        <f t="shared" si="9"/>
        <v>1402422.5985731944</v>
      </c>
      <c r="P20" s="50">
        <f t="shared" si="9"/>
        <v>1446078.680315902</v>
      </c>
      <c r="Q20" s="50">
        <f t="shared" si="9"/>
        <v>1488435.9112533091</v>
      </c>
      <c r="R20" s="50">
        <f t="shared" si="9"/>
        <v>1584300.041701948</v>
      </c>
    </row>
    <row r="21" spans="1:18" x14ac:dyDescent="0.25">
      <c r="A21" s="48" t="s">
        <v>160</v>
      </c>
      <c r="B21" s="49"/>
      <c r="C21" s="50">
        <f t="shared" ref="C21:R21" si="10">C112</f>
        <v>3248112</v>
      </c>
      <c r="D21" s="50">
        <f t="shared" si="10"/>
        <v>3146828</v>
      </c>
      <c r="E21" s="50">
        <f t="shared" si="10"/>
        <v>3313034.15</v>
      </c>
      <c r="F21" s="50">
        <f t="shared" si="10"/>
        <v>3470429.8200000003</v>
      </c>
      <c r="G21" s="50">
        <f t="shared" si="10"/>
        <v>3344249</v>
      </c>
      <c r="H21" s="50">
        <f t="shared" si="10"/>
        <v>3752778.6957668001</v>
      </c>
      <c r="I21" s="50">
        <f t="shared" si="10"/>
        <v>3810968.6660784162</v>
      </c>
      <c r="J21" s="50">
        <f t="shared" si="10"/>
        <v>3878448.451827419</v>
      </c>
      <c r="K21" s="50">
        <f t="shared" si="10"/>
        <v>3959057.0121913073</v>
      </c>
      <c r="L21" s="50">
        <f t="shared" si="10"/>
        <v>4084649.3268051594</v>
      </c>
      <c r="M21" s="50">
        <f t="shared" si="10"/>
        <v>4166984.1136062532</v>
      </c>
      <c r="N21" s="50">
        <f t="shared" si="10"/>
        <v>4294911.8759581801</v>
      </c>
      <c r="O21" s="50">
        <f t="shared" si="10"/>
        <v>4388465.7019315446</v>
      </c>
      <c r="P21" s="50">
        <f t="shared" si="10"/>
        <v>4531820.7711928478</v>
      </c>
      <c r="Q21" s="50">
        <f t="shared" si="10"/>
        <v>4629951.7928737532</v>
      </c>
      <c r="R21" s="50">
        <f t="shared" si="10"/>
        <v>4765297.7756254654</v>
      </c>
    </row>
    <row r="22" spans="1:18" x14ac:dyDescent="0.25">
      <c r="A22" s="41" t="s">
        <v>161</v>
      </c>
      <c r="B22" s="44"/>
      <c r="C22" s="50">
        <f t="shared" ref="C22:R22" si="11">C161</f>
        <v>3029056.43</v>
      </c>
      <c r="D22" s="50">
        <f t="shared" si="11"/>
        <v>3378724</v>
      </c>
      <c r="E22" s="50">
        <f t="shared" si="11"/>
        <v>3451439</v>
      </c>
      <c r="F22" s="50">
        <f t="shared" si="11"/>
        <v>3362111</v>
      </c>
      <c r="G22" s="50">
        <f t="shared" si="11"/>
        <v>3374617</v>
      </c>
      <c r="H22" s="50">
        <f t="shared" si="11"/>
        <v>3752465</v>
      </c>
      <c r="I22" s="50">
        <f t="shared" si="11"/>
        <v>3830625.7</v>
      </c>
      <c r="J22" s="50">
        <f t="shared" si="11"/>
        <v>3930017.0107999998</v>
      </c>
      <c r="K22" s="50">
        <f t="shared" si="11"/>
        <v>3979847.9003091995</v>
      </c>
      <c r="L22" s="50">
        <f t="shared" si="11"/>
        <v>4059171.746308811</v>
      </c>
      <c r="M22" s="50">
        <f t="shared" si="11"/>
        <v>4162563.0209447583</v>
      </c>
      <c r="N22" s="50">
        <f t="shared" si="11"/>
        <v>4269948.7305753585</v>
      </c>
      <c r="O22" s="50">
        <f t="shared" si="11"/>
        <v>4367848.620053078</v>
      </c>
      <c r="P22" s="50">
        <f t="shared" si="11"/>
        <v>4496892.404015759</v>
      </c>
      <c r="Q22" s="50">
        <f t="shared" si="11"/>
        <v>4609359.7209738465</v>
      </c>
      <c r="R22" s="50">
        <f t="shared" si="11"/>
        <v>4720759.4932177402</v>
      </c>
    </row>
    <row r="23" spans="1:18" x14ac:dyDescent="0.25">
      <c r="A23" s="41" t="s">
        <v>162</v>
      </c>
      <c r="B23" s="44"/>
      <c r="C23" s="50">
        <f t="shared" ref="C23:R23" si="12">C197</f>
        <v>3229040</v>
      </c>
      <c r="D23" s="50">
        <f t="shared" si="12"/>
        <v>3327700</v>
      </c>
      <c r="E23" s="50">
        <f t="shared" si="12"/>
        <v>3208277</v>
      </c>
      <c r="F23" s="50">
        <f t="shared" si="12"/>
        <v>3556862</v>
      </c>
      <c r="G23" s="50">
        <f t="shared" si="12"/>
        <v>3281876</v>
      </c>
      <c r="H23" s="50">
        <f t="shared" si="12"/>
        <v>3456763</v>
      </c>
      <c r="I23" s="50">
        <f t="shared" si="12"/>
        <v>3537800.9350000001</v>
      </c>
      <c r="J23" s="50">
        <f t="shared" si="12"/>
        <v>3634745.7848899998</v>
      </c>
      <c r="K23" s="50">
        <f t="shared" si="12"/>
        <v>3679897.40756361</v>
      </c>
      <c r="L23" s="50">
        <f t="shared" si="12"/>
        <v>3769709.5572294858</v>
      </c>
      <c r="M23" s="50">
        <f t="shared" si="12"/>
        <v>3864181.4415493477</v>
      </c>
      <c r="N23" s="50">
        <f t="shared" si="12"/>
        <v>3962916.8283502567</v>
      </c>
      <c r="O23" s="50">
        <f t="shared" si="12"/>
        <v>4071145.7214790615</v>
      </c>
      <c r="P23" s="50">
        <f t="shared" si="12"/>
        <v>4184901.6217005923</v>
      </c>
      <c r="Q23" s="50">
        <f t="shared" si="12"/>
        <v>4299081.0195407169</v>
      </c>
      <c r="R23" s="50">
        <f t="shared" si="12"/>
        <v>4400818.0411485173</v>
      </c>
    </row>
    <row r="24" spans="1:18" x14ac:dyDescent="0.25">
      <c r="A24" s="41" t="s">
        <v>163</v>
      </c>
      <c r="B24" s="44"/>
      <c r="C24" s="50">
        <f t="shared" ref="C24:R24" si="13">C239</f>
        <v>3386539</v>
      </c>
      <c r="D24" s="50">
        <f t="shared" si="13"/>
        <v>3703059</v>
      </c>
      <c r="E24" s="50">
        <f t="shared" si="13"/>
        <v>3886648.5300000003</v>
      </c>
      <c r="F24" s="50">
        <f t="shared" si="13"/>
        <v>4131141</v>
      </c>
      <c r="G24" s="50">
        <f t="shared" si="13"/>
        <v>4054187</v>
      </c>
      <c r="H24" s="50">
        <f t="shared" si="13"/>
        <v>4341470</v>
      </c>
      <c r="I24" s="50">
        <f t="shared" si="13"/>
        <v>4489267.34</v>
      </c>
      <c r="J24" s="50">
        <f t="shared" si="13"/>
        <v>4669304.3685599994</v>
      </c>
      <c r="K24" s="50">
        <f t="shared" si="13"/>
        <v>4745954.7604579404</v>
      </c>
      <c r="L24" s="50">
        <f t="shared" si="13"/>
        <v>4981338.1981961466</v>
      </c>
      <c r="M24" s="50">
        <f t="shared" si="13"/>
        <v>5096925.2564531714</v>
      </c>
      <c r="N24" s="50">
        <f t="shared" si="13"/>
        <v>5415367.820648646</v>
      </c>
      <c r="O24" s="50">
        <f t="shared" si="13"/>
        <v>5468704.844257839</v>
      </c>
      <c r="P24" s="50">
        <f t="shared" si="13"/>
        <v>5640362.26350349</v>
      </c>
      <c r="Q24" s="50">
        <f t="shared" si="13"/>
        <v>5815440.8081351519</v>
      </c>
      <c r="R24" s="50">
        <f t="shared" si="13"/>
        <v>5991739.8410850046</v>
      </c>
    </row>
    <row r="25" spans="1:18" x14ac:dyDescent="0.25">
      <c r="A25" s="41" t="s">
        <v>166</v>
      </c>
      <c r="B25" s="44"/>
      <c r="C25" s="51">
        <f t="shared" ref="C25:D25" si="14">SUM(C20:C24)</f>
        <v>13873067.43</v>
      </c>
      <c r="D25" s="51">
        <f t="shared" si="14"/>
        <v>14666978</v>
      </c>
      <c r="E25" s="51">
        <f>SUM(E20:E24)</f>
        <v>15133690.580000002</v>
      </c>
      <c r="F25" s="51">
        <f t="shared" ref="F25:R25" si="15">SUM(F20:F24)</f>
        <v>16125619.82</v>
      </c>
      <c r="G25" s="51">
        <f t="shared" si="15"/>
        <v>15321611</v>
      </c>
      <c r="H25" s="51">
        <f t="shared" si="15"/>
        <v>16614216.695766799</v>
      </c>
      <c r="I25" s="51">
        <f>SUM(I20:I24)</f>
        <v>16857224.441078417</v>
      </c>
      <c r="J25" s="51">
        <f t="shared" si="15"/>
        <v>17333454.786777418</v>
      </c>
      <c r="K25" s="51">
        <f t="shared" si="15"/>
        <v>17620157.376051359</v>
      </c>
      <c r="L25" s="51">
        <f t="shared" si="15"/>
        <v>18186074.555807799</v>
      </c>
      <c r="M25" s="51">
        <f t="shared" si="15"/>
        <v>18664868.598196432</v>
      </c>
      <c r="N25" s="51">
        <f t="shared" si="15"/>
        <v>19306289.112604685</v>
      </c>
      <c r="O25" s="51">
        <f t="shared" si="15"/>
        <v>19698587.486294717</v>
      </c>
      <c r="P25" s="51">
        <f t="shared" si="15"/>
        <v>20300055.740728591</v>
      </c>
      <c r="Q25" s="51">
        <f t="shared" si="15"/>
        <v>20842269.252776776</v>
      </c>
      <c r="R25" s="51">
        <f t="shared" si="15"/>
        <v>21462915.192778677</v>
      </c>
    </row>
    <row r="26" spans="1:18" x14ac:dyDescent="0.25">
      <c r="A26" s="48"/>
      <c r="B26" s="49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</row>
    <row r="27" spans="1:18" x14ac:dyDescent="0.25">
      <c r="A27" s="48" t="s">
        <v>167</v>
      </c>
      <c r="B27" s="49"/>
      <c r="C27" s="51">
        <f t="shared" ref="C27:R27" si="16">C17-C25</f>
        <v>380687.5700000003</v>
      </c>
      <c r="D27" s="51">
        <f t="shared" si="16"/>
        <v>335634</v>
      </c>
      <c r="E27" s="51">
        <f t="shared" si="16"/>
        <v>3665049.2399999984</v>
      </c>
      <c r="F27" s="51">
        <f t="shared" si="16"/>
        <v>-486517.8200000003</v>
      </c>
      <c r="G27" s="51">
        <f t="shared" si="16"/>
        <v>-9879</v>
      </c>
      <c r="H27" s="51">
        <f t="shared" si="16"/>
        <v>355036.30423320085</v>
      </c>
      <c r="I27" s="51">
        <f t="shared" si="16"/>
        <v>22798.058921582997</v>
      </c>
      <c r="J27" s="51">
        <f t="shared" si="16"/>
        <v>9418.5382225848734</v>
      </c>
      <c r="K27" s="51">
        <f t="shared" si="16"/>
        <v>44346.15087363869</v>
      </c>
      <c r="L27" s="51">
        <f t="shared" si="16"/>
        <v>-128360.56431050599</v>
      </c>
      <c r="M27" s="51">
        <f t="shared" si="16"/>
        <v>-215366.50603281707</v>
      </c>
      <c r="N27" s="51">
        <f t="shared" si="16"/>
        <v>-322549.95196827501</v>
      </c>
      <c r="O27" s="51">
        <f t="shared" si="16"/>
        <v>-220654.87083594128</v>
      </c>
      <c r="P27" s="51">
        <f t="shared" si="16"/>
        <v>-266580.33407689258</v>
      </c>
      <c r="Q27" s="51">
        <f t="shared" si="16"/>
        <v>-443703.12575003877</v>
      </c>
      <c r="R27" s="51">
        <f t="shared" si="16"/>
        <v>-557038.45796766877</v>
      </c>
    </row>
    <row r="28" spans="1:18" x14ac:dyDescent="0.25">
      <c r="A28" s="48"/>
      <c r="B28" s="49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</row>
    <row r="29" spans="1:18" x14ac:dyDescent="0.25">
      <c r="A29" s="48" t="s">
        <v>168</v>
      </c>
      <c r="B29" s="49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</row>
    <row r="30" spans="1:18" x14ac:dyDescent="0.25">
      <c r="A30" s="48"/>
      <c r="B30" s="49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</row>
    <row r="31" spans="1:18" x14ac:dyDescent="0.25">
      <c r="A31" s="48" t="s">
        <v>169</v>
      </c>
      <c r="B31" s="49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</row>
    <row r="32" spans="1:18" x14ac:dyDescent="0.25">
      <c r="A32" s="48" t="s">
        <v>159</v>
      </c>
      <c r="B32" s="49"/>
      <c r="C32" s="50">
        <f t="shared" ref="C32:R32" si="17">C75</f>
        <v>10735</v>
      </c>
      <c r="D32" s="50">
        <f t="shared" si="17"/>
        <v>148804</v>
      </c>
      <c r="E32" s="50">
        <f t="shared" si="17"/>
        <v>12176</v>
      </c>
      <c r="F32" s="50">
        <f t="shared" si="17"/>
        <v>0</v>
      </c>
      <c r="G32" s="50">
        <f t="shared" si="17"/>
        <v>0</v>
      </c>
      <c r="H32" s="50">
        <f t="shared" si="17"/>
        <v>0</v>
      </c>
      <c r="I32" s="50">
        <f t="shared" si="17"/>
        <v>0</v>
      </c>
      <c r="J32" s="50">
        <f t="shared" si="17"/>
        <v>0</v>
      </c>
      <c r="K32" s="50">
        <f t="shared" si="17"/>
        <v>0</v>
      </c>
      <c r="L32" s="50">
        <f t="shared" si="17"/>
        <v>0</v>
      </c>
      <c r="M32" s="50">
        <f t="shared" si="17"/>
        <v>0</v>
      </c>
      <c r="N32" s="50">
        <f t="shared" si="17"/>
        <v>0</v>
      </c>
      <c r="O32" s="50">
        <f t="shared" si="17"/>
        <v>0</v>
      </c>
      <c r="P32" s="50">
        <f t="shared" si="17"/>
        <v>0</v>
      </c>
      <c r="Q32" s="50">
        <f t="shared" si="17"/>
        <v>0</v>
      </c>
      <c r="R32" s="50">
        <f t="shared" si="17"/>
        <v>0</v>
      </c>
    </row>
    <row r="33" spans="1:18" x14ac:dyDescent="0.25">
      <c r="A33" s="48" t="s">
        <v>160</v>
      </c>
      <c r="B33" s="49"/>
      <c r="C33" s="50">
        <f t="shared" ref="C33:R33" si="18">C127</f>
        <v>197108</v>
      </c>
      <c r="D33" s="50">
        <f t="shared" si="18"/>
        <v>506017</v>
      </c>
      <c r="E33" s="50">
        <f t="shared" si="18"/>
        <v>237757</v>
      </c>
      <c r="F33" s="50">
        <f t="shared" si="18"/>
        <v>331876</v>
      </c>
      <c r="G33" s="50">
        <f t="shared" si="18"/>
        <v>20543</v>
      </c>
      <c r="H33" s="50">
        <f t="shared" si="18"/>
        <v>180000</v>
      </c>
      <c r="I33" s="50">
        <f t="shared" si="18"/>
        <v>0</v>
      </c>
      <c r="J33" s="50">
        <f t="shared" si="18"/>
        <v>0</v>
      </c>
      <c r="K33" s="50">
        <f t="shared" si="18"/>
        <v>0</v>
      </c>
      <c r="L33" s="50">
        <f t="shared" si="18"/>
        <v>0</v>
      </c>
      <c r="M33" s="50">
        <f t="shared" si="18"/>
        <v>0</v>
      </c>
      <c r="N33" s="50">
        <f t="shared" si="18"/>
        <v>0</v>
      </c>
      <c r="O33" s="50">
        <f t="shared" si="18"/>
        <v>0</v>
      </c>
      <c r="P33" s="50">
        <f t="shared" si="18"/>
        <v>0</v>
      </c>
      <c r="Q33" s="50">
        <f t="shared" si="18"/>
        <v>0</v>
      </c>
      <c r="R33" s="50">
        <f t="shared" si="18"/>
        <v>0</v>
      </c>
    </row>
    <row r="34" spans="1:18" x14ac:dyDescent="0.25">
      <c r="A34" s="41" t="s">
        <v>161</v>
      </c>
      <c r="B34" s="44"/>
      <c r="C34" s="50">
        <f t="shared" ref="C34:R34" si="19">C172</f>
        <v>0</v>
      </c>
      <c r="D34" s="50">
        <f t="shared" si="19"/>
        <v>34030</v>
      </c>
      <c r="E34" s="50">
        <f t="shared" si="19"/>
        <v>34802</v>
      </c>
      <c r="F34" s="50">
        <f t="shared" si="19"/>
        <v>0</v>
      </c>
      <c r="G34" s="50">
        <f t="shared" si="19"/>
        <v>0</v>
      </c>
      <c r="H34" s="50">
        <f t="shared" si="19"/>
        <v>0</v>
      </c>
      <c r="I34" s="50">
        <f t="shared" si="19"/>
        <v>0</v>
      </c>
      <c r="J34" s="50">
        <f t="shared" si="19"/>
        <v>0</v>
      </c>
      <c r="K34" s="50">
        <f t="shared" si="19"/>
        <v>0</v>
      </c>
      <c r="L34" s="50">
        <f t="shared" si="19"/>
        <v>0</v>
      </c>
      <c r="M34" s="50">
        <f t="shared" si="19"/>
        <v>0</v>
      </c>
      <c r="N34" s="50">
        <f t="shared" si="19"/>
        <v>0</v>
      </c>
      <c r="O34" s="50">
        <f t="shared" si="19"/>
        <v>0</v>
      </c>
      <c r="P34" s="50">
        <f t="shared" si="19"/>
        <v>0</v>
      </c>
      <c r="Q34" s="50">
        <f t="shared" si="19"/>
        <v>0</v>
      </c>
      <c r="R34" s="50">
        <f t="shared" si="19"/>
        <v>0</v>
      </c>
    </row>
    <row r="35" spans="1:18" x14ac:dyDescent="0.25">
      <c r="A35" s="41" t="s">
        <v>162</v>
      </c>
      <c r="B35" s="44"/>
      <c r="C35" s="50">
        <f t="shared" ref="C35:R35" si="20">C206</f>
        <v>0</v>
      </c>
      <c r="D35" s="50">
        <f t="shared" si="20"/>
        <v>62487</v>
      </c>
      <c r="E35" s="50">
        <f t="shared" si="20"/>
        <v>119337</v>
      </c>
      <c r="F35" s="50">
        <f t="shared" si="20"/>
        <v>25497</v>
      </c>
      <c r="G35" s="50">
        <f t="shared" si="20"/>
        <v>15979</v>
      </c>
      <c r="H35" s="50">
        <f t="shared" si="20"/>
        <v>0</v>
      </c>
      <c r="I35" s="50">
        <f t="shared" si="20"/>
        <v>0</v>
      </c>
      <c r="J35" s="50">
        <f t="shared" si="20"/>
        <v>0</v>
      </c>
      <c r="K35" s="50">
        <f t="shared" si="20"/>
        <v>0</v>
      </c>
      <c r="L35" s="50">
        <f t="shared" si="20"/>
        <v>0</v>
      </c>
      <c r="M35" s="50">
        <f t="shared" si="20"/>
        <v>0</v>
      </c>
      <c r="N35" s="50">
        <f t="shared" si="20"/>
        <v>0</v>
      </c>
      <c r="O35" s="50">
        <f t="shared" si="20"/>
        <v>0</v>
      </c>
      <c r="P35" s="50">
        <f t="shared" si="20"/>
        <v>0</v>
      </c>
      <c r="Q35" s="50">
        <f t="shared" si="20"/>
        <v>0</v>
      </c>
      <c r="R35" s="50">
        <f t="shared" si="20"/>
        <v>0</v>
      </c>
    </row>
    <row r="36" spans="1:18" x14ac:dyDescent="0.25">
      <c r="A36" s="41" t="s">
        <v>163</v>
      </c>
      <c r="B36" s="44"/>
      <c r="C36" s="50">
        <f t="shared" ref="C36:D36" si="21">C253</f>
        <v>3125054.42</v>
      </c>
      <c r="D36" s="50">
        <f t="shared" si="21"/>
        <v>4018888</v>
      </c>
      <c r="E36" s="50">
        <f>E253</f>
        <v>3789725</v>
      </c>
      <c r="F36" s="50">
        <f t="shared" ref="F36:R36" si="22">F253</f>
        <v>3547253</v>
      </c>
      <c r="G36" s="50">
        <f t="shared" si="22"/>
        <v>2852540.36</v>
      </c>
      <c r="H36" s="50">
        <f t="shared" si="22"/>
        <v>3668076.9569942858</v>
      </c>
      <c r="I36" s="50">
        <f t="shared" si="22"/>
        <v>3178563.6236609523</v>
      </c>
      <c r="J36" s="50">
        <f t="shared" si="22"/>
        <v>3365144.2636609524</v>
      </c>
      <c r="K36" s="50">
        <f t="shared" si="22"/>
        <v>3293922.2184209526</v>
      </c>
      <c r="L36" s="50">
        <f t="shared" si="22"/>
        <v>3360720.6660080329</v>
      </c>
      <c r="M36" s="50">
        <f t="shared" si="22"/>
        <v>3456516.8871640987</v>
      </c>
      <c r="N36" s="50">
        <f t="shared" si="22"/>
        <v>3694756.0608455935</v>
      </c>
      <c r="O36" s="50">
        <f t="shared" si="22"/>
        <v>3490607.766987469</v>
      </c>
      <c r="P36" s="50">
        <f t="shared" si="22"/>
        <v>3766470.6508279061</v>
      </c>
      <c r="Q36" s="50">
        <f t="shared" si="22"/>
        <v>3765573.5190351889</v>
      </c>
      <c r="R36" s="50">
        <f t="shared" si="22"/>
        <v>3819615.6616525617</v>
      </c>
    </row>
    <row r="37" spans="1:18" x14ac:dyDescent="0.25">
      <c r="A37" s="41" t="s">
        <v>170</v>
      </c>
      <c r="B37" s="44"/>
      <c r="C37" s="51">
        <f t="shared" ref="C37:R37" si="23">SUM(C31:C36)</f>
        <v>3332897.42</v>
      </c>
      <c r="D37" s="51">
        <f t="shared" si="23"/>
        <v>4770226</v>
      </c>
      <c r="E37" s="51">
        <f t="shared" si="23"/>
        <v>4193797</v>
      </c>
      <c r="F37" s="51">
        <f t="shared" si="23"/>
        <v>3904626</v>
      </c>
      <c r="G37" s="51">
        <f t="shared" si="23"/>
        <v>2889062.36</v>
      </c>
      <c r="H37" s="51">
        <f t="shared" si="23"/>
        <v>3848076.9569942858</v>
      </c>
      <c r="I37" s="51">
        <f t="shared" si="23"/>
        <v>3178563.6236609523</v>
      </c>
      <c r="J37" s="51">
        <f t="shared" si="23"/>
        <v>3365144.2636609524</v>
      </c>
      <c r="K37" s="51">
        <f t="shared" si="23"/>
        <v>3293922.2184209526</v>
      </c>
      <c r="L37" s="51">
        <f t="shared" si="23"/>
        <v>3360720.6660080329</v>
      </c>
      <c r="M37" s="51">
        <f t="shared" si="23"/>
        <v>3456516.8871640987</v>
      </c>
      <c r="N37" s="51">
        <f t="shared" si="23"/>
        <v>3694756.0608455935</v>
      </c>
      <c r="O37" s="51">
        <f t="shared" si="23"/>
        <v>3490607.766987469</v>
      </c>
      <c r="P37" s="51">
        <f t="shared" si="23"/>
        <v>3766470.6508279061</v>
      </c>
      <c r="Q37" s="51">
        <f t="shared" si="23"/>
        <v>3765573.5190351889</v>
      </c>
      <c r="R37" s="51">
        <f t="shared" si="23"/>
        <v>3819615.6616525617</v>
      </c>
    </row>
    <row r="38" spans="1:18" x14ac:dyDescent="0.25">
      <c r="A38" s="48"/>
      <c r="B38" s="49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</row>
    <row r="39" spans="1:18" x14ac:dyDescent="0.25">
      <c r="A39" s="41" t="s">
        <v>171</v>
      </c>
      <c r="B39" s="44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</row>
    <row r="40" spans="1:18" x14ac:dyDescent="0.25">
      <c r="A40" s="48" t="s">
        <v>159</v>
      </c>
      <c r="B40" s="49"/>
      <c r="C40" s="50">
        <f t="shared" ref="C40:R40" si="24">C81</f>
        <v>0</v>
      </c>
      <c r="D40" s="50">
        <f t="shared" si="24"/>
        <v>0</v>
      </c>
      <c r="E40" s="50">
        <f t="shared" si="24"/>
        <v>0</v>
      </c>
      <c r="F40" s="50">
        <f t="shared" si="24"/>
        <v>0</v>
      </c>
      <c r="G40" s="50">
        <f t="shared" si="24"/>
        <v>0</v>
      </c>
      <c r="H40" s="50">
        <f t="shared" si="24"/>
        <v>0</v>
      </c>
      <c r="I40" s="50">
        <f t="shared" si="24"/>
        <v>0</v>
      </c>
      <c r="J40" s="50">
        <f t="shared" si="24"/>
        <v>0</v>
      </c>
      <c r="K40" s="50">
        <f t="shared" si="24"/>
        <v>0</v>
      </c>
      <c r="L40" s="50">
        <f t="shared" si="24"/>
        <v>0</v>
      </c>
      <c r="M40" s="50">
        <f t="shared" si="24"/>
        <v>0</v>
      </c>
      <c r="N40" s="50">
        <f t="shared" si="24"/>
        <v>0</v>
      </c>
      <c r="O40" s="50">
        <f t="shared" si="24"/>
        <v>0</v>
      </c>
      <c r="P40" s="50">
        <f t="shared" si="24"/>
        <v>0</v>
      </c>
      <c r="Q40" s="50">
        <f t="shared" si="24"/>
        <v>0</v>
      </c>
      <c r="R40" s="50">
        <f t="shared" si="24"/>
        <v>0</v>
      </c>
    </row>
    <row r="41" spans="1:18" x14ac:dyDescent="0.25">
      <c r="A41" s="48" t="s">
        <v>160</v>
      </c>
      <c r="B41" s="49"/>
      <c r="C41" s="50">
        <f t="shared" ref="C41:R41" si="25">C138</f>
        <v>747850</v>
      </c>
      <c r="D41" s="50">
        <f t="shared" si="25"/>
        <v>922605</v>
      </c>
      <c r="E41" s="50">
        <f t="shared" si="25"/>
        <v>449926</v>
      </c>
      <c r="F41" s="50">
        <f t="shared" si="25"/>
        <v>833238.5</v>
      </c>
      <c r="G41" s="50">
        <f t="shared" si="25"/>
        <v>198184</v>
      </c>
      <c r="H41" s="50">
        <f t="shared" si="25"/>
        <v>617908</v>
      </c>
      <c r="I41" s="50">
        <f t="shared" si="25"/>
        <v>797407</v>
      </c>
      <c r="J41" s="50">
        <f t="shared" si="25"/>
        <v>879411.15999999992</v>
      </c>
      <c r="K41" s="50">
        <f t="shared" si="25"/>
        <v>763371.77184000006</v>
      </c>
      <c r="L41" s="50">
        <f t="shared" si="25"/>
        <v>864674.51359232003</v>
      </c>
      <c r="M41" s="50">
        <f t="shared" si="25"/>
        <v>830941.38489135099</v>
      </c>
      <c r="N41" s="50">
        <f t="shared" si="25"/>
        <v>911167.62474385207</v>
      </c>
      <c r="O41" s="50">
        <f t="shared" si="25"/>
        <v>855632.86536244838</v>
      </c>
      <c r="P41" s="50">
        <f t="shared" si="25"/>
        <v>885334.73699650948</v>
      </c>
      <c r="Q41" s="50">
        <f t="shared" si="25"/>
        <v>899881.37868442573</v>
      </c>
      <c r="R41" s="50">
        <f t="shared" si="25"/>
        <v>944657.13977285195</v>
      </c>
    </row>
    <row r="42" spans="1:18" x14ac:dyDescent="0.25">
      <c r="A42" s="41" t="s">
        <v>161</v>
      </c>
      <c r="B42" s="44"/>
      <c r="C42" s="50">
        <f t="shared" ref="C42:R42" si="26">C179</f>
        <v>48770</v>
      </c>
      <c r="D42" s="50">
        <f t="shared" si="26"/>
        <v>161687</v>
      </c>
      <c r="E42" s="50">
        <f t="shared" si="26"/>
        <v>112783</v>
      </c>
      <c r="F42" s="50">
        <f t="shared" si="26"/>
        <v>86525</v>
      </c>
      <c r="G42" s="50">
        <f t="shared" si="26"/>
        <v>41616</v>
      </c>
      <c r="H42" s="50">
        <f t="shared" si="26"/>
        <v>46387</v>
      </c>
      <c r="I42" s="50">
        <f t="shared" si="26"/>
        <v>103090</v>
      </c>
      <c r="J42" s="50">
        <f t="shared" si="26"/>
        <v>75504</v>
      </c>
      <c r="K42" s="50">
        <f t="shared" si="26"/>
        <v>112361</v>
      </c>
      <c r="L42" s="50">
        <f t="shared" si="26"/>
        <v>58925</v>
      </c>
      <c r="M42" s="50">
        <f t="shared" si="26"/>
        <v>121800</v>
      </c>
      <c r="N42" s="50">
        <f t="shared" si="26"/>
        <v>48628</v>
      </c>
      <c r="O42" s="50">
        <f t="shared" si="26"/>
        <v>48628</v>
      </c>
      <c r="P42" s="50">
        <f t="shared" si="26"/>
        <v>48628</v>
      </c>
      <c r="Q42" s="50">
        <f t="shared" si="26"/>
        <v>48628</v>
      </c>
      <c r="R42" s="50">
        <f t="shared" si="26"/>
        <v>48628</v>
      </c>
    </row>
    <row r="43" spans="1:18" x14ac:dyDescent="0.25">
      <c r="A43" s="41" t="s">
        <v>162</v>
      </c>
      <c r="B43" s="44"/>
      <c r="C43" s="50">
        <f t="shared" ref="C43:R43" si="27">C211</f>
        <v>1246779</v>
      </c>
      <c r="D43" s="50">
        <f t="shared" si="27"/>
        <v>1482366</v>
      </c>
      <c r="E43" s="50">
        <f t="shared" si="27"/>
        <v>1764701</v>
      </c>
      <c r="F43" s="50">
        <f t="shared" si="27"/>
        <v>897072</v>
      </c>
      <c r="G43" s="50">
        <f t="shared" si="27"/>
        <v>791792</v>
      </c>
      <c r="H43" s="50">
        <f t="shared" si="27"/>
        <v>1293256</v>
      </c>
      <c r="I43" s="50">
        <f t="shared" si="27"/>
        <v>1214155</v>
      </c>
      <c r="J43" s="50">
        <f t="shared" si="27"/>
        <v>1335132.76</v>
      </c>
      <c r="K43" s="50">
        <f t="shared" si="27"/>
        <v>1222837.46624</v>
      </c>
      <c r="L43" s="50">
        <f t="shared" si="27"/>
        <v>1195389.82596352</v>
      </c>
      <c r="M43" s="50">
        <f t="shared" si="27"/>
        <v>1273785.5361347175</v>
      </c>
      <c r="N43" s="50">
        <f t="shared" si="27"/>
        <v>1516459.509465816</v>
      </c>
      <c r="O43" s="50">
        <f t="shared" si="27"/>
        <v>1225152.9222024614</v>
      </c>
      <c r="P43" s="50">
        <f t="shared" si="27"/>
        <v>1495849.9202575227</v>
      </c>
      <c r="Q43" s="50">
        <f t="shared" si="27"/>
        <v>1445519.5663437033</v>
      </c>
      <c r="R43" s="50">
        <f t="shared" si="27"/>
        <v>1445667.6839359524</v>
      </c>
    </row>
    <row r="44" spans="1:18" x14ac:dyDescent="0.25">
      <c r="A44" s="41" t="s">
        <v>163</v>
      </c>
      <c r="B44" s="44"/>
      <c r="C44" s="50">
        <f t="shared" ref="C44:D44" si="28">C263</f>
        <v>1307666</v>
      </c>
      <c r="D44" s="50">
        <f t="shared" si="28"/>
        <v>1080843</v>
      </c>
      <c r="E44" s="50">
        <f>E263</f>
        <v>1120149</v>
      </c>
      <c r="F44" s="50">
        <f t="shared" ref="F44:R44" si="29">F263</f>
        <v>1048600</v>
      </c>
      <c r="G44" s="50">
        <f t="shared" si="29"/>
        <v>2922198.27</v>
      </c>
      <c r="H44" s="50">
        <f t="shared" si="29"/>
        <v>2353919.9569942858</v>
      </c>
      <c r="I44" s="50">
        <f t="shared" si="29"/>
        <v>1257752.6236609523</v>
      </c>
      <c r="J44" s="50">
        <f t="shared" si="29"/>
        <v>1187901.4636609524</v>
      </c>
      <c r="K44" s="50">
        <f t="shared" si="29"/>
        <v>1249484.1155009523</v>
      </c>
      <c r="L44" s="50">
        <f t="shared" si="29"/>
        <v>1268016.2939732724</v>
      </c>
      <c r="M44" s="50">
        <f t="shared" si="29"/>
        <v>1217026.1120883033</v>
      </c>
      <c r="N44" s="50">
        <f t="shared" si="29"/>
        <v>1293097.7851852844</v>
      </c>
      <c r="O44" s="50">
        <f t="shared" si="29"/>
        <v>1265505.3897951494</v>
      </c>
      <c r="P44" s="50">
        <f t="shared" si="29"/>
        <v>1332111.2135456367</v>
      </c>
      <c r="Q44" s="50">
        <f t="shared" si="29"/>
        <v>1360838.1417219378</v>
      </c>
      <c r="R44" s="50">
        <f t="shared" si="29"/>
        <v>1396064.0410393537</v>
      </c>
    </row>
    <row r="45" spans="1:18" x14ac:dyDescent="0.25">
      <c r="A45" s="41" t="s">
        <v>172</v>
      </c>
      <c r="B45" s="44"/>
      <c r="C45" s="51">
        <f t="shared" ref="C45:R45" si="30">SUM(C40:C44)</f>
        <v>3351065</v>
      </c>
      <c r="D45" s="51">
        <f t="shared" si="30"/>
        <v>3647501</v>
      </c>
      <c r="E45" s="51">
        <f t="shared" si="30"/>
        <v>3447559</v>
      </c>
      <c r="F45" s="51">
        <f t="shared" si="30"/>
        <v>2865435.5</v>
      </c>
      <c r="G45" s="51">
        <f t="shared" si="30"/>
        <v>3953790.27</v>
      </c>
      <c r="H45" s="51">
        <f t="shared" si="30"/>
        <v>4311470.9569942858</v>
      </c>
      <c r="I45" s="51">
        <f t="shared" si="30"/>
        <v>3372404.6236609523</v>
      </c>
      <c r="J45" s="51">
        <f t="shared" si="30"/>
        <v>3477949.3836609526</v>
      </c>
      <c r="K45" s="51">
        <f t="shared" si="30"/>
        <v>3348054.3535809526</v>
      </c>
      <c r="L45" s="51">
        <f t="shared" si="30"/>
        <v>3387005.6335291127</v>
      </c>
      <c r="M45" s="51">
        <f t="shared" si="30"/>
        <v>3443553.0331143718</v>
      </c>
      <c r="N45" s="51">
        <f t="shared" si="30"/>
        <v>3769352.9193949527</v>
      </c>
      <c r="O45" s="51">
        <f t="shared" si="30"/>
        <v>3394919.1773600597</v>
      </c>
      <c r="P45" s="51">
        <f t="shared" si="30"/>
        <v>3761923.8707996691</v>
      </c>
      <c r="Q45" s="51">
        <f t="shared" si="30"/>
        <v>3754867.0867500668</v>
      </c>
      <c r="R45" s="51">
        <f t="shared" si="30"/>
        <v>3835016.864748158</v>
      </c>
    </row>
    <row r="46" spans="1:18" x14ac:dyDescent="0.25">
      <c r="A46" s="48"/>
      <c r="B46" s="49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</row>
    <row r="47" spans="1:18" x14ac:dyDescent="0.25">
      <c r="A47" s="48" t="s">
        <v>173</v>
      </c>
      <c r="B47" s="49"/>
      <c r="C47" s="51">
        <f t="shared" ref="C47:R47" si="31">C37-C45</f>
        <v>-18167.580000000075</v>
      </c>
      <c r="D47" s="51">
        <f t="shared" si="31"/>
        <v>1122725</v>
      </c>
      <c r="E47" s="51">
        <f t="shared" si="31"/>
        <v>746238</v>
      </c>
      <c r="F47" s="51">
        <f t="shared" si="31"/>
        <v>1039190.5</v>
      </c>
      <c r="G47" s="51">
        <f t="shared" si="31"/>
        <v>-1064727.9100000001</v>
      </c>
      <c r="H47" s="51">
        <f t="shared" si="31"/>
        <v>-463394</v>
      </c>
      <c r="I47" s="51">
        <f t="shared" si="31"/>
        <v>-193841</v>
      </c>
      <c r="J47" s="51">
        <f t="shared" si="31"/>
        <v>-112805.12000000011</v>
      </c>
      <c r="K47" s="51">
        <f t="shared" si="31"/>
        <v>-54132.135160000063</v>
      </c>
      <c r="L47" s="51">
        <f t="shared" si="31"/>
        <v>-26284.967521079816</v>
      </c>
      <c r="M47" s="51">
        <f t="shared" si="31"/>
        <v>12963.854049726855</v>
      </c>
      <c r="N47" s="51">
        <f t="shared" si="31"/>
        <v>-74596.858549359255</v>
      </c>
      <c r="O47" s="51">
        <f t="shared" si="31"/>
        <v>95688.589627409354</v>
      </c>
      <c r="P47" s="51">
        <f t="shared" si="31"/>
        <v>4546.7800282370299</v>
      </c>
      <c r="Q47" s="51">
        <f t="shared" si="31"/>
        <v>10706.432285122108</v>
      </c>
      <c r="R47" s="51">
        <f t="shared" si="31"/>
        <v>-15401.203095596284</v>
      </c>
    </row>
    <row r="48" spans="1:18" x14ac:dyDescent="0.25">
      <c r="A48" s="48"/>
      <c r="B48" s="49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</row>
    <row r="49" spans="1:18" x14ac:dyDescent="0.25">
      <c r="A49" s="48" t="s">
        <v>174</v>
      </c>
      <c r="B49" s="49"/>
      <c r="C49" s="51">
        <f t="shared" ref="C49:G49" si="32">C47+C27</f>
        <v>362519.99000000022</v>
      </c>
      <c r="D49" s="51">
        <f t="shared" si="32"/>
        <v>1458359</v>
      </c>
      <c r="E49" s="51">
        <f t="shared" si="32"/>
        <v>4411287.2399999984</v>
      </c>
      <c r="F49" s="51">
        <f t="shared" si="32"/>
        <v>552672.6799999997</v>
      </c>
      <c r="G49" s="51">
        <f t="shared" si="32"/>
        <v>-1074606.9100000001</v>
      </c>
      <c r="H49" s="51">
        <f>H47+H27</f>
        <v>-108357.69576679915</v>
      </c>
      <c r="I49" s="51">
        <f t="shared" ref="I49:R49" si="33">I47+I27</f>
        <v>-171042.941078417</v>
      </c>
      <c r="J49" s="51">
        <f t="shared" si="33"/>
        <v>-103386.58177741524</v>
      </c>
      <c r="K49" s="51">
        <f t="shared" si="33"/>
        <v>-9785.984286361374</v>
      </c>
      <c r="L49" s="51">
        <f t="shared" si="33"/>
        <v>-154645.5318315858</v>
      </c>
      <c r="M49" s="51">
        <f t="shared" si="33"/>
        <v>-202402.65198309021</v>
      </c>
      <c r="N49" s="51">
        <f t="shared" si="33"/>
        <v>-397146.81051763427</v>
      </c>
      <c r="O49" s="51">
        <f t="shared" si="33"/>
        <v>-124966.28120853193</v>
      </c>
      <c r="P49" s="51">
        <f t="shared" si="33"/>
        <v>-262033.55404865555</v>
      </c>
      <c r="Q49" s="51">
        <f t="shared" si="33"/>
        <v>-432996.69346491667</v>
      </c>
      <c r="R49" s="51">
        <f t="shared" si="33"/>
        <v>-572439.66106326506</v>
      </c>
    </row>
    <row r="50" spans="1:18" x14ac:dyDescent="0.25">
      <c r="A50" s="48"/>
      <c r="B50" s="49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</row>
    <row r="51" spans="1:18" x14ac:dyDescent="0.25">
      <c r="A51" s="48" t="s">
        <v>159</v>
      </c>
      <c r="B51" s="49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</row>
    <row r="52" spans="1:18" x14ac:dyDescent="0.25">
      <c r="A52" s="48"/>
      <c r="B52" s="49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</row>
    <row r="53" spans="1:18" x14ac:dyDescent="0.25">
      <c r="A53" s="48" t="s">
        <v>157</v>
      </c>
      <c r="B53" s="49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</row>
    <row r="54" spans="1:18" x14ac:dyDescent="0.25">
      <c r="A54" s="48"/>
      <c r="B54" s="49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</row>
    <row r="55" spans="1:18" x14ac:dyDescent="0.25">
      <c r="A55" s="48" t="s">
        <v>158</v>
      </c>
      <c r="B55" s="49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</row>
    <row r="56" spans="1:18" x14ac:dyDescent="0.25">
      <c r="A56" s="41" t="s">
        <v>175</v>
      </c>
      <c r="B56" s="44"/>
      <c r="C56" s="50">
        <f t="shared" ref="C56:R56" si="34">C292</f>
        <v>311544</v>
      </c>
      <c r="D56" s="50">
        <f t="shared" si="34"/>
        <v>286624</v>
      </c>
      <c r="E56" s="50">
        <f t="shared" si="34"/>
        <v>321098.75</v>
      </c>
      <c r="F56" s="50">
        <f t="shared" si="34"/>
        <v>354885</v>
      </c>
      <c r="G56" s="50">
        <f t="shared" si="34"/>
        <v>352236</v>
      </c>
      <c r="H56" s="50">
        <f t="shared" si="34"/>
        <v>377000</v>
      </c>
      <c r="I56" s="50">
        <f t="shared" si="34"/>
        <v>385670.99999999994</v>
      </c>
      <c r="J56" s="50">
        <f t="shared" si="34"/>
        <v>394927.10400000011</v>
      </c>
      <c r="K56" s="50">
        <f t="shared" si="34"/>
        <v>404405.35449599993</v>
      </c>
      <c r="L56" s="50">
        <f t="shared" si="34"/>
        <v>413706.67764940794</v>
      </c>
      <c r="M56" s="50">
        <f t="shared" si="34"/>
        <v>422808.22455769486</v>
      </c>
      <c r="N56" s="50">
        <f t="shared" si="34"/>
        <v>432532.81372252188</v>
      </c>
      <c r="O56" s="50">
        <f t="shared" si="34"/>
        <v>443346.13406558486</v>
      </c>
      <c r="P56" s="50">
        <f t="shared" si="34"/>
        <v>454429.78741722455</v>
      </c>
      <c r="Q56" s="50">
        <f t="shared" si="34"/>
        <v>465336.10231523786</v>
      </c>
      <c r="R56" s="50">
        <f t="shared" si="34"/>
        <v>476504.16877080366</v>
      </c>
    </row>
    <row r="57" spans="1:18" x14ac:dyDescent="0.25">
      <c r="A57" s="41" t="s">
        <v>176</v>
      </c>
      <c r="B57" s="44"/>
      <c r="C57" s="50">
        <f t="shared" ref="C57:R57" si="35">C323</f>
        <v>82</v>
      </c>
      <c r="D57" s="50">
        <f t="shared" si="35"/>
        <v>0</v>
      </c>
      <c r="E57" s="50">
        <f t="shared" si="35"/>
        <v>0</v>
      </c>
      <c r="F57" s="50">
        <f t="shared" si="35"/>
        <v>0</v>
      </c>
      <c r="G57" s="50">
        <f t="shared" si="35"/>
        <v>0</v>
      </c>
      <c r="H57" s="50">
        <f t="shared" si="35"/>
        <v>200</v>
      </c>
      <c r="I57" s="50">
        <f t="shared" si="35"/>
        <v>204.6</v>
      </c>
      <c r="J57" s="50">
        <f t="shared" si="35"/>
        <v>209.5104</v>
      </c>
      <c r="K57" s="50">
        <f t="shared" si="35"/>
        <v>214.53864960000001</v>
      </c>
      <c r="L57" s="50">
        <f t="shared" si="35"/>
        <v>219.47303854079999</v>
      </c>
      <c r="M57" s="50">
        <f t="shared" si="35"/>
        <v>224.3014453886976</v>
      </c>
      <c r="N57" s="50">
        <f t="shared" si="35"/>
        <v>229.46037863263763</v>
      </c>
      <c r="O57" s="50">
        <f t="shared" si="35"/>
        <v>235.19688809845354</v>
      </c>
      <c r="P57" s="50">
        <f t="shared" si="35"/>
        <v>241.07681030091487</v>
      </c>
      <c r="Q57" s="50">
        <f t="shared" si="35"/>
        <v>246.86265374813684</v>
      </c>
      <c r="R57" s="50">
        <f t="shared" si="35"/>
        <v>252.78735743809213</v>
      </c>
    </row>
    <row r="58" spans="1:18" x14ac:dyDescent="0.25">
      <c r="A58" s="48" t="s">
        <v>177</v>
      </c>
      <c r="B58" s="49"/>
      <c r="C58" s="50">
        <f t="shared" ref="C58:F58" si="36">C345</f>
        <v>0</v>
      </c>
      <c r="D58" s="50">
        <f t="shared" si="36"/>
        <v>0</v>
      </c>
      <c r="E58" s="50">
        <f t="shared" si="36"/>
        <v>50000</v>
      </c>
      <c r="F58" s="50">
        <f t="shared" si="36"/>
        <v>4500</v>
      </c>
      <c r="G58" s="50">
        <f>G345</f>
        <v>20000</v>
      </c>
      <c r="H58" s="50">
        <f>H345</f>
        <v>5000</v>
      </c>
      <c r="I58" s="50">
        <f t="shared" ref="I58:R58" si="37">I345</f>
        <v>5115</v>
      </c>
      <c r="J58" s="50">
        <f t="shared" si="37"/>
        <v>5237.76</v>
      </c>
      <c r="K58" s="50">
        <f t="shared" si="37"/>
        <v>5363.4662400000007</v>
      </c>
      <c r="L58" s="50">
        <f t="shared" si="37"/>
        <v>5486.8259635200002</v>
      </c>
      <c r="M58" s="50">
        <f t="shared" si="37"/>
        <v>5607.5361347174403</v>
      </c>
      <c r="N58" s="50">
        <f t="shared" si="37"/>
        <v>5736.5094658159405</v>
      </c>
      <c r="O58" s="50">
        <f t="shared" si="37"/>
        <v>5879.9222024613382</v>
      </c>
      <c r="P58" s="50">
        <f t="shared" si="37"/>
        <v>6026.920257522871</v>
      </c>
      <c r="Q58" s="50">
        <f t="shared" si="37"/>
        <v>6171.56634370342</v>
      </c>
      <c r="R58" s="50">
        <f t="shared" si="37"/>
        <v>6319.6839359523019</v>
      </c>
    </row>
    <row r="59" spans="1:18" x14ac:dyDescent="0.25">
      <c r="A59" s="41" t="s">
        <v>164</v>
      </c>
      <c r="B59" s="44"/>
      <c r="C59" s="51">
        <f t="shared" ref="C59:R59" si="38">SUM(C56:C58)</f>
        <v>311626</v>
      </c>
      <c r="D59" s="51">
        <f t="shared" si="38"/>
        <v>286624</v>
      </c>
      <c r="E59" s="51">
        <f t="shared" si="38"/>
        <v>371098.75</v>
      </c>
      <c r="F59" s="51">
        <f t="shared" si="38"/>
        <v>359385</v>
      </c>
      <c r="G59" s="51">
        <f t="shared" si="38"/>
        <v>372236</v>
      </c>
      <c r="H59" s="51">
        <f t="shared" si="38"/>
        <v>382200</v>
      </c>
      <c r="I59" s="51">
        <f t="shared" si="38"/>
        <v>390990.59999999992</v>
      </c>
      <c r="J59" s="51">
        <f t="shared" si="38"/>
        <v>400374.37440000015</v>
      </c>
      <c r="K59" s="51">
        <f t="shared" si="38"/>
        <v>409983.35938559991</v>
      </c>
      <c r="L59" s="51">
        <f t="shared" si="38"/>
        <v>419412.97665146872</v>
      </c>
      <c r="M59" s="51">
        <f t="shared" si="38"/>
        <v>428640.06213780103</v>
      </c>
      <c r="N59" s="51">
        <f t="shared" si="38"/>
        <v>438498.78356697049</v>
      </c>
      <c r="O59" s="51">
        <f t="shared" si="38"/>
        <v>449461.25315614464</v>
      </c>
      <c r="P59" s="51">
        <f t="shared" si="38"/>
        <v>460697.78448504838</v>
      </c>
      <c r="Q59" s="51">
        <f t="shared" si="38"/>
        <v>471754.53131268942</v>
      </c>
      <c r="R59" s="51">
        <f t="shared" si="38"/>
        <v>483076.64006419404</v>
      </c>
    </row>
    <row r="60" spans="1:18" x14ac:dyDescent="0.25">
      <c r="A60" s="48"/>
      <c r="B60" s="49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</row>
    <row r="61" spans="1:18" x14ac:dyDescent="0.25">
      <c r="A61" s="41" t="s">
        <v>165</v>
      </c>
      <c r="B61" s="44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</row>
    <row r="62" spans="1:18" x14ac:dyDescent="0.25">
      <c r="A62" s="41" t="s">
        <v>175</v>
      </c>
      <c r="B62" s="44"/>
      <c r="C62" s="50">
        <f t="shared" ref="C62:R62" si="39">C312</f>
        <v>897212</v>
      </c>
      <c r="D62" s="50">
        <f t="shared" si="39"/>
        <v>913968</v>
      </c>
      <c r="E62" s="50">
        <f t="shared" si="39"/>
        <v>1185220.3900000001</v>
      </c>
      <c r="F62" s="50">
        <f t="shared" si="39"/>
        <v>1531112</v>
      </c>
      <c r="G62" s="50">
        <f t="shared" si="39"/>
        <v>1180280</v>
      </c>
      <c r="H62" s="50">
        <f t="shared" si="39"/>
        <v>1108070</v>
      </c>
      <c r="I62" s="50">
        <f t="shared" si="39"/>
        <v>1103941.7</v>
      </c>
      <c r="J62" s="50">
        <f t="shared" si="39"/>
        <v>1134122.5432999998</v>
      </c>
      <c r="K62" s="50">
        <f t="shared" si="39"/>
        <v>1166169.0688366999</v>
      </c>
      <c r="L62" s="50">
        <f t="shared" si="39"/>
        <v>1199539.8870441187</v>
      </c>
      <c r="M62" s="50">
        <f t="shared" si="39"/>
        <v>1234005.1671208623</v>
      </c>
      <c r="N62" s="50">
        <f t="shared" si="39"/>
        <v>1266542.4396552667</v>
      </c>
      <c r="O62" s="50">
        <f t="shared" si="39"/>
        <v>1303123.4554479918</v>
      </c>
      <c r="P62" s="50">
        <f t="shared" si="39"/>
        <v>1343761.1010048883</v>
      </c>
      <c r="Q62" s="50">
        <f t="shared" si="39"/>
        <v>1383266.6070762284</v>
      </c>
      <c r="R62" s="50">
        <f t="shared" si="39"/>
        <v>1424142.9960812861</v>
      </c>
    </row>
    <row r="63" spans="1:18" x14ac:dyDescent="0.25">
      <c r="A63" s="41" t="s">
        <v>176</v>
      </c>
      <c r="B63" s="44"/>
      <c r="C63" s="50">
        <f t="shared" ref="C63:R63" si="40">C332</f>
        <v>44671</v>
      </c>
      <c r="D63" s="50">
        <f t="shared" si="40"/>
        <v>44363</v>
      </c>
      <c r="E63" s="50">
        <f t="shared" si="40"/>
        <v>42627.7</v>
      </c>
      <c r="F63" s="50">
        <f t="shared" si="40"/>
        <v>45485</v>
      </c>
      <c r="G63" s="50">
        <f t="shared" si="40"/>
        <v>49386</v>
      </c>
      <c r="H63" s="50">
        <f t="shared" si="40"/>
        <v>48400</v>
      </c>
      <c r="I63" s="50">
        <f t="shared" si="40"/>
        <v>49535.4</v>
      </c>
      <c r="J63" s="50">
        <f t="shared" si="40"/>
        <v>50781.1371</v>
      </c>
      <c r="K63" s="50">
        <f t="shared" si="40"/>
        <v>52081.836522899997</v>
      </c>
      <c r="L63" s="50">
        <f t="shared" si="40"/>
        <v>53400.422546651695</v>
      </c>
      <c r="M63" s="50">
        <f t="shared" si="40"/>
        <v>54699.918851265968</v>
      </c>
      <c r="N63" s="50">
        <f t="shared" si="40"/>
        <v>56048.090879848998</v>
      </c>
      <c r="O63" s="50">
        <f t="shared" si="40"/>
        <v>57542.069263699246</v>
      </c>
      <c r="P63" s="50">
        <f t="shared" si="40"/>
        <v>59103.721641991768</v>
      </c>
      <c r="Q63" s="50">
        <f t="shared" si="40"/>
        <v>60663.639926608281</v>
      </c>
      <c r="R63" s="50">
        <f t="shared" si="40"/>
        <v>62265.804834872695</v>
      </c>
    </row>
    <row r="64" spans="1:18" x14ac:dyDescent="0.25">
      <c r="A64" s="48" t="s">
        <v>177</v>
      </c>
      <c r="B64" s="44"/>
      <c r="C64" s="50">
        <f t="shared" ref="C64:R64" si="41">C364</f>
        <v>38437</v>
      </c>
      <c r="D64" s="50">
        <f t="shared" si="41"/>
        <v>152336</v>
      </c>
      <c r="E64" s="50">
        <f t="shared" si="41"/>
        <v>46443.81</v>
      </c>
      <c r="F64" s="50">
        <f t="shared" si="41"/>
        <v>28479</v>
      </c>
      <c r="G64" s="50">
        <f t="shared" si="41"/>
        <v>37016</v>
      </c>
      <c r="H64" s="50">
        <f t="shared" si="41"/>
        <v>154270</v>
      </c>
      <c r="I64" s="50">
        <f t="shared" si="41"/>
        <v>35084.699999999997</v>
      </c>
      <c r="J64" s="50">
        <f t="shared" si="41"/>
        <v>36035.49029999999</v>
      </c>
      <c r="K64" s="50">
        <f t="shared" si="41"/>
        <v>37149.390169699989</v>
      </c>
      <c r="L64" s="50">
        <f t="shared" si="41"/>
        <v>38265.417677428086</v>
      </c>
      <c r="M64" s="50">
        <f t="shared" si="41"/>
        <v>85509.679670772719</v>
      </c>
      <c r="N64" s="50">
        <f t="shared" si="41"/>
        <v>40553.326537128851</v>
      </c>
      <c r="O64" s="50">
        <f t="shared" si="41"/>
        <v>41757.073861503261</v>
      </c>
      <c r="P64" s="50">
        <f t="shared" si="41"/>
        <v>43213.857669022007</v>
      </c>
      <c r="Q64" s="50">
        <f t="shared" si="41"/>
        <v>44505.664250472466</v>
      </c>
      <c r="R64" s="50">
        <f t="shared" si="41"/>
        <v>97891.240785789123</v>
      </c>
    </row>
    <row r="65" spans="1:18" x14ac:dyDescent="0.25">
      <c r="A65" s="41" t="s">
        <v>166</v>
      </c>
      <c r="B65" s="44"/>
      <c r="C65" s="51">
        <f t="shared" ref="C65:R65" si="42">SUM(C62:C64)</f>
        <v>980320</v>
      </c>
      <c r="D65" s="51">
        <f t="shared" si="42"/>
        <v>1110667</v>
      </c>
      <c r="E65" s="51">
        <f t="shared" si="42"/>
        <v>1274291.9000000001</v>
      </c>
      <c r="F65" s="51">
        <f t="shared" si="42"/>
        <v>1605076</v>
      </c>
      <c r="G65" s="51">
        <f t="shared" si="42"/>
        <v>1266682</v>
      </c>
      <c r="H65" s="51">
        <f t="shared" si="42"/>
        <v>1310740</v>
      </c>
      <c r="I65" s="51">
        <f t="shared" si="42"/>
        <v>1188561.7999999998</v>
      </c>
      <c r="J65" s="51">
        <f t="shared" si="42"/>
        <v>1220939.1706999997</v>
      </c>
      <c r="K65" s="51">
        <f t="shared" si="42"/>
        <v>1255400.2955292999</v>
      </c>
      <c r="L65" s="51">
        <f t="shared" si="42"/>
        <v>1291205.7272681985</v>
      </c>
      <c r="M65" s="51">
        <f t="shared" si="42"/>
        <v>1374214.765642901</v>
      </c>
      <c r="N65" s="51">
        <f t="shared" si="42"/>
        <v>1363143.8570722444</v>
      </c>
      <c r="O65" s="51">
        <f t="shared" si="42"/>
        <v>1402422.5985731944</v>
      </c>
      <c r="P65" s="51">
        <f t="shared" si="42"/>
        <v>1446078.680315902</v>
      </c>
      <c r="Q65" s="51">
        <f t="shared" si="42"/>
        <v>1488435.9112533091</v>
      </c>
      <c r="R65" s="51">
        <f t="shared" si="42"/>
        <v>1584300.041701948</v>
      </c>
    </row>
    <row r="66" spans="1:18" x14ac:dyDescent="0.25">
      <c r="A66" s="48"/>
      <c r="B66" s="49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</row>
    <row r="67" spans="1:18" x14ac:dyDescent="0.25">
      <c r="A67" s="48" t="s">
        <v>167</v>
      </c>
      <c r="B67" s="49"/>
      <c r="C67" s="51">
        <f t="shared" ref="C67:R67" si="43">C59-C65</f>
        <v>-668694</v>
      </c>
      <c r="D67" s="51">
        <f t="shared" si="43"/>
        <v>-824043</v>
      </c>
      <c r="E67" s="51">
        <f t="shared" si="43"/>
        <v>-903193.15000000014</v>
      </c>
      <c r="F67" s="51">
        <f t="shared" si="43"/>
        <v>-1245691</v>
      </c>
      <c r="G67" s="51">
        <f t="shared" si="43"/>
        <v>-894446</v>
      </c>
      <c r="H67" s="51">
        <f t="shared" si="43"/>
        <v>-928540</v>
      </c>
      <c r="I67" s="51">
        <f t="shared" si="43"/>
        <v>-797571.2</v>
      </c>
      <c r="J67" s="51">
        <f t="shared" si="43"/>
        <v>-820564.79629999958</v>
      </c>
      <c r="K67" s="51">
        <f t="shared" si="43"/>
        <v>-845416.93614370003</v>
      </c>
      <c r="L67" s="51">
        <f t="shared" si="43"/>
        <v>-871792.75061672973</v>
      </c>
      <c r="M67" s="51">
        <f t="shared" si="43"/>
        <v>-945574.70350509998</v>
      </c>
      <c r="N67" s="51">
        <f t="shared" si="43"/>
        <v>-924645.0735052739</v>
      </c>
      <c r="O67" s="51">
        <f t="shared" si="43"/>
        <v>-952961.34541704971</v>
      </c>
      <c r="P67" s="51">
        <f t="shared" si="43"/>
        <v>-985380.89583085361</v>
      </c>
      <c r="Q67" s="51">
        <f t="shared" si="43"/>
        <v>-1016681.3799406197</v>
      </c>
      <c r="R67" s="51">
        <f t="shared" si="43"/>
        <v>-1101223.4016377539</v>
      </c>
    </row>
    <row r="68" spans="1:18" x14ac:dyDescent="0.25">
      <c r="A68" s="48"/>
      <c r="B68" s="49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</row>
    <row r="69" spans="1:18" x14ac:dyDescent="0.25">
      <c r="A69" s="48" t="s">
        <v>168</v>
      </c>
      <c r="B69" s="49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</row>
    <row r="70" spans="1:18" x14ac:dyDescent="0.25">
      <c r="A70" s="48"/>
      <c r="B70" s="49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</row>
    <row r="71" spans="1:18" x14ac:dyDescent="0.25">
      <c r="A71" s="48" t="s">
        <v>169</v>
      </c>
      <c r="B71" s="49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</row>
    <row r="72" spans="1:18" x14ac:dyDescent="0.25">
      <c r="A72" s="41" t="s">
        <v>175</v>
      </c>
      <c r="B72" s="44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</row>
    <row r="73" spans="1:18" x14ac:dyDescent="0.25">
      <c r="A73" s="41" t="s">
        <v>176</v>
      </c>
      <c r="B73" s="44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</row>
    <row r="74" spans="1:18" x14ac:dyDescent="0.25">
      <c r="A74" s="48" t="s">
        <v>177</v>
      </c>
      <c r="B74" s="44"/>
      <c r="C74" s="50">
        <f>C371</f>
        <v>10735</v>
      </c>
      <c r="D74" s="50">
        <f t="shared" ref="D74:R74" si="44">D371</f>
        <v>148804</v>
      </c>
      <c r="E74" s="50">
        <f t="shared" si="44"/>
        <v>12176</v>
      </c>
      <c r="F74" s="50">
        <f t="shared" si="44"/>
        <v>0</v>
      </c>
      <c r="G74" s="50">
        <f t="shared" si="44"/>
        <v>0</v>
      </c>
      <c r="H74" s="50">
        <f t="shared" si="44"/>
        <v>0</v>
      </c>
      <c r="I74" s="50">
        <f t="shared" si="44"/>
        <v>0</v>
      </c>
      <c r="J74" s="50">
        <f t="shared" si="44"/>
        <v>0</v>
      </c>
      <c r="K74" s="50">
        <f t="shared" si="44"/>
        <v>0</v>
      </c>
      <c r="L74" s="50">
        <f t="shared" si="44"/>
        <v>0</v>
      </c>
      <c r="M74" s="50">
        <f t="shared" si="44"/>
        <v>0</v>
      </c>
      <c r="N74" s="50">
        <f t="shared" si="44"/>
        <v>0</v>
      </c>
      <c r="O74" s="50">
        <f t="shared" si="44"/>
        <v>0</v>
      </c>
      <c r="P74" s="50">
        <f t="shared" si="44"/>
        <v>0</v>
      </c>
      <c r="Q74" s="50">
        <f t="shared" si="44"/>
        <v>0</v>
      </c>
      <c r="R74" s="50">
        <f t="shared" si="44"/>
        <v>0</v>
      </c>
    </row>
    <row r="75" spans="1:18" x14ac:dyDescent="0.25">
      <c r="A75" s="41" t="s">
        <v>170</v>
      </c>
      <c r="B75" s="44"/>
      <c r="C75" s="51">
        <f t="shared" ref="C75:R75" si="45">SUM(C72:C74)</f>
        <v>10735</v>
      </c>
      <c r="D75" s="51">
        <f t="shared" si="45"/>
        <v>148804</v>
      </c>
      <c r="E75" s="51">
        <f t="shared" si="45"/>
        <v>12176</v>
      </c>
      <c r="F75" s="51">
        <f t="shared" si="45"/>
        <v>0</v>
      </c>
      <c r="G75" s="51">
        <f t="shared" si="45"/>
        <v>0</v>
      </c>
      <c r="H75" s="51">
        <f t="shared" si="45"/>
        <v>0</v>
      </c>
      <c r="I75" s="51">
        <f t="shared" si="45"/>
        <v>0</v>
      </c>
      <c r="J75" s="51">
        <f t="shared" si="45"/>
        <v>0</v>
      </c>
      <c r="K75" s="51">
        <f t="shared" si="45"/>
        <v>0</v>
      </c>
      <c r="L75" s="51">
        <f t="shared" si="45"/>
        <v>0</v>
      </c>
      <c r="M75" s="51">
        <f t="shared" si="45"/>
        <v>0</v>
      </c>
      <c r="N75" s="51">
        <f t="shared" si="45"/>
        <v>0</v>
      </c>
      <c r="O75" s="51">
        <f t="shared" si="45"/>
        <v>0</v>
      </c>
      <c r="P75" s="51">
        <f t="shared" si="45"/>
        <v>0</v>
      </c>
      <c r="Q75" s="51">
        <f t="shared" si="45"/>
        <v>0</v>
      </c>
      <c r="R75" s="51">
        <f t="shared" si="45"/>
        <v>0</v>
      </c>
    </row>
    <row r="76" spans="1:18" x14ac:dyDescent="0.25">
      <c r="A76" s="48"/>
      <c r="B76" s="49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</row>
    <row r="77" spans="1:18" x14ac:dyDescent="0.25">
      <c r="A77" s="41" t="s">
        <v>171</v>
      </c>
      <c r="B77" s="44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</row>
    <row r="78" spans="1:18" x14ac:dyDescent="0.25">
      <c r="A78" s="41" t="s">
        <v>175</v>
      </c>
      <c r="B78" s="44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</row>
    <row r="79" spans="1:18" x14ac:dyDescent="0.25">
      <c r="A79" s="41" t="s">
        <v>176</v>
      </c>
      <c r="B79" s="44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</row>
    <row r="80" spans="1:18" x14ac:dyDescent="0.25">
      <c r="A80" s="48" t="s">
        <v>177</v>
      </c>
      <c r="B80" s="49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</row>
    <row r="81" spans="1:18" x14ac:dyDescent="0.25">
      <c r="A81" s="41" t="s">
        <v>172</v>
      </c>
      <c r="B81" s="44"/>
      <c r="C81" s="51">
        <f t="shared" ref="C81:R81" si="46">SUM(C78:C80)</f>
        <v>0</v>
      </c>
      <c r="D81" s="51">
        <f t="shared" si="46"/>
        <v>0</v>
      </c>
      <c r="E81" s="51">
        <f t="shared" si="46"/>
        <v>0</v>
      </c>
      <c r="F81" s="51">
        <f t="shared" si="46"/>
        <v>0</v>
      </c>
      <c r="G81" s="51">
        <f t="shared" si="46"/>
        <v>0</v>
      </c>
      <c r="H81" s="51">
        <f t="shared" si="46"/>
        <v>0</v>
      </c>
      <c r="I81" s="51">
        <f t="shared" si="46"/>
        <v>0</v>
      </c>
      <c r="J81" s="51">
        <f t="shared" si="46"/>
        <v>0</v>
      </c>
      <c r="K81" s="51">
        <f t="shared" si="46"/>
        <v>0</v>
      </c>
      <c r="L81" s="51">
        <f t="shared" si="46"/>
        <v>0</v>
      </c>
      <c r="M81" s="51">
        <f t="shared" si="46"/>
        <v>0</v>
      </c>
      <c r="N81" s="51">
        <f t="shared" si="46"/>
        <v>0</v>
      </c>
      <c r="O81" s="51">
        <f t="shared" si="46"/>
        <v>0</v>
      </c>
      <c r="P81" s="51">
        <f t="shared" si="46"/>
        <v>0</v>
      </c>
      <c r="Q81" s="51">
        <f t="shared" si="46"/>
        <v>0</v>
      </c>
      <c r="R81" s="51">
        <f t="shared" si="46"/>
        <v>0</v>
      </c>
    </row>
    <row r="82" spans="1:18" x14ac:dyDescent="0.25">
      <c r="A82" s="48"/>
      <c r="B82" s="49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</row>
    <row r="83" spans="1:18" x14ac:dyDescent="0.25">
      <c r="A83" s="48" t="s">
        <v>173</v>
      </c>
      <c r="B83" s="49"/>
      <c r="C83" s="51">
        <f t="shared" ref="C83:R83" si="47">C75-C81</f>
        <v>10735</v>
      </c>
      <c r="D83" s="51">
        <f t="shared" si="47"/>
        <v>148804</v>
      </c>
      <c r="E83" s="51">
        <f t="shared" si="47"/>
        <v>12176</v>
      </c>
      <c r="F83" s="51">
        <f t="shared" si="47"/>
        <v>0</v>
      </c>
      <c r="G83" s="51">
        <f t="shared" si="47"/>
        <v>0</v>
      </c>
      <c r="H83" s="51">
        <f t="shared" si="47"/>
        <v>0</v>
      </c>
      <c r="I83" s="51">
        <f t="shared" si="47"/>
        <v>0</v>
      </c>
      <c r="J83" s="51">
        <f t="shared" si="47"/>
        <v>0</v>
      </c>
      <c r="K83" s="51">
        <f t="shared" si="47"/>
        <v>0</v>
      </c>
      <c r="L83" s="51">
        <f t="shared" si="47"/>
        <v>0</v>
      </c>
      <c r="M83" s="51">
        <f t="shared" si="47"/>
        <v>0</v>
      </c>
      <c r="N83" s="51">
        <f t="shared" si="47"/>
        <v>0</v>
      </c>
      <c r="O83" s="51">
        <f t="shared" si="47"/>
        <v>0</v>
      </c>
      <c r="P83" s="51">
        <f t="shared" si="47"/>
        <v>0</v>
      </c>
      <c r="Q83" s="51">
        <f t="shared" si="47"/>
        <v>0</v>
      </c>
      <c r="R83" s="51">
        <f t="shared" si="47"/>
        <v>0</v>
      </c>
    </row>
    <row r="84" spans="1:18" x14ac:dyDescent="0.25">
      <c r="A84" s="48"/>
      <c r="B84" s="49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</row>
    <row r="85" spans="1:18" x14ac:dyDescent="0.25">
      <c r="A85" s="48" t="s">
        <v>178</v>
      </c>
      <c r="B85" s="49"/>
      <c r="C85" s="51">
        <f t="shared" ref="C85:R85" si="48">C83+C67</f>
        <v>-657959</v>
      </c>
      <c r="D85" s="51">
        <f t="shared" si="48"/>
        <v>-675239</v>
      </c>
      <c r="E85" s="51">
        <f t="shared" si="48"/>
        <v>-891017.15000000014</v>
      </c>
      <c r="F85" s="51">
        <f t="shared" si="48"/>
        <v>-1245691</v>
      </c>
      <c r="G85" s="51">
        <f t="shared" si="48"/>
        <v>-894446</v>
      </c>
      <c r="H85" s="51">
        <f t="shared" si="48"/>
        <v>-928540</v>
      </c>
      <c r="I85" s="51">
        <f t="shared" si="48"/>
        <v>-797571.2</v>
      </c>
      <c r="J85" s="51">
        <f t="shared" si="48"/>
        <v>-820564.79629999958</v>
      </c>
      <c r="K85" s="51">
        <f t="shared" si="48"/>
        <v>-845416.93614370003</v>
      </c>
      <c r="L85" s="51">
        <f t="shared" si="48"/>
        <v>-871792.75061672973</v>
      </c>
      <c r="M85" s="51">
        <f t="shared" si="48"/>
        <v>-945574.70350509998</v>
      </c>
      <c r="N85" s="51">
        <f t="shared" si="48"/>
        <v>-924645.0735052739</v>
      </c>
      <c r="O85" s="51">
        <f t="shared" si="48"/>
        <v>-952961.34541704971</v>
      </c>
      <c r="P85" s="51">
        <f t="shared" si="48"/>
        <v>-985380.89583085361</v>
      </c>
      <c r="Q85" s="51">
        <f t="shared" si="48"/>
        <v>-1016681.3799406197</v>
      </c>
      <c r="R85" s="51">
        <f t="shared" si="48"/>
        <v>-1101223.4016377539</v>
      </c>
    </row>
    <row r="86" spans="1:18" x14ac:dyDescent="0.25">
      <c r="A86" s="48"/>
      <c r="B86" s="49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</row>
    <row r="87" spans="1:18" x14ac:dyDescent="0.25">
      <c r="A87" s="48"/>
      <c r="B87" s="49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</row>
    <row r="88" spans="1:18" x14ac:dyDescent="0.25">
      <c r="A88" s="48" t="s">
        <v>160</v>
      </c>
      <c r="B88" s="49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</row>
    <row r="89" spans="1:18" x14ac:dyDescent="0.25">
      <c r="A89" s="48"/>
      <c r="B89" s="49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</row>
    <row r="90" spans="1:18" x14ac:dyDescent="0.25">
      <c r="A90" s="48" t="s">
        <v>157</v>
      </c>
      <c r="B90" s="49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</row>
    <row r="91" spans="1:18" x14ac:dyDescent="0.25">
      <c r="A91" s="48"/>
      <c r="B91" s="49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</row>
    <row r="92" spans="1:18" x14ac:dyDescent="0.25">
      <c r="A92" s="48" t="s">
        <v>158</v>
      </c>
      <c r="B92" s="49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</row>
    <row r="93" spans="1:18" x14ac:dyDescent="0.25">
      <c r="A93" s="41" t="s">
        <v>179</v>
      </c>
      <c r="B93" s="44"/>
      <c r="C93" s="50">
        <f t="shared" ref="C93:R93" si="49">C399</f>
        <v>216456</v>
      </c>
      <c r="D93" s="50">
        <f t="shared" si="49"/>
        <v>203680</v>
      </c>
      <c r="E93" s="50">
        <f t="shared" si="49"/>
        <v>203946.03</v>
      </c>
      <c r="F93" s="50">
        <f t="shared" si="49"/>
        <v>233417</v>
      </c>
      <c r="G93" s="50">
        <f t="shared" si="49"/>
        <v>204575</v>
      </c>
      <c r="H93" s="50">
        <f t="shared" si="49"/>
        <v>243873</v>
      </c>
      <c r="I93" s="50">
        <f t="shared" si="49"/>
        <v>229276</v>
      </c>
      <c r="J93" s="50">
        <f t="shared" si="49"/>
        <v>255086.62400000001</v>
      </c>
      <c r="K93" s="50">
        <f t="shared" si="49"/>
        <v>240481.10297600002</v>
      </c>
      <c r="L93" s="50">
        <f t="shared" si="49"/>
        <v>267146.93834444799</v>
      </c>
      <c r="M93" s="50">
        <f t="shared" si="49"/>
        <v>251401.39098802584</v>
      </c>
      <c r="N93" s="50">
        <f t="shared" si="49"/>
        <v>279263.21298075037</v>
      </c>
      <c r="O93" s="50">
        <f t="shared" si="49"/>
        <v>263732.04330526915</v>
      </c>
      <c r="P93" s="50">
        <f t="shared" si="49"/>
        <v>292521.5943879009</v>
      </c>
      <c r="Q93" s="50">
        <f t="shared" si="49"/>
        <v>276782.27265321056</v>
      </c>
      <c r="R93" s="50">
        <f t="shared" si="49"/>
        <v>306808.88719688752</v>
      </c>
    </row>
    <row r="94" spans="1:18" x14ac:dyDescent="0.25">
      <c r="A94" s="41" t="s">
        <v>180</v>
      </c>
      <c r="B94" s="44"/>
      <c r="C94" s="50">
        <f t="shared" ref="C94:R94" si="50">C454</f>
        <v>137188</v>
      </c>
      <c r="D94" s="50">
        <f t="shared" si="50"/>
        <v>140570</v>
      </c>
      <c r="E94" s="50">
        <f t="shared" si="50"/>
        <v>152402.04</v>
      </c>
      <c r="F94" s="50">
        <f t="shared" si="50"/>
        <v>147639</v>
      </c>
      <c r="G94" s="50">
        <f t="shared" si="50"/>
        <v>150959</v>
      </c>
      <c r="H94" s="50">
        <f t="shared" si="50"/>
        <v>95100</v>
      </c>
      <c r="I94" s="50">
        <f t="shared" si="50"/>
        <v>97287.299999999988</v>
      </c>
      <c r="J94" s="50">
        <f t="shared" si="50"/>
        <v>99622.195200000002</v>
      </c>
      <c r="K94" s="50">
        <f t="shared" si="50"/>
        <v>102013.12788480001</v>
      </c>
      <c r="L94" s="50">
        <f t="shared" si="50"/>
        <v>104359.42982615039</v>
      </c>
      <c r="M94" s="50">
        <f t="shared" si="50"/>
        <v>106655.33728232571</v>
      </c>
      <c r="N94" s="50">
        <f t="shared" si="50"/>
        <v>109108.41003981918</v>
      </c>
      <c r="O94" s="50">
        <f t="shared" si="50"/>
        <v>111836.12029081467</v>
      </c>
      <c r="P94" s="50">
        <f t="shared" si="50"/>
        <v>114632.02329808503</v>
      </c>
      <c r="Q94" s="50">
        <f t="shared" si="50"/>
        <v>117383.19185723907</v>
      </c>
      <c r="R94" s="50">
        <f t="shared" si="50"/>
        <v>120200.38846181279</v>
      </c>
    </row>
    <row r="95" spans="1:18" x14ac:dyDescent="0.25">
      <c r="A95" s="41" t="s">
        <v>181</v>
      </c>
      <c r="B95" s="44"/>
      <c r="C95" s="50">
        <f t="shared" ref="C95:R95" si="51">C555</f>
        <v>3389</v>
      </c>
      <c r="D95" s="50">
        <f t="shared" si="51"/>
        <v>1417</v>
      </c>
      <c r="E95" s="50">
        <f t="shared" si="51"/>
        <v>2930</v>
      </c>
      <c r="F95" s="50">
        <f t="shared" si="51"/>
        <v>2394</v>
      </c>
      <c r="G95" s="50">
        <f t="shared" si="51"/>
        <v>1425</v>
      </c>
      <c r="H95" s="50">
        <f t="shared" si="51"/>
        <v>1400</v>
      </c>
      <c r="I95" s="50">
        <f t="shared" si="51"/>
        <v>1432.1999999999998</v>
      </c>
      <c r="J95" s="50">
        <f t="shared" si="51"/>
        <v>1466.5727999999999</v>
      </c>
      <c r="K95" s="50">
        <f t="shared" si="51"/>
        <v>1501.7705472</v>
      </c>
      <c r="L95" s="50">
        <f t="shared" si="51"/>
        <v>1536.3112697856</v>
      </c>
      <c r="M95" s="50">
        <f t="shared" si="51"/>
        <v>1570.1101177208832</v>
      </c>
      <c r="N95" s="50">
        <f t="shared" si="51"/>
        <v>1606.2226504284633</v>
      </c>
      <c r="O95" s="50">
        <f t="shared" si="51"/>
        <v>1646.3782166891747</v>
      </c>
      <c r="P95" s="50">
        <f t="shared" si="51"/>
        <v>1687.537672106404</v>
      </c>
      <c r="Q95" s="50">
        <f t="shared" si="51"/>
        <v>1728.0385762369576</v>
      </c>
      <c r="R95" s="50">
        <f t="shared" si="51"/>
        <v>1769.5115020666447</v>
      </c>
    </row>
    <row r="96" spans="1:18" x14ac:dyDescent="0.25">
      <c r="A96" s="41" t="s">
        <v>182</v>
      </c>
      <c r="B96" s="44"/>
      <c r="C96" s="50">
        <f t="shared" ref="C96:R96" si="52">C599</f>
        <v>71817</v>
      </c>
      <c r="D96" s="50">
        <f t="shared" si="52"/>
        <v>79216</v>
      </c>
      <c r="E96" s="50">
        <f t="shared" si="52"/>
        <v>74646</v>
      </c>
      <c r="F96" s="50">
        <f t="shared" si="52"/>
        <v>124750</v>
      </c>
      <c r="G96" s="50">
        <f t="shared" si="52"/>
        <v>121161</v>
      </c>
      <c r="H96" s="50">
        <f t="shared" si="52"/>
        <v>123880</v>
      </c>
      <c r="I96" s="50">
        <f t="shared" si="52"/>
        <v>126738.19999999998</v>
      </c>
      <c r="J96" s="50">
        <f t="shared" si="52"/>
        <v>129867.91679999998</v>
      </c>
      <c r="K96" s="50">
        <f t="shared" si="52"/>
        <v>132990.34680319999</v>
      </c>
      <c r="L96" s="50">
        <f t="shared" si="52"/>
        <v>135994.86477967357</v>
      </c>
      <c r="M96" s="50">
        <f t="shared" si="52"/>
        <v>138933.99180482639</v>
      </c>
      <c r="N96" s="50">
        <f t="shared" si="52"/>
        <v>142197.05361633739</v>
      </c>
      <c r="O96" s="50">
        <f t="shared" si="52"/>
        <v>145816.47995674581</v>
      </c>
      <c r="P96" s="50">
        <f t="shared" si="52"/>
        <v>149464.39195566444</v>
      </c>
      <c r="Q96" s="50">
        <f t="shared" si="52"/>
        <v>152994.25736260039</v>
      </c>
      <c r="R96" s="50">
        <f t="shared" si="52"/>
        <v>156649.7995393028</v>
      </c>
    </row>
    <row r="97" spans="1:18" x14ac:dyDescent="0.25">
      <c r="A97" s="41" t="s">
        <v>183</v>
      </c>
      <c r="B97" s="44"/>
      <c r="C97" s="50">
        <f t="shared" ref="C97:R97" si="53">C679</f>
        <v>45740</v>
      </c>
      <c r="D97" s="50">
        <f t="shared" si="53"/>
        <v>46958</v>
      </c>
      <c r="E97" s="50">
        <f t="shared" si="53"/>
        <v>47324</v>
      </c>
      <c r="F97" s="50">
        <f t="shared" si="53"/>
        <v>47768</v>
      </c>
      <c r="G97" s="50">
        <f t="shared" si="53"/>
        <v>47957</v>
      </c>
      <c r="H97" s="50">
        <f t="shared" si="53"/>
        <v>50400</v>
      </c>
      <c r="I97" s="50">
        <f t="shared" si="53"/>
        <v>44835</v>
      </c>
      <c r="J97" s="50">
        <f t="shared" si="53"/>
        <v>45911.040000000001</v>
      </c>
      <c r="K97" s="50">
        <f t="shared" si="53"/>
        <v>47012.904960000007</v>
      </c>
      <c r="L97" s="50">
        <f t="shared" si="53"/>
        <v>48094.20177408</v>
      </c>
      <c r="M97" s="50">
        <f t="shared" si="53"/>
        <v>49152.274213109755</v>
      </c>
      <c r="N97" s="50">
        <f t="shared" si="53"/>
        <v>50282.776520011277</v>
      </c>
      <c r="O97" s="50">
        <f t="shared" si="53"/>
        <v>51539.845933011551</v>
      </c>
      <c r="P97" s="50">
        <f t="shared" si="53"/>
        <v>52828.342081336836</v>
      </c>
      <c r="Q97" s="50">
        <f t="shared" si="53"/>
        <v>54096.222291288919</v>
      </c>
      <c r="R97" s="50">
        <f t="shared" si="53"/>
        <v>55394.531626279851</v>
      </c>
    </row>
    <row r="98" spans="1:18" x14ac:dyDescent="0.25">
      <c r="A98" s="41" t="s">
        <v>184</v>
      </c>
      <c r="B98" s="44"/>
      <c r="C98" s="50">
        <f t="shared" ref="C98:R98" si="54">C717</f>
        <v>421635</v>
      </c>
      <c r="D98" s="50">
        <f t="shared" si="54"/>
        <v>455353</v>
      </c>
      <c r="E98" s="50">
        <f t="shared" si="54"/>
        <v>436163</v>
      </c>
      <c r="F98" s="50">
        <f t="shared" si="54"/>
        <v>454962</v>
      </c>
      <c r="G98" s="50">
        <f t="shared" si="54"/>
        <v>664004</v>
      </c>
      <c r="H98" s="50">
        <f t="shared" si="54"/>
        <v>442500</v>
      </c>
      <c r="I98" s="50">
        <f t="shared" si="54"/>
        <v>472217.49999999994</v>
      </c>
      <c r="J98" s="50">
        <f t="shared" si="54"/>
        <v>483550.71999999997</v>
      </c>
      <c r="K98" s="50">
        <f t="shared" si="54"/>
        <v>495155.93727999995</v>
      </c>
      <c r="L98" s="50">
        <f t="shared" si="54"/>
        <v>506544.52383744001</v>
      </c>
      <c r="M98" s="50">
        <f t="shared" si="54"/>
        <v>517688.50336186367</v>
      </c>
      <c r="N98" s="50">
        <f t="shared" si="54"/>
        <v>529595.33893918642</v>
      </c>
      <c r="O98" s="50">
        <f t="shared" si="54"/>
        <v>542835.22241266607</v>
      </c>
      <c r="P98" s="50">
        <f t="shared" si="54"/>
        <v>556406.10297298268</v>
      </c>
      <c r="Q98" s="50">
        <f t="shared" si="54"/>
        <v>569759.84944433428</v>
      </c>
      <c r="R98" s="50">
        <f t="shared" si="54"/>
        <v>583434.08583099837</v>
      </c>
    </row>
    <row r="99" spans="1:18" x14ac:dyDescent="0.25">
      <c r="A99" s="41" t="s">
        <v>185</v>
      </c>
      <c r="B99" s="44"/>
      <c r="C99" s="50">
        <f t="shared" ref="C99:F99" si="55">C977</f>
        <v>173138</v>
      </c>
      <c r="D99" s="50">
        <f t="shared" si="55"/>
        <v>161261</v>
      </c>
      <c r="E99" s="50">
        <f t="shared" si="55"/>
        <v>146127</v>
      </c>
      <c r="F99" s="50">
        <f t="shared" si="55"/>
        <v>134513</v>
      </c>
      <c r="G99" s="50">
        <f>G977</f>
        <v>143184</v>
      </c>
      <c r="H99" s="50">
        <f>H977</f>
        <v>353100</v>
      </c>
      <c r="I99" s="50">
        <f t="shared" ref="I99:R99" si="56">I977</f>
        <v>361221.29999999993</v>
      </c>
      <c r="J99" s="50">
        <f t="shared" si="56"/>
        <v>369890.61119999993</v>
      </c>
      <c r="K99" s="50">
        <f t="shared" si="56"/>
        <v>378767.98586879997</v>
      </c>
      <c r="L99" s="50">
        <f t="shared" si="56"/>
        <v>387479.64954378235</v>
      </c>
      <c r="M99" s="50">
        <f t="shared" si="56"/>
        <v>396004.20183374558</v>
      </c>
      <c r="N99" s="50">
        <f t="shared" si="56"/>
        <v>405112.29847592174</v>
      </c>
      <c r="O99" s="50">
        <f t="shared" si="56"/>
        <v>415240.1059378197</v>
      </c>
      <c r="P99" s="50">
        <f t="shared" si="56"/>
        <v>425621.10858626518</v>
      </c>
      <c r="Q99" s="50">
        <f t="shared" si="56"/>
        <v>435836.01519233559</v>
      </c>
      <c r="R99" s="50">
        <f t="shared" si="56"/>
        <v>446296.07955695159</v>
      </c>
    </row>
    <row r="100" spans="1:18" x14ac:dyDescent="0.25">
      <c r="A100" s="41" t="s">
        <v>186</v>
      </c>
      <c r="B100" s="44"/>
      <c r="C100" s="50">
        <f t="shared" ref="C100:F100" si="57">C1076</f>
        <v>27269</v>
      </c>
      <c r="D100" s="50">
        <f t="shared" si="57"/>
        <v>6581</v>
      </c>
      <c r="E100" s="50">
        <f t="shared" si="57"/>
        <v>34073</v>
      </c>
      <c r="F100" s="50">
        <f t="shared" si="57"/>
        <v>2084</v>
      </c>
      <c r="G100" s="50">
        <f>G1076</f>
        <v>1574</v>
      </c>
      <c r="H100" s="50">
        <f>H1076</f>
        <v>2700</v>
      </c>
      <c r="I100" s="50">
        <f t="shared" ref="I100:R100" si="58">I1076</f>
        <v>2762.1</v>
      </c>
      <c r="J100" s="50">
        <f t="shared" si="58"/>
        <v>2828.3904000000002</v>
      </c>
      <c r="K100" s="50">
        <f t="shared" si="58"/>
        <v>2896.2717696000004</v>
      </c>
      <c r="L100" s="50">
        <f t="shared" si="58"/>
        <v>2962.8860203008003</v>
      </c>
      <c r="M100" s="50">
        <f t="shared" si="58"/>
        <v>3028.0695127474178</v>
      </c>
      <c r="N100" s="50">
        <f t="shared" si="58"/>
        <v>3097.7151115406077</v>
      </c>
      <c r="O100" s="50">
        <f t="shared" si="58"/>
        <v>3175.1579893291228</v>
      </c>
      <c r="P100" s="50">
        <f t="shared" si="58"/>
        <v>3254.5369390623505</v>
      </c>
      <c r="Q100" s="50">
        <f t="shared" si="58"/>
        <v>3332.6458255998468</v>
      </c>
      <c r="R100" s="50">
        <f t="shared" si="58"/>
        <v>3412.6293254142429</v>
      </c>
    </row>
    <row r="101" spans="1:18" x14ac:dyDescent="0.25">
      <c r="A101" s="41" t="s">
        <v>164</v>
      </c>
      <c r="B101" s="44"/>
      <c r="C101" s="51">
        <f t="shared" ref="C101:R101" si="59">SUM(C93:C100)</f>
        <v>1096632</v>
      </c>
      <c r="D101" s="51">
        <f t="shared" si="59"/>
        <v>1095036</v>
      </c>
      <c r="E101" s="51">
        <f t="shared" si="59"/>
        <v>1097611.07</v>
      </c>
      <c r="F101" s="51">
        <f t="shared" si="59"/>
        <v>1147527</v>
      </c>
      <c r="G101" s="51">
        <f t="shared" si="59"/>
        <v>1334839</v>
      </c>
      <c r="H101" s="51">
        <f t="shared" si="59"/>
        <v>1312953</v>
      </c>
      <c r="I101" s="51">
        <f t="shared" si="59"/>
        <v>1335769.6000000001</v>
      </c>
      <c r="J101" s="51">
        <f t="shared" si="59"/>
        <v>1388224.0703999999</v>
      </c>
      <c r="K101" s="51">
        <f t="shared" si="59"/>
        <v>1400819.4480895998</v>
      </c>
      <c r="L101" s="51">
        <f t="shared" si="59"/>
        <v>1454118.8053956609</v>
      </c>
      <c r="M101" s="51">
        <f t="shared" si="59"/>
        <v>1464433.8791143654</v>
      </c>
      <c r="N101" s="51">
        <f t="shared" si="59"/>
        <v>1520263.0283339955</v>
      </c>
      <c r="O101" s="51">
        <f t="shared" si="59"/>
        <v>1535821.3540423454</v>
      </c>
      <c r="P101" s="51">
        <f t="shared" si="59"/>
        <v>1596415.6378934041</v>
      </c>
      <c r="Q101" s="51">
        <f t="shared" si="59"/>
        <v>1611912.4932028456</v>
      </c>
      <c r="R101" s="51">
        <f t="shared" si="59"/>
        <v>1673965.9130397136</v>
      </c>
    </row>
    <row r="102" spans="1:18" x14ac:dyDescent="0.25">
      <c r="A102" s="48"/>
      <c r="B102" s="49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</row>
    <row r="103" spans="1:18" x14ac:dyDescent="0.25">
      <c r="A103" s="41" t="s">
        <v>165</v>
      </c>
      <c r="B103" s="44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</row>
    <row r="104" spans="1:18" x14ac:dyDescent="0.25">
      <c r="A104" s="41" t="s">
        <v>179</v>
      </c>
      <c r="B104" s="44"/>
      <c r="C104" s="50">
        <f t="shared" ref="C104:R104" si="60">C432</f>
        <v>534428</v>
      </c>
      <c r="D104" s="50">
        <f t="shared" si="60"/>
        <v>490034</v>
      </c>
      <c r="E104" s="50">
        <f t="shared" si="60"/>
        <v>507271.14999999997</v>
      </c>
      <c r="F104" s="50">
        <f t="shared" si="60"/>
        <v>569198</v>
      </c>
      <c r="G104" s="50">
        <f t="shared" si="60"/>
        <v>489180</v>
      </c>
      <c r="H104" s="50">
        <f t="shared" si="60"/>
        <v>567930</v>
      </c>
      <c r="I104" s="50">
        <f t="shared" si="60"/>
        <v>561794.6</v>
      </c>
      <c r="J104" s="50">
        <f t="shared" si="60"/>
        <v>597012.26289999986</v>
      </c>
      <c r="K104" s="50">
        <f t="shared" si="60"/>
        <v>592738.52695709991</v>
      </c>
      <c r="L104" s="50">
        <f t="shared" si="60"/>
        <v>630799.68183378829</v>
      </c>
      <c r="M104" s="50">
        <f t="shared" si="60"/>
        <v>626329.96632977703</v>
      </c>
      <c r="N104" s="50">
        <f t="shared" si="60"/>
        <v>665121.03669181583</v>
      </c>
      <c r="O104" s="50">
        <f t="shared" si="60"/>
        <v>661612.55867965892</v>
      </c>
      <c r="P104" s="50">
        <f t="shared" si="60"/>
        <v>703552.1828614003</v>
      </c>
      <c r="Q104" s="50">
        <f t="shared" si="60"/>
        <v>701512.58998568589</v>
      </c>
      <c r="R104" s="50">
        <f t="shared" si="60"/>
        <v>745550.55974196584</v>
      </c>
    </row>
    <row r="105" spans="1:18" x14ac:dyDescent="0.25">
      <c r="A105" s="41" t="s">
        <v>180</v>
      </c>
      <c r="B105" s="44"/>
      <c r="C105" s="50">
        <f t="shared" ref="C105:R105" si="61">C481</f>
        <v>252511</v>
      </c>
      <c r="D105" s="50">
        <f t="shared" si="61"/>
        <v>234970</v>
      </c>
      <c r="E105" s="50">
        <f t="shared" si="61"/>
        <v>219651</v>
      </c>
      <c r="F105" s="50">
        <f t="shared" si="61"/>
        <v>241951</v>
      </c>
      <c r="G105" s="50">
        <f t="shared" si="61"/>
        <v>222689</v>
      </c>
      <c r="H105" s="50">
        <f t="shared" si="61"/>
        <v>246010</v>
      </c>
      <c r="I105" s="50">
        <f t="shared" si="61"/>
        <v>252075.7</v>
      </c>
      <c r="J105" s="50">
        <f t="shared" si="61"/>
        <v>258634.88209999999</v>
      </c>
      <c r="K105" s="50">
        <f t="shared" si="61"/>
        <v>265573.88207289996</v>
      </c>
      <c r="L105" s="50">
        <f t="shared" si="61"/>
        <v>272653.40804946166</v>
      </c>
      <c r="M105" s="50">
        <f t="shared" si="61"/>
        <v>279679.89536610869</v>
      </c>
      <c r="N105" s="50">
        <f t="shared" si="61"/>
        <v>286891.87509861204</v>
      </c>
      <c r="O105" s="50">
        <f t="shared" si="61"/>
        <v>294882.48009922588</v>
      </c>
      <c r="P105" s="50">
        <f t="shared" si="61"/>
        <v>303229.88642589119</v>
      </c>
      <c r="Q105" s="50">
        <f t="shared" si="61"/>
        <v>311659.78049041826</v>
      </c>
      <c r="R105" s="50">
        <f t="shared" si="61"/>
        <v>317999.79779374565</v>
      </c>
    </row>
    <row r="106" spans="1:18" x14ac:dyDescent="0.25">
      <c r="A106" s="41" t="s">
        <v>181</v>
      </c>
      <c r="B106" s="44"/>
      <c r="C106" s="50">
        <f t="shared" ref="C106:R106" si="62">C566</f>
        <v>5567</v>
      </c>
      <c r="D106" s="50">
        <f t="shared" si="62"/>
        <v>2669</v>
      </c>
      <c r="E106" s="50">
        <f t="shared" si="62"/>
        <v>3300</v>
      </c>
      <c r="F106" s="50">
        <f t="shared" si="62"/>
        <v>3346</v>
      </c>
      <c r="G106" s="50">
        <f t="shared" si="62"/>
        <v>3585</v>
      </c>
      <c r="H106" s="50">
        <f t="shared" si="62"/>
        <v>3800</v>
      </c>
      <c r="I106" s="50">
        <f t="shared" si="62"/>
        <v>3887.3999999999996</v>
      </c>
      <c r="J106" s="50">
        <f t="shared" si="62"/>
        <v>3980.6975999999995</v>
      </c>
      <c r="K106" s="50">
        <f t="shared" si="62"/>
        <v>4076.2343423999996</v>
      </c>
      <c r="L106" s="50">
        <f t="shared" si="62"/>
        <v>4169.9877322751991</v>
      </c>
      <c r="M106" s="50">
        <f t="shared" si="62"/>
        <v>4261.7274623852536</v>
      </c>
      <c r="N106" s="50">
        <f t="shared" si="62"/>
        <v>4359.747194020114</v>
      </c>
      <c r="O106" s="50">
        <f t="shared" si="62"/>
        <v>4468.7408738706163</v>
      </c>
      <c r="P106" s="50">
        <f t="shared" si="62"/>
        <v>4580.459395717382</v>
      </c>
      <c r="Q106" s="50">
        <f t="shared" si="62"/>
        <v>4690.390421214599</v>
      </c>
      <c r="R106" s="50">
        <f t="shared" si="62"/>
        <v>4802.9597913237494</v>
      </c>
    </row>
    <row r="107" spans="1:18" x14ac:dyDescent="0.25">
      <c r="A107" s="41" t="s">
        <v>182</v>
      </c>
      <c r="B107" s="44"/>
      <c r="C107" s="50">
        <f t="shared" ref="C107:R107" si="63">C630</f>
        <v>107547</v>
      </c>
      <c r="D107" s="50">
        <f t="shared" si="63"/>
        <v>120374</v>
      </c>
      <c r="E107" s="50">
        <f t="shared" si="63"/>
        <v>125753</v>
      </c>
      <c r="F107" s="50">
        <f t="shared" si="63"/>
        <v>144508</v>
      </c>
      <c r="G107" s="50">
        <f t="shared" si="63"/>
        <v>127849</v>
      </c>
      <c r="H107" s="50">
        <f t="shared" si="63"/>
        <v>149340</v>
      </c>
      <c r="I107" s="50">
        <f t="shared" si="63"/>
        <v>152907.59999999998</v>
      </c>
      <c r="J107" s="50">
        <f t="shared" si="63"/>
        <v>156709.32149999999</v>
      </c>
      <c r="K107" s="50">
        <f t="shared" si="63"/>
        <v>160689.03304349998</v>
      </c>
      <c r="L107" s="50">
        <f t="shared" si="63"/>
        <v>164707.49630667549</v>
      </c>
      <c r="M107" s="50">
        <f t="shared" si="63"/>
        <v>168602.13553739592</v>
      </c>
      <c r="N107" s="50">
        <f t="shared" si="63"/>
        <v>172720.0573906356</v>
      </c>
      <c r="O107" s="50">
        <f t="shared" si="63"/>
        <v>177278.64330571346</v>
      </c>
      <c r="P107" s="50">
        <f t="shared" si="63"/>
        <v>181984.15058337594</v>
      </c>
      <c r="Q107" s="50">
        <f t="shared" si="63"/>
        <v>185026.87965692006</v>
      </c>
      <c r="R107" s="50">
        <f t="shared" si="63"/>
        <v>188156.26149296464</v>
      </c>
    </row>
    <row r="108" spans="1:18" x14ac:dyDescent="0.25">
      <c r="A108" s="41" t="s">
        <v>183</v>
      </c>
      <c r="B108" s="44"/>
      <c r="C108" s="50">
        <f t="shared" ref="C108:R108" si="64">C688</f>
        <v>578670</v>
      </c>
      <c r="D108" s="50">
        <f t="shared" si="64"/>
        <v>590716</v>
      </c>
      <c r="E108" s="50">
        <f t="shared" si="64"/>
        <v>650300</v>
      </c>
      <c r="F108" s="50">
        <f t="shared" si="64"/>
        <v>712622</v>
      </c>
      <c r="G108" s="50">
        <f t="shared" si="64"/>
        <v>723205</v>
      </c>
      <c r="H108" s="50">
        <f t="shared" si="64"/>
        <v>780500</v>
      </c>
      <c r="I108" s="50">
        <f t="shared" si="64"/>
        <v>758399.49999999988</v>
      </c>
      <c r="J108" s="50">
        <f t="shared" si="64"/>
        <v>777354.39249999984</v>
      </c>
      <c r="K108" s="50">
        <f t="shared" si="64"/>
        <v>796783.0350324997</v>
      </c>
      <c r="L108" s="50">
        <f t="shared" si="64"/>
        <v>816691.92591887212</v>
      </c>
      <c r="M108" s="50">
        <f t="shared" si="64"/>
        <v>837092.82795054826</v>
      </c>
      <c r="N108" s="50">
        <f t="shared" si="64"/>
        <v>858008.97742874245</v>
      </c>
      <c r="O108" s="50">
        <f t="shared" si="64"/>
        <v>879459.20186446095</v>
      </c>
      <c r="P108" s="50">
        <f t="shared" si="64"/>
        <v>901445.68191107234</v>
      </c>
      <c r="Q108" s="50">
        <f t="shared" si="64"/>
        <v>923975.82060426218</v>
      </c>
      <c r="R108" s="50">
        <f t="shared" si="64"/>
        <v>947069.06868427154</v>
      </c>
    </row>
    <row r="109" spans="1:18" x14ac:dyDescent="0.25">
      <c r="A109" s="41" t="s">
        <v>184</v>
      </c>
      <c r="B109" s="44"/>
      <c r="C109" s="50">
        <f t="shared" ref="C109:F109" si="65">C772</f>
        <v>995546</v>
      </c>
      <c r="D109" s="50">
        <f t="shared" si="65"/>
        <v>934756</v>
      </c>
      <c r="E109" s="50">
        <f t="shared" si="65"/>
        <v>1025408</v>
      </c>
      <c r="F109" s="50">
        <f t="shared" si="65"/>
        <v>1007485.8200000001</v>
      </c>
      <c r="G109" s="50">
        <f>G772</f>
        <v>975198</v>
      </c>
      <c r="H109" s="50">
        <f>H772</f>
        <v>1154997.6957668001</v>
      </c>
      <c r="I109" s="50">
        <f t="shared" ref="I109:R109" si="66">I772</f>
        <v>1181496.4430784164</v>
      </c>
      <c r="J109" s="50">
        <f t="shared" si="66"/>
        <v>1161713.9280754195</v>
      </c>
      <c r="K109" s="50">
        <f t="shared" si="66"/>
        <v>1193032.7487542599</v>
      </c>
      <c r="L109" s="50">
        <f t="shared" si="66"/>
        <v>1225613.7468600704</v>
      </c>
      <c r="M109" s="50">
        <f t="shared" si="66"/>
        <v>1258167.7936805726</v>
      </c>
      <c r="N109" s="50">
        <f t="shared" si="66"/>
        <v>1290974.3249252054</v>
      </c>
      <c r="O109" s="50">
        <f t="shared" si="66"/>
        <v>1327129.8730690137</v>
      </c>
      <c r="P109" s="50">
        <f t="shared" si="66"/>
        <v>1365874.3537669051</v>
      </c>
      <c r="Q109" s="50">
        <f t="shared" si="66"/>
        <v>1404626.7479846487</v>
      </c>
      <c r="R109" s="50">
        <f t="shared" si="66"/>
        <v>1436648.462455767</v>
      </c>
    </row>
    <row r="110" spans="1:18" x14ac:dyDescent="0.25">
      <c r="A110" s="41" t="s">
        <v>185</v>
      </c>
      <c r="B110" s="44"/>
      <c r="C110" s="50">
        <f t="shared" ref="C110:F110" si="67">C1003</f>
        <v>344941</v>
      </c>
      <c r="D110" s="50">
        <f t="shared" si="67"/>
        <v>357829</v>
      </c>
      <c r="E110" s="50">
        <f t="shared" si="67"/>
        <v>353550</v>
      </c>
      <c r="F110" s="50">
        <f t="shared" si="67"/>
        <v>362366</v>
      </c>
      <c r="G110" s="50">
        <f>G1003</f>
        <v>360924</v>
      </c>
      <c r="H110" s="50">
        <f>H1003</f>
        <v>423950</v>
      </c>
      <c r="I110" s="50">
        <f t="shared" ref="I110:R110" si="68">I1003</f>
        <v>434348.55</v>
      </c>
      <c r="J110" s="50">
        <f t="shared" si="68"/>
        <v>445799.44995000004</v>
      </c>
      <c r="K110" s="50">
        <f t="shared" si="68"/>
        <v>457466.97547255002</v>
      </c>
      <c r="L110" s="50">
        <f t="shared" si="68"/>
        <v>470072.07883200614</v>
      </c>
      <c r="M110" s="50">
        <f t="shared" si="68"/>
        <v>481901.75429096195</v>
      </c>
      <c r="N110" s="50">
        <f t="shared" si="68"/>
        <v>494131.41044025309</v>
      </c>
      <c r="O110" s="50">
        <f t="shared" si="68"/>
        <v>507865.38371873717</v>
      </c>
      <c r="P110" s="50">
        <f t="shared" si="68"/>
        <v>521992.67147131165</v>
      </c>
      <c r="Q110" s="50">
        <f t="shared" si="68"/>
        <v>536112.44636603747</v>
      </c>
      <c r="R110" s="50">
        <f t="shared" si="68"/>
        <v>549221.16049277072</v>
      </c>
    </row>
    <row r="111" spans="1:18" x14ac:dyDescent="0.25">
      <c r="A111" s="41" t="s">
        <v>186</v>
      </c>
      <c r="B111" s="44"/>
      <c r="C111" s="50">
        <f t="shared" ref="C111:F111" si="69">C1086</f>
        <v>428902</v>
      </c>
      <c r="D111" s="50">
        <f t="shared" si="69"/>
        <v>415480</v>
      </c>
      <c r="E111" s="50">
        <f t="shared" si="69"/>
        <v>427801</v>
      </c>
      <c r="F111" s="50">
        <f t="shared" si="69"/>
        <v>428953</v>
      </c>
      <c r="G111" s="50">
        <f>G1086</f>
        <v>441619</v>
      </c>
      <c r="H111" s="50">
        <f>H1086</f>
        <v>426251</v>
      </c>
      <c r="I111" s="50">
        <f t="shared" ref="I111:R111" si="70">I1086</f>
        <v>466058.87299999996</v>
      </c>
      <c r="J111" s="50">
        <f t="shared" si="70"/>
        <v>477243.51720199996</v>
      </c>
      <c r="K111" s="50">
        <f t="shared" si="70"/>
        <v>488696.57651609799</v>
      </c>
      <c r="L111" s="50">
        <f t="shared" si="70"/>
        <v>499941.00127201068</v>
      </c>
      <c r="M111" s="50">
        <f t="shared" si="70"/>
        <v>510948.01298850315</v>
      </c>
      <c r="N111" s="50">
        <f t="shared" si="70"/>
        <v>522704.446788895</v>
      </c>
      <c r="O111" s="50">
        <f t="shared" si="70"/>
        <v>535768.82032086328</v>
      </c>
      <c r="P111" s="50">
        <f t="shared" si="70"/>
        <v>549161.38477717363</v>
      </c>
      <c r="Q111" s="50">
        <f t="shared" si="70"/>
        <v>562347.13736456598</v>
      </c>
      <c r="R111" s="50">
        <f t="shared" si="70"/>
        <v>575849.50517265603</v>
      </c>
    </row>
    <row r="112" spans="1:18" x14ac:dyDescent="0.25">
      <c r="A112" s="41" t="s">
        <v>166</v>
      </c>
      <c r="B112" s="44"/>
      <c r="C112" s="51">
        <f t="shared" ref="C112:R112" si="71">SUM(C104:C111)</f>
        <v>3248112</v>
      </c>
      <c r="D112" s="51">
        <f t="shared" si="71"/>
        <v>3146828</v>
      </c>
      <c r="E112" s="51">
        <f t="shared" si="71"/>
        <v>3313034.15</v>
      </c>
      <c r="F112" s="51">
        <f t="shared" si="71"/>
        <v>3470429.8200000003</v>
      </c>
      <c r="G112" s="51">
        <f t="shared" si="71"/>
        <v>3344249</v>
      </c>
      <c r="H112" s="51">
        <f t="shared" si="71"/>
        <v>3752778.6957668001</v>
      </c>
      <c r="I112" s="51">
        <f t="shared" si="71"/>
        <v>3810968.6660784162</v>
      </c>
      <c r="J112" s="51">
        <f t="shared" si="71"/>
        <v>3878448.451827419</v>
      </c>
      <c r="K112" s="51">
        <f t="shared" si="71"/>
        <v>3959057.0121913073</v>
      </c>
      <c r="L112" s="51">
        <f t="shared" si="71"/>
        <v>4084649.3268051594</v>
      </c>
      <c r="M112" s="51">
        <f t="shared" si="71"/>
        <v>4166984.1136062532</v>
      </c>
      <c r="N112" s="51">
        <f t="shared" si="71"/>
        <v>4294911.8759581801</v>
      </c>
      <c r="O112" s="51">
        <f t="shared" si="71"/>
        <v>4388465.7019315446</v>
      </c>
      <c r="P112" s="51">
        <f t="shared" si="71"/>
        <v>4531820.7711928478</v>
      </c>
      <c r="Q112" s="51">
        <f t="shared" si="71"/>
        <v>4629951.7928737532</v>
      </c>
      <c r="R112" s="51">
        <f t="shared" si="71"/>
        <v>4765297.7756254654</v>
      </c>
    </row>
    <row r="113" spans="1:18" x14ac:dyDescent="0.25">
      <c r="A113" s="48"/>
      <c r="B113" s="49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</row>
    <row r="114" spans="1:18" x14ac:dyDescent="0.25">
      <c r="A114" s="48" t="s">
        <v>167</v>
      </c>
      <c r="B114" s="49"/>
      <c r="C114" s="51">
        <f t="shared" ref="C114:R114" si="72">C101-C112</f>
        <v>-2151480</v>
      </c>
      <c r="D114" s="51">
        <f t="shared" si="72"/>
        <v>-2051792</v>
      </c>
      <c r="E114" s="51">
        <f t="shared" si="72"/>
        <v>-2215423.08</v>
      </c>
      <c r="F114" s="51">
        <f t="shared" si="72"/>
        <v>-2322902.8200000003</v>
      </c>
      <c r="G114" s="51">
        <f t="shared" si="72"/>
        <v>-2009410</v>
      </c>
      <c r="H114" s="51">
        <f t="shared" si="72"/>
        <v>-2439825.6957668001</v>
      </c>
      <c r="I114" s="51">
        <f t="shared" si="72"/>
        <v>-2475199.0660784161</v>
      </c>
      <c r="J114" s="51">
        <f t="shared" si="72"/>
        <v>-2490224.3814274194</v>
      </c>
      <c r="K114" s="51">
        <f t="shared" si="72"/>
        <v>-2558237.5641017072</v>
      </c>
      <c r="L114" s="51">
        <f t="shared" si="72"/>
        <v>-2630530.5214094985</v>
      </c>
      <c r="M114" s="51">
        <f t="shared" si="72"/>
        <v>-2702550.2344918875</v>
      </c>
      <c r="N114" s="51">
        <f t="shared" si="72"/>
        <v>-2774648.8476241846</v>
      </c>
      <c r="O114" s="51">
        <f t="shared" si="72"/>
        <v>-2852644.3478891989</v>
      </c>
      <c r="P114" s="51">
        <f t="shared" si="72"/>
        <v>-2935405.1332994439</v>
      </c>
      <c r="Q114" s="51">
        <f t="shared" si="72"/>
        <v>-3018039.2996709077</v>
      </c>
      <c r="R114" s="51">
        <f t="shared" si="72"/>
        <v>-3091331.8625857518</v>
      </c>
    </row>
    <row r="115" spans="1:18" x14ac:dyDescent="0.25">
      <c r="A115" s="48"/>
      <c r="B115" s="49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</row>
    <row r="116" spans="1:18" x14ac:dyDescent="0.25">
      <c r="A116" s="48" t="s">
        <v>168</v>
      </c>
      <c r="B116" s="49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</row>
    <row r="117" spans="1:18" x14ac:dyDescent="0.25">
      <c r="A117" s="48"/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</row>
    <row r="118" spans="1:18" x14ac:dyDescent="0.25">
      <c r="A118" s="48" t="s">
        <v>169</v>
      </c>
      <c r="B118" s="49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</row>
    <row r="119" spans="1:18" x14ac:dyDescent="0.25">
      <c r="A119" s="41" t="s">
        <v>179</v>
      </c>
      <c r="B119" s="44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</row>
    <row r="120" spans="1:18" x14ac:dyDescent="0.25">
      <c r="A120" s="41" t="s">
        <v>180</v>
      </c>
      <c r="B120" s="44"/>
      <c r="C120" s="50">
        <f t="shared" ref="C120:R120" si="73">C487</f>
        <v>0</v>
      </c>
      <c r="D120" s="50">
        <f t="shared" si="73"/>
        <v>0</v>
      </c>
      <c r="E120" s="50">
        <f t="shared" si="73"/>
        <v>0</v>
      </c>
      <c r="F120" s="50">
        <f t="shared" si="73"/>
        <v>0</v>
      </c>
      <c r="G120" s="50">
        <f t="shared" si="73"/>
        <v>0</v>
      </c>
      <c r="H120" s="50">
        <f t="shared" si="73"/>
        <v>0</v>
      </c>
      <c r="I120" s="50">
        <f t="shared" si="73"/>
        <v>0</v>
      </c>
      <c r="J120" s="50">
        <f t="shared" si="73"/>
        <v>0</v>
      </c>
      <c r="K120" s="50">
        <f t="shared" si="73"/>
        <v>0</v>
      </c>
      <c r="L120" s="50">
        <f t="shared" si="73"/>
        <v>0</v>
      </c>
      <c r="M120" s="50">
        <f t="shared" si="73"/>
        <v>0</v>
      </c>
      <c r="N120" s="50">
        <f t="shared" si="73"/>
        <v>0</v>
      </c>
      <c r="O120" s="50">
        <f t="shared" si="73"/>
        <v>0</v>
      </c>
      <c r="P120" s="50">
        <f t="shared" si="73"/>
        <v>0</v>
      </c>
      <c r="Q120" s="50">
        <f t="shared" si="73"/>
        <v>0</v>
      </c>
      <c r="R120" s="50">
        <f t="shared" si="73"/>
        <v>0</v>
      </c>
    </row>
    <row r="121" spans="1:18" x14ac:dyDescent="0.25">
      <c r="A121" s="41" t="s">
        <v>181</v>
      </c>
      <c r="B121" s="44"/>
      <c r="C121" s="50">
        <f t="shared" ref="C121:R121" si="74">C572</f>
        <v>0</v>
      </c>
      <c r="D121" s="50">
        <f t="shared" si="74"/>
        <v>0</v>
      </c>
      <c r="E121" s="50">
        <f t="shared" si="74"/>
        <v>0</v>
      </c>
      <c r="F121" s="50">
        <f t="shared" si="74"/>
        <v>0</v>
      </c>
      <c r="G121" s="50">
        <f t="shared" si="74"/>
        <v>0</v>
      </c>
      <c r="H121" s="50">
        <f t="shared" si="74"/>
        <v>0</v>
      </c>
      <c r="I121" s="50">
        <f t="shared" si="74"/>
        <v>0</v>
      </c>
      <c r="J121" s="50">
        <f t="shared" si="74"/>
        <v>0</v>
      </c>
      <c r="K121" s="50">
        <f t="shared" si="74"/>
        <v>0</v>
      </c>
      <c r="L121" s="50">
        <f t="shared" si="74"/>
        <v>0</v>
      </c>
      <c r="M121" s="50">
        <f t="shared" si="74"/>
        <v>0</v>
      </c>
      <c r="N121" s="50">
        <f t="shared" si="74"/>
        <v>0</v>
      </c>
      <c r="O121" s="50">
        <f t="shared" si="74"/>
        <v>0</v>
      </c>
      <c r="P121" s="50">
        <f t="shared" si="74"/>
        <v>0</v>
      </c>
      <c r="Q121" s="50">
        <f t="shared" si="74"/>
        <v>0</v>
      </c>
      <c r="R121" s="50">
        <f t="shared" si="74"/>
        <v>0</v>
      </c>
    </row>
    <row r="122" spans="1:18" x14ac:dyDescent="0.25">
      <c r="A122" s="41" t="s">
        <v>182</v>
      </c>
      <c r="B122" s="44"/>
      <c r="C122" s="50">
        <f t="shared" ref="C122:R122" si="75">C636</f>
        <v>0</v>
      </c>
      <c r="D122" s="50">
        <f t="shared" si="75"/>
        <v>0</v>
      </c>
      <c r="E122" s="50">
        <f t="shared" si="75"/>
        <v>0</v>
      </c>
      <c r="F122" s="50">
        <f t="shared" si="75"/>
        <v>0</v>
      </c>
      <c r="G122" s="50">
        <f t="shared" si="75"/>
        <v>0</v>
      </c>
      <c r="H122" s="50">
        <f t="shared" si="75"/>
        <v>0</v>
      </c>
      <c r="I122" s="50">
        <f t="shared" si="75"/>
        <v>0</v>
      </c>
      <c r="J122" s="50">
        <f t="shared" si="75"/>
        <v>0</v>
      </c>
      <c r="K122" s="50">
        <f t="shared" si="75"/>
        <v>0</v>
      </c>
      <c r="L122" s="50">
        <f t="shared" si="75"/>
        <v>0</v>
      </c>
      <c r="M122" s="50">
        <f t="shared" si="75"/>
        <v>0</v>
      </c>
      <c r="N122" s="50">
        <f t="shared" si="75"/>
        <v>0</v>
      </c>
      <c r="O122" s="50">
        <f t="shared" si="75"/>
        <v>0</v>
      </c>
      <c r="P122" s="50">
        <f t="shared" si="75"/>
        <v>0</v>
      </c>
      <c r="Q122" s="50">
        <f t="shared" si="75"/>
        <v>0</v>
      </c>
      <c r="R122" s="50">
        <f t="shared" si="75"/>
        <v>0</v>
      </c>
    </row>
    <row r="123" spans="1:18" x14ac:dyDescent="0.25">
      <c r="A123" s="41" t="s">
        <v>183</v>
      </c>
      <c r="B123" s="44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</row>
    <row r="124" spans="1:18" x14ac:dyDescent="0.25">
      <c r="A124" s="41" t="s">
        <v>184</v>
      </c>
      <c r="B124" s="44"/>
      <c r="C124" s="50">
        <f t="shared" ref="C124:F124" si="76">C796</f>
        <v>197108</v>
      </c>
      <c r="D124" s="50">
        <f t="shared" si="76"/>
        <v>506017</v>
      </c>
      <c r="E124" s="50">
        <f t="shared" si="76"/>
        <v>237757</v>
      </c>
      <c r="F124" s="50">
        <f t="shared" si="76"/>
        <v>331876</v>
      </c>
      <c r="G124" s="50">
        <f>G796</f>
        <v>20543</v>
      </c>
      <c r="H124" s="50">
        <f>H796</f>
        <v>130000</v>
      </c>
      <c r="I124" s="50">
        <f t="shared" ref="I124:R124" si="77">I796</f>
        <v>0</v>
      </c>
      <c r="J124" s="50">
        <f t="shared" si="77"/>
        <v>0</v>
      </c>
      <c r="K124" s="50">
        <f t="shared" si="77"/>
        <v>0</v>
      </c>
      <c r="L124" s="50">
        <f t="shared" si="77"/>
        <v>0</v>
      </c>
      <c r="M124" s="50">
        <f t="shared" si="77"/>
        <v>0</v>
      </c>
      <c r="N124" s="50">
        <f t="shared" si="77"/>
        <v>0</v>
      </c>
      <c r="O124" s="50">
        <f t="shared" si="77"/>
        <v>0</v>
      </c>
      <c r="P124" s="50">
        <f t="shared" si="77"/>
        <v>0</v>
      </c>
      <c r="Q124" s="50">
        <f t="shared" si="77"/>
        <v>0</v>
      </c>
      <c r="R124" s="50">
        <f t="shared" si="77"/>
        <v>0</v>
      </c>
    </row>
    <row r="125" spans="1:18" x14ac:dyDescent="0.25">
      <c r="A125" s="41" t="s">
        <v>185</v>
      </c>
      <c r="B125" s="44"/>
      <c r="C125" s="50">
        <f t="shared" ref="C125:F125" si="78">C1009</f>
        <v>0</v>
      </c>
      <c r="D125" s="50">
        <f t="shared" si="78"/>
        <v>0</v>
      </c>
      <c r="E125" s="50">
        <f t="shared" si="78"/>
        <v>0</v>
      </c>
      <c r="F125" s="50">
        <f t="shared" si="78"/>
        <v>0</v>
      </c>
      <c r="G125" s="50">
        <f>G1009</f>
        <v>0</v>
      </c>
      <c r="H125" s="50">
        <f>H1009</f>
        <v>50000</v>
      </c>
      <c r="I125" s="50">
        <f t="shared" ref="I125:R125" si="79">I1009</f>
        <v>0</v>
      </c>
      <c r="J125" s="50">
        <f t="shared" si="79"/>
        <v>0</v>
      </c>
      <c r="K125" s="50">
        <f t="shared" si="79"/>
        <v>0</v>
      </c>
      <c r="L125" s="50">
        <f t="shared" si="79"/>
        <v>0</v>
      </c>
      <c r="M125" s="50">
        <f t="shared" si="79"/>
        <v>0</v>
      </c>
      <c r="N125" s="50">
        <f t="shared" si="79"/>
        <v>0</v>
      </c>
      <c r="O125" s="50">
        <f t="shared" si="79"/>
        <v>0</v>
      </c>
      <c r="P125" s="50">
        <f t="shared" si="79"/>
        <v>0</v>
      </c>
      <c r="Q125" s="50">
        <f t="shared" si="79"/>
        <v>0</v>
      </c>
      <c r="R125" s="50">
        <f t="shared" si="79"/>
        <v>0</v>
      </c>
    </row>
    <row r="126" spans="1:18" x14ac:dyDescent="0.25">
      <c r="A126" s="41" t="s">
        <v>186</v>
      </c>
      <c r="B126" s="44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</row>
    <row r="127" spans="1:18" x14ac:dyDescent="0.25">
      <c r="A127" s="41" t="s">
        <v>170</v>
      </c>
      <c r="B127" s="44"/>
      <c r="C127" s="51">
        <f t="shared" ref="C127:F127" si="80">SUM(C119:C126)</f>
        <v>197108</v>
      </c>
      <c r="D127" s="51">
        <f t="shared" si="80"/>
        <v>506017</v>
      </c>
      <c r="E127" s="51">
        <f t="shared" si="80"/>
        <v>237757</v>
      </c>
      <c r="F127" s="51">
        <f t="shared" si="80"/>
        <v>331876</v>
      </c>
      <c r="G127" s="51">
        <f>SUM(G119:G126)</f>
        <v>20543</v>
      </c>
      <c r="H127" s="51">
        <f t="shared" ref="H127:R127" si="81">SUM(H119:H126)</f>
        <v>180000</v>
      </c>
      <c r="I127" s="51">
        <f t="shared" si="81"/>
        <v>0</v>
      </c>
      <c r="J127" s="51">
        <f t="shared" si="81"/>
        <v>0</v>
      </c>
      <c r="K127" s="51">
        <f t="shared" si="81"/>
        <v>0</v>
      </c>
      <c r="L127" s="51">
        <f t="shared" si="81"/>
        <v>0</v>
      </c>
      <c r="M127" s="51">
        <f t="shared" si="81"/>
        <v>0</v>
      </c>
      <c r="N127" s="51">
        <f t="shared" si="81"/>
        <v>0</v>
      </c>
      <c r="O127" s="51">
        <f t="shared" si="81"/>
        <v>0</v>
      </c>
      <c r="P127" s="51">
        <f t="shared" si="81"/>
        <v>0</v>
      </c>
      <c r="Q127" s="51">
        <f t="shared" si="81"/>
        <v>0</v>
      </c>
      <c r="R127" s="51">
        <f t="shared" si="81"/>
        <v>0</v>
      </c>
    </row>
    <row r="128" spans="1:18" x14ac:dyDescent="0.25">
      <c r="A128" s="48"/>
      <c r="B128" s="49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</row>
    <row r="129" spans="1:18" x14ac:dyDescent="0.25">
      <c r="A129" s="41" t="s">
        <v>171</v>
      </c>
      <c r="B129" s="44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</row>
    <row r="130" spans="1:18" x14ac:dyDescent="0.25">
      <c r="A130" s="41" t="s">
        <v>179</v>
      </c>
      <c r="B130" s="44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</row>
    <row r="131" spans="1:18" x14ac:dyDescent="0.25">
      <c r="A131" s="41" t="s">
        <v>180</v>
      </c>
      <c r="B131" s="44"/>
      <c r="C131" s="50">
        <f t="shared" ref="C131:R131" si="82">C540</f>
        <v>144307</v>
      </c>
      <c r="D131" s="50">
        <f t="shared" si="82"/>
        <v>20232</v>
      </c>
      <c r="E131" s="50">
        <f t="shared" si="82"/>
        <v>20164</v>
      </c>
      <c r="F131" s="50">
        <f t="shared" si="82"/>
        <v>81006</v>
      </c>
      <c r="G131" s="50">
        <f t="shared" si="82"/>
        <v>1590</v>
      </c>
      <c r="H131" s="50">
        <f t="shared" si="82"/>
        <v>0</v>
      </c>
      <c r="I131" s="50">
        <f t="shared" si="82"/>
        <v>25000</v>
      </c>
      <c r="J131" s="50">
        <f t="shared" si="82"/>
        <v>0</v>
      </c>
      <c r="K131" s="50">
        <f t="shared" si="82"/>
        <v>125000</v>
      </c>
      <c r="L131" s="50">
        <f t="shared" si="82"/>
        <v>35000</v>
      </c>
      <c r="M131" s="50">
        <f t="shared" si="82"/>
        <v>60000</v>
      </c>
      <c r="N131" s="50">
        <f t="shared" si="82"/>
        <v>55000</v>
      </c>
      <c r="O131" s="50">
        <f t="shared" si="82"/>
        <v>80000</v>
      </c>
      <c r="P131" s="50">
        <f t="shared" si="82"/>
        <v>50000</v>
      </c>
      <c r="Q131" s="50">
        <f t="shared" si="82"/>
        <v>0</v>
      </c>
      <c r="R131" s="50">
        <f t="shared" si="82"/>
        <v>115000</v>
      </c>
    </row>
    <row r="132" spans="1:18" x14ac:dyDescent="0.25">
      <c r="A132" s="41" t="s">
        <v>181</v>
      </c>
      <c r="B132" s="44"/>
      <c r="C132" s="50">
        <f t="shared" ref="C132:R132" si="83">C578</f>
        <v>0</v>
      </c>
      <c r="D132" s="50">
        <f t="shared" si="83"/>
        <v>0</v>
      </c>
      <c r="E132" s="50">
        <f t="shared" si="83"/>
        <v>0</v>
      </c>
      <c r="F132" s="50">
        <f t="shared" si="83"/>
        <v>0</v>
      </c>
      <c r="G132" s="50">
        <f t="shared" si="83"/>
        <v>0</v>
      </c>
      <c r="H132" s="50">
        <f t="shared" si="83"/>
        <v>0</v>
      </c>
      <c r="I132" s="50">
        <f t="shared" si="83"/>
        <v>0</v>
      </c>
      <c r="J132" s="50">
        <f t="shared" si="83"/>
        <v>0</v>
      </c>
      <c r="K132" s="50">
        <f t="shared" si="83"/>
        <v>0</v>
      </c>
      <c r="L132" s="50">
        <f t="shared" si="83"/>
        <v>0</v>
      </c>
      <c r="M132" s="50">
        <f t="shared" si="83"/>
        <v>0</v>
      </c>
      <c r="N132" s="50">
        <f t="shared" si="83"/>
        <v>0</v>
      </c>
      <c r="O132" s="50">
        <f t="shared" si="83"/>
        <v>0</v>
      </c>
      <c r="P132" s="50">
        <f t="shared" si="83"/>
        <v>0</v>
      </c>
      <c r="Q132" s="50">
        <f t="shared" si="83"/>
        <v>0</v>
      </c>
      <c r="R132" s="50">
        <f t="shared" si="83"/>
        <v>0</v>
      </c>
    </row>
    <row r="133" spans="1:18" x14ac:dyDescent="0.25">
      <c r="A133" s="41" t="s">
        <v>182</v>
      </c>
      <c r="B133" s="44"/>
      <c r="C133" s="50">
        <f t="shared" ref="C133:R133" si="84">C667</f>
        <v>0</v>
      </c>
      <c r="D133" s="50">
        <f t="shared" si="84"/>
        <v>17865</v>
      </c>
      <c r="E133" s="50">
        <f t="shared" si="84"/>
        <v>4228</v>
      </c>
      <c r="F133" s="50">
        <f t="shared" si="84"/>
        <v>1173</v>
      </c>
      <c r="G133" s="50">
        <f t="shared" si="84"/>
        <v>0</v>
      </c>
      <c r="H133" s="50">
        <f t="shared" si="84"/>
        <v>0</v>
      </c>
      <c r="I133" s="50">
        <f t="shared" si="84"/>
        <v>20000</v>
      </c>
      <c r="J133" s="50">
        <f t="shared" si="84"/>
        <v>8000</v>
      </c>
      <c r="K133" s="50">
        <f t="shared" si="84"/>
        <v>35000</v>
      </c>
      <c r="L133" s="50">
        <f t="shared" si="84"/>
        <v>0</v>
      </c>
      <c r="M133" s="50">
        <f t="shared" si="84"/>
        <v>0</v>
      </c>
      <c r="N133" s="50">
        <f t="shared" si="84"/>
        <v>0</v>
      </c>
      <c r="O133" s="50">
        <f t="shared" si="84"/>
        <v>0</v>
      </c>
      <c r="P133" s="50">
        <f t="shared" si="84"/>
        <v>40000</v>
      </c>
      <c r="Q133" s="50">
        <f t="shared" si="84"/>
        <v>20000</v>
      </c>
      <c r="R133" s="50">
        <f t="shared" si="84"/>
        <v>45000</v>
      </c>
    </row>
    <row r="134" spans="1:18" x14ac:dyDescent="0.25">
      <c r="A134" s="41" t="s">
        <v>183</v>
      </c>
      <c r="B134" s="44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</row>
    <row r="135" spans="1:18" x14ac:dyDescent="0.25">
      <c r="A135" s="41" t="s">
        <v>184</v>
      </c>
      <c r="B135" s="44"/>
      <c r="C135" s="50">
        <f t="shared" ref="C135:F135" si="85">C960</f>
        <v>491208</v>
      </c>
      <c r="D135" s="50">
        <f t="shared" si="85"/>
        <v>846481</v>
      </c>
      <c r="E135" s="50">
        <f t="shared" si="85"/>
        <v>350530</v>
      </c>
      <c r="F135" s="50">
        <f t="shared" si="85"/>
        <v>676141.5</v>
      </c>
      <c r="G135" s="50">
        <f>G960</f>
        <v>179176</v>
      </c>
      <c r="H135" s="50">
        <f>H960</f>
        <v>194490</v>
      </c>
      <c r="I135" s="50">
        <f t="shared" ref="I135:R135" si="86">I960</f>
        <v>504907</v>
      </c>
      <c r="J135" s="50">
        <f t="shared" si="86"/>
        <v>796411.15999999992</v>
      </c>
      <c r="K135" s="50">
        <f t="shared" si="86"/>
        <v>515871.77184000006</v>
      </c>
      <c r="L135" s="50">
        <f t="shared" si="86"/>
        <v>627174.51359232003</v>
      </c>
      <c r="M135" s="50">
        <f t="shared" si="86"/>
        <v>595941.38489135099</v>
      </c>
      <c r="N135" s="50">
        <f t="shared" si="86"/>
        <v>773667.62474385207</v>
      </c>
      <c r="O135" s="50">
        <f t="shared" si="86"/>
        <v>693132.86536244838</v>
      </c>
      <c r="P135" s="50">
        <f t="shared" si="86"/>
        <v>622834.73699650948</v>
      </c>
      <c r="Q135" s="50">
        <f t="shared" si="86"/>
        <v>797381.37868442573</v>
      </c>
      <c r="R135" s="50">
        <f t="shared" si="86"/>
        <v>652157.13977285195</v>
      </c>
    </row>
    <row r="136" spans="1:18" x14ac:dyDescent="0.25">
      <c r="A136" s="41" t="s">
        <v>185</v>
      </c>
      <c r="B136" s="44"/>
      <c r="C136" s="50">
        <f t="shared" ref="C136:F136" si="87">C1064</f>
        <v>112335</v>
      </c>
      <c r="D136" s="50">
        <f t="shared" si="87"/>
        <v>38027</v>
      </c>
      <c r="E136" s="50">
        <f t="shared" si="87"/>
        <v>75004</v>
      </c>
      <c r="F136" s="50">
        <f t="shared" si="87"/>
        <v>74918</v>
      </c>
      <c r="G136" s="50">
        <f>G1064</f>
        <v>17418</v>
      </c>
      <c r="H136" s="50">
        <f>H1064</f>
        <v>423418</v>
      </c>
      <c r="I136" s="50">
        <f t="shared" ref="I136:R136" si="88">I1064</f>
        <v>247500</v>
      </c>
      <c r="J136" s="50">
        <f t="shared" si="88"/>
        <v>75000</v>
      </c>
      <c r="K136" s="50">
        <f t="shared" si="88"/>
        <v>87500</v>
      </c>
      <c r="L136" s="50">
        <f t="shared" si="88"/>
        <v>202500</v>
      </c>
      <c r="M136" s="50">
        <f t="shared" si="88"/>
        <v>175000</v>
      </c>
      <c r="N136" s="50">
        <f t="shared" si="88"/>
        <v>82500</v>
      </c>
      <c r="O136" s="50">
        <f t="shared" si="88"/>
        <v>82500</v>
      </c>
      <c r="P136" s="50">
        <f t="shared" si="88"/>
        <v>172500</v>
      </c>
      <c r="Q136" s="50">
        <f t="shared" si="88"/>
        <v>82500</v>
      </c>
      <c r="R136" s="50">
        <f t="shared" si="88"/>
        <v>132500</v>
      </c>
    </row>
    <row r="137" spans="1:18" x14ac:dyDescent="0.25">
      <c r="A137" s="41" t="s">
        <v>186</v>
      </c>
      <c r="B137" s="44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</row>
    <row r="138" spans="1:18" x14ac:dyDescent="0.25">
      <c r="A138" s="41" t="s">
        <v>172</v>
      </c>
      <c r="B138" s="44"/>
      <c r="C138" s="51">
        <f t="shared" ref="C138:R138" si="89">SUM(C130:C137)</f>
        <v>747850</v>
      </c>
      <c r="D138" s="51">
        <f t="shared" si="89"/>
        <v>922605</v>
      </c>
      <c r="E138" s="51">
        <f t="shared" si="89"/>
        <v>449926</v>
      </c>
      <c r="F138" s="51">
        <f t="shared" si="89"/>
        <v>833238.5</v>
      </c>
      <c r="G138" s="51">
        <f t="shared" si="89"/>
        <v>198184</v>
      </c>
      <c r="H138" s="51">
        <f t="shared" si="89"/>
        <v>617908</v>
      </c>
      <c r="I138" s="51">
        <f t="shared" si="89"/>
        <v>797407</v>
      </c>
      <c r="J138" s="51">
        <f t="shared" si="89"/>
        <v>879411.15999999992</v>
      </c>
      <c r="K138" s="51">
        <f t="shared" si="89"/>
        <v>763371.77184000006</v>
      </c>
      <c r="L138" s="51">
        <f t="shared" si="89"/>
        <v>864674.51359232003</v>
      </c>
      <c r="M138" s="51">
        <f t="shared" si="89"/>
        <v>830941.38489135099</v>
      </c>
      <c r="N138" s="51">
        <f t="shared" si="89"/>
        <v>911167.62474385207</v>
      </c>
      <c r="O138" s="51">
        <f t="shared" si="89"/>
        <v>855632.86536244838</v>
      </c>
      <c r="P138" s="51">
        <f t="shared" si="89"/>
        <v>885334.73699650948</v>
      </c>
      <c r="Q138" s="51">
        <f t="shared" si="89"/>
        <v>899881.37868442573</v>
      </c>
      <c r="R138" s="51">
        <f t="shared" si="89"/>
        <v>944657.13977285195</v>
      </c>
    </row>
    <row r="139" spans="1:18" x14ac:dyDescent="0.25">
      <c r="A139" s="48"/>
      <c r="B139" s="49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</row>
    <row r="140" spans="1:18" x14ac:dyDescent="0.25">
      <c r="A140" s="48" t="s">
        <v>173</v>
      </c>
      <c r="B140" s="49"/>
      <c r="C140" s="51">
        <f t="shared" ref="C140:F140" si="90">C127-C138</f>
        <v>-550742</v>
      </c>
      <c r="D140" s="51">
        <f t="shared" si="90"/>
        <v>-416588</v>
      </c>
      <c r="E140" s="51">
        <f t="shared" si="90"/>
        <v>-212169</v>
      </c>
      <c r="F140" s="51">
        <f t="shared" si="90"/>
        <v>-501362.5</v>
      </c>
      <c r="G140" s="51">
        <f>G127-G138</f>
        <v>-177641</v>
      </c>
      <c r="H140" s="51">
        <f>H127-H138</f>
        <v>-437908</v>
      </c>
      <c r="I140" s="51">
        <f t="shared" ref="I140:R140" si="91">I127-I138</f>
        <v>-797407</v>
      </c>
      <c r="J140" s="51">
        <f t="shared" si="91"/>
        <v>-879411.15999999992</v>
      </c>
      <c r="K140" s="51">
        <f t="shared" si="91"/>
        <v>-763371.77184000006</v>
      </c>
      <c r="L140" s="51">
        <f t="shared" si="91"/>
        <v>-864674.51359232003</v>
      </c>
      <c r="M140" s="51">
        <f t="shared" si="91"/>
        <v>-830941.38489135099</v>
      </c>
      <c r="N140" s="51">
        <f t="shared" si="91"/>
        <v>-911167.62474385207</v>
      </c>
      <c r="O140" s="51">
        <f t="shared" si="91"/>
        <v>-855632.86536244838</v>
      </c>
      <c r="P140" s="51">
        <f t="shared" si="91"/>
        <v>-885334.73699650948</v>
      </c>
      <c r="Q140" s="51">
        <f t="shared" si="91"/>
        <v>-899881.37868442573</v>
      </c>
      <c r="R140" s="51">
        <f t="shared" si="91"/>
        <v>-944657.13977285195</v>
      </c>
    </row>
    <row r="141" spans="1:18" x14ac:dyDescent="0.25">
      <c r="A141" s="48"/>
      <c r="B141" s="49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</row>
    <row r="142" spans="1:18" x14ac:dyDescent="0.25">
      <c r="A142" s="48" t="s">
        <v>187</v>
      </c>
      <c r="B142" s="49"/>
      <c r="C142" s="51">
        <f t="shared" ref="C142:R142" si="92">C114+C140</f>
        <v>-2702222</v>
      </c>
      <c r="D142" s="51">
        <f t="shared" si="92"/>
        <v>-2468380</v>
      </c>
      <c r="E142" s="51">
        <f t="shared" si="92"/>
        <v>-2427592.08</v>
      </c>
      <c r="F142" s="51">
        <f t="shared" si="92"/>
        <v>-2824265.3200000003</v>
      </c>
      <c r="G142" s="51">
        <f t="shared" si="92"/>
        <v>-2187051</v>
      </c>
      <c r="H142" s="51">
        <f t="shared" si="92"/>
        <v>-2877733.6957668001</v>
      </c>
      <c r="I142" s="51">
        <f t="shared" si="92"/>
        <v>-3272606.0660784161</v>
      </c>
      <c r="J142" s="51">
        <f t="shared" si="92"/>
        <v>-3369635.5414274195</v>
      </c>
      <c r="K142" s="51">
        <f t="shared" si="92"/>
        <v>-3321609.3359417072</v>
      </c>
      <c r="L142" s="51">
        <f t="shared" si="92"/>
        <v>-3495205.0350018186</v>
      </c>
      <c r="M142" s="51">
        <f t="shared" si="92"/>
        <v>-3533491.6193832383</v>
      </c>
      <c r="N142" s="51">
        <f t="shared" si="92"/>
        <v>-3685816.4723680364</v>
      </c>
      <c r="O142" s="51">
        <f t="shared" si="92"/>
        <v>-3708277.2132516475</v>
      </c>
      <c r="P142" s="51">
        <f t="shared" si="92"/>
        <v>-3820739.8702959535</v>
      </c>
      <c r="Q142" s="51">
        <f t="shared" si="92"/>
        <v>-3917920.6783553334</v>
      </c>
      <c r="R142" s="51">
        <f t="shared" si="92"/>
        <v>-4035989.0023586038</v>
      </c>
    </row>
    <row r="143" spans="1:18" x14ac:dyDescent="0.25">
      <c r="A143" s="48"/>
      <c r="B143" s="49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</row>
    <row r="144" spans="1:18" x14ac:dyDescent="0.25">
      <c r="A144" s="52"/>
      <c r="B144" s="53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</row>
    <row r="145" spans="1:18" x14ac:dyDescent="0.25">
      <c r="A145" s="41" t="s">
        <v>161</v>
      </c>
      <c r="B145" s="44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</row>
    <row r="146" spans="1:18" x14ac:dyDescent="0.25">
      <c r="A146" s="48"/>
      <c r="B146" s="49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</row>
    <row r="147" spans="1:18" x14ac:dyDescent="0.25">
      <c r="A147" s="48" t="s">
        <v>157</v>
      </c>
      <c r="B147" s="49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</row>
    <row r="148" spans="1:18" x14ac:dyDescent="0.25">
      <c r="A148" s="48"/>
      <c r="B148" s="49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</row>
    <row r="149" spans="1:18" x14ac:dyDescent="0.25">
      <c r="A149" s="48" t="s">
        <v>158</v>
      </c>
      <c r="B149" s="49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</row>
    <row r="150" spans="1:18" x14ac:dyDescent="0.25">
      <c r="A150" s="41" t="s">
        <v>188</v>
      </c>
      <c r="B150" s="44"/>
      <c r="C150" s="50">
        <f t="shared" ref="C150:F150" si="93">C1118</f>
        <v>65862</v>
      </c>
      <c r="D150" s="50">
        <f t="shared" si="93"/>
        <v>67576</v>
      </c>
      <c r="E150" s="50">
        <f t="shared" si="93"/>
        <v>68407</v>
      </c>
      <c r="F150" s="50">
        <f t="shared" si="93"/>
        <v>70701</v>
      </c>
      <c r="G150" s="50">
        <f>G1118</f>
        <v>73876</v>
      </c>
      <c r="H150" s="50">
        <f>H1118</f>
        <v>80500</v>
      </c>
      <c r="I150" s="50">
        <f t="shared" ref="I150:R150" si="94">I1118</f>
        <v>82351.5</v>
      </c>
      <c r="J150" s="50">
        <f t="shared" si="94"/>
        <v>84327.936000000002</v>
      </c>
      <c r="K150" s="50">
        <f t="shared" si="94"/>
        <v>86351.806464000008</v>
      </c>
      <c r="L150" s="50">
        <f t="shared" si="94"/>
        <v>88337.898012671998</v>
      </c>
      <c r="M150" s="50">
        <f t="shared" si="94"/>
        <v>90281.331768950797</v>
      </c>
      <c r="N150" s="50">
        <f t="shared" si="94"/>
        <v>92357.802399636639</v>
      </c>
      <c r="O150" s="50">
        <f t="shared" si="94"/>
        <v>94666.747459627542</v>
      </c>
      <c r="P150" s="50">
        <f t="shared" si="94"/>
        <v>97033.416146118238</v>
      </c>
      <c r="Q150" s="50">
        <f t="shared" si="94"/>
        <v>99362.21813362508</v>
      </c>
      <c r="R150" s="50">
        <f t="shared" si="94"/>
        <v>101746.91136883208</v>
      </c>
    </row>
    <row r="151" spans="1:18" x14ac:dyDescent="0.25">
      <c r="A151" s="41" t="s">
        <v>189</v>
      </c>
      <c r="B151" s="44"/>
      <c r="C151" s="50">
        <f t="shared" ref="C151:F151" si="95">C1177</f>
        <v>2367490</v>
      </c>
      <c r="D151" s="50">
        <f t="shared" si="95"/>
        <v>2517188</v>
      </c>
      <c r="E151" s="50">
        <f t="shared" si="95"/>
        <v>2642762</v>
      </c>
      <c r="F151" s="50">
        <f t="shared" si="95"/>
        <v>2709562</v>
      </c>
      <c r="G151" s="50">
        <f>G1177</f>
        <v>2795986</v>
      </c>
      <c r="H151" s="50">
        <f>H1177</f>
        <v>2975100</v>
      </c>
      <c r="I151" s="50">
        <f t="shared" ref="I151:R151" si="96">I1177</f>
        <v>3042151.8999999994</v>
      </c>
      <c r="J151" s="50">
        <f t="shared" si="96"/>
        <v>3113728.3456000006</v>
      </c>
      <c r="K151" s="50">
        <f t="shared" si="96"/>
        <v>3127222.6258944003</v>
      </c>
      <c r="L151" s="50">
        <f t="shared" si="96"/>
        <v>3199148.7462899708</v>
      </c>
      <c r="M151" s="50">
        <f t="shared" si="96"/>
        <v>3269530.0187083501</v>
      </c>
      <c r="N151" s="50">
        <f t="shared" si="96"/>
        <v>3344729.2091386421</v>
      </c>
      <c r="O151" s="50">
        <f t="shared" si="96"/>
        <v>3428347.4393671076</v>
      </c>
      <c r="P151" s="50">
        <f t="shared" si="96"/>
        <v>3514056.1253512851</v>
      </c>
      <c r="Q151" s="50">
        <f t="shared" si="96"/>
        <v>3598393.472359716</v>
      </c>
      <c r="R151" s="50">
        <f t="shared" si="96"/>
        <v>3684754.915696349</v>
      </c>
    </row>
    <row r="152" spans="1:18" x14ac:dyDescent="0.25">
      <c r="A152" s="41" t="s">
        <v>190</v>
      </c>
      <c r="B152" s="44"/>
      <c r="C152" s="50">
        <f t="shared" ref="C152:F152" si="97">C1267</f>
        <v>114168</v>
      </c>
      <c r="D152" s="50">
        <f t="shared" si="97"/>
        <v>172078</v>
      </c>
      <c r="E152" s="50">
        <f t="shared" si="97"/>
        <v>88762</v>
      </c>
      <c r="F152" s="50">
        <f t="shared" si="97"/>
        <v>32588</v>
      </c>
      <c r="G152" s="50">
        <f>G1267</f>
        <v>96108</v>
      </c>
      <c r="H152" s="50">
        <f>H1267</f>
        <v>0</v>
      </c>
      <c r="I152" s="50">
        <f t="shared" ref="I152:R152" si="98">I1267</f>
        <v>0</v>
      </c>
      <c r="J152" s="50">
        <f t="shared" si="98"/>
        <v>0</v>
      </c>
      <c r="K152" s="50">
        <f t="shared" si="98"/>
        <v>0</v>
      </c>
      <c r="L152" s="50">
        <f t="shared" si="98"/>
        <v>0</v>
      </c>
      <c r="M152" s="50">
        <f t="shared" si="98"/>
        <v>0</v>
      </c>
      <c r="N152" s="50">
        <f t="shared" si="98"/>
        <v>0</v>
      </c>
      <c r="O152" s="50">
        <f t="shared" si="98"/>
        <v>0</v>
      </c>
      <c r="P152" s="50">
        <f t="shared" si="98"/>
        <v>0</v>
      </c>
      <c r="Q152" s="50">
        <f t="shared" si="98"/>
        <v>0</v>
      </c>
      <c r="R152" s="50">
        <f t="shared" si="98"/>
        <v>0</v>
      </c>
    </row>
    <row r="153" spans="1:18" x14ac:dyDescent="0.25">
      <c r="A153" s="41" t="s">
        <v>184</v>
      </c>
      <c r="B153" s="44"/>
      <c r="C153" s="50">
        <f t="shared" ref="C153:F153" si="99">C1353</f>
        <v>0</v>
      </c>
      <c r="D153" s="50">
        <f t="shared" si="99"/>
        <v>0</v>
      </c>
      <c r="E153" s="50">
        <f t="shared" si="99"/>
        <v>0</v>
      </c>
      <c r="F153" s="50">
        <f t="shared" si="99"/>
        <v>0</v>
      </c>
      <c r="G153" s="50">
        <f>G1353</f>
        <v>0</v>
      </c>
      <c r="H153" s="50">
        <f>H1353</f>
        <v>22500</v>
      </c>
      <c r="I153" s="50">
        <f t="shared" ref="I153:R153" si="100">I1353</f>
        <v>23017.499999999996</v>
      </c>
      <c r="J153" s="50">
        <f t="shared" si="100"/>
        <v>23569.919999999998</v>
      </c>
      <c r="K153" s="50">
        <f t="shared" si="100"/>
        <v>24135.59808</v>
      </c>
      <c r="L153" s="50">
        <f t="shared" si="100"/>
        <v>24690.716835839998</v>
      </c>
      <c r="M153" s="50">
        <f t="shared" si="100"/>
        <v>25233.912606228478</v>
      </c>
      <c r="N153" s="50">
        <f t="shared" si="100"/>
        <v>25814.29259617173</v>
      </c>
      <c r="O153" s="50">
        <f t="shared" si="100"/>
        <v>26459.64991107602</v>
      </c>
      <c r="P153" s="50">
        <f t="shared" si="100"/>
        <v>27121.141158852919</v>
      </c>
      <c r="Q153" s="50">
        <f t="shared" si="100"/>
        <v>27772.048546665388</v>
      </c>
      <c r="R153" s="50">
        <f t="shared" si="100"/>
        <v>28438.577711785358</v>
      </c>
    </row>
    <row r="154" spans="1:18" x14ac:dyDescent="0.25">
      <c r="A154" s="41" t="s">
        <v>164</v>
      </c>
      <c r="B154" s="44"/>
      <c r="C154" s="51">
        <f t="shared" ref="C154:R154" si="101">SUM(C150:C153)</f>
        <v>2547520</v>
      </c>
      <c r="D154" s="51">
        <f t="shared" si="101"/>
        <v>2756842</v>
      </c>
      <c r="E154" s="51">
        <f t="shared" si="101"/>
        <v>2799931</v>
      </c>
      <c r="F154" s="51">
        <f t="shared" si="101"/>
        <v>2812851</v>
      </c>
      <c r="G154" s="51">
        <f t="shared" si="101"/>
        <v>2965970</v>
      </c>
      <c r="H154" s="51">
        <f t="shared" si="101"/>
        <v>3078100</v>
      </c>
      <c r="I154" s="51">
        <f t="shared" si="101"/>
        <v>3147520.8999999994</v>
      </c>
      <c r="J154" s="51">
        <f t="shared" si="101"/>
        <v>3221626.2016000007</v>
      </c>
      <c r="K154" s="51">
        <f t="shared" si="101"/>
        <v>3237710.0304384003</v>
      </c>
      <c r="L154" s="51">
        <f t="shared" si="101"/>
        <v>3312177.361138483</v>
      </c>
      <c r="M154" s="51">
        <f t="shared" si="101"/>
        <v>3385045.2630835297</v>
      </c>
      <c r="N154" s="51">
        <f t="shared" si="101"/>
        <v>3462901.3041344504</v>
      </c>
      <c r="O154" s="51">
        <f t="shared" si="101"/>
        <v>3549473.8367378111</v>
      </c>
      <c r="P154" s="51">
        <f t="shared" si="101"/>
        <v>3638210.682656256</v>
      </c>
      <c r="Q154" s="51">
        <f t="shared" si="101"/>
        <v>3725527.7390400064</v>
      </c>
      <c r="R154" s="51">
        <f t="shared" si="101"/>
        <v>3814940.4047769662</v>
      </c>
    </row>
    <row r="155" spans="1:18" x14ac:dyDescent="0.25">
      <c r="A155" s="48"/>
      <c r="B155" s="49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</row>
    <row r="156" spans="1:18" x14ac:dyDescent="0.25">
      <c r="A156" s="41" t="s">
        <v>165</v>
      </c>
      <c r="B156" s="44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</row>
    <row r="157" spans="1:18" x14ac:dyDescent="0.25">
      <c r="A157" s="41" t="s">
        <v>188</v>
      </c>
      <c r="B157" s="44"/>
      <c r="C157" s="50">
        <f t="shared" ref="C157:F157" si="102">C1153</f>
        <v>317999</v>
      </c>
      <c r="D157" s="50">
        <f t="shared" si="102"/>
        <v>320646</v>
      </c>
      <c r="E157" s="50">
        <f t="shared" si="102"/>
        <v>338439</v>
      </c>
      <c r="F157" s="50">
        <f t="shared" si="102"/>
        <v>384385</v>
      </c>
      <c r="G157" s="50">
        <f>G1153</f>
        <v>317355</v>
      </c>
      <c r="H157" s="50">
        <f>H1153</f>
        <v>366960</v>
      </c>
      <c r="I157" s="50">
        <f t="shared" ref="I157:R157" si="103">I1153</f>
        <v>375712.5</v>
      </c>
      <c r="J157" s="50">
        <f t="shared" si="103"/>
        <v>385719.00949999993</v>
      </c>
      <c r="K157" s="50">
        <f t="shared" si="103"/>
        <v>396989.7121704999</v>
      </c>
      <c r="L157" s="50">
        <f t="shared" si="103"/>
        <v>408637.49781644641</v>
      </c>
      <c r="M157" s="50">
        <f t="shared" si="103"/>
        <v>420225.27942121204</v>
      </c>
      <c r="N157" s="50">
        <f t="shared" si="103"/>
        <v>432205.50770028541</v>
      </c>
      <c r="O157" s="50">
        <f t="shared" si="103"/>
        <v>444855.03664074955</v>
      </c>
      <c r="P157" s="50">
        <f t="shared" si="103"/>
        <v>458502.24062977184</v>
      </c>
      <c r="Q157" s="50">
        <f t="shared" si="103"/>
        <v>473365.61332431494</v>
      </c>
      <c r="R157" s="50">
        <f t="shared" si="103"/>
        <v>487255.24510278768</v>
      </c>
    </row>
    <row r="158" spans="1:18" x14ac:dyDescent="0.25">
      <c r="A158" s="41" t="s">
        <v>189</v>
      </c>
      <c r="B158" s="44"/>
      <c r="C158" s="50">
        <f t="shared" ref="C158:F158" si="104">C1221</f>
        <v>2285668.4300000002</v>
      </c>
      <c r="D158" s="50">
        <f t="shared" si="104"/>
        <v>2469926</v>
      </c>
      <c r="E158" s="50">
        <f t="shared" si="104"/>
        <v>2580160</v>
      </c>
      <c r="F158" s="50">
        <f t="shared" si="104"/>
        <v>2491413</v>
      </c>
      <c r="G158" s="50">
        <f>G1221</f>
        <v>2625015</v>
      </c>
      <c r="H158" s="50">
        <f>H1221</f>
        <v>2909175</v>
      </c>
      <c r="I158" s="50">
        <f t="shared" ref="I158:R158" si="105">I1221</f>
        <v>2978738.1</v>
      </c>
      <c r="J158" s="50">
        <f t="shared" si="105"/>
        <v>3049503.4394000005</v>
      </c>
      <c r="K158" s="50">
        <f t="shared" si="105"/>
        <v>3062666.1815205999</v>
      </c>
      <c r="L158" s="50">
        <f t="shared" si="105"/>
        <v>3135146.4801553236</v>
      </c>
      <c r="M158" s="50">
        <f t="shared" si="105"/>
        <v>3207914.6798266633</v>
      </c>
      <c r="N158" s="50">
        <f t="shared" si="105"/>
        <v>3283045.8355974383</v>
      </c>
      <c r="O158" s="50">
        <f t="shared" si="105"/>
        <v>3366486.2705161795</v>
      </c>
      <c r="P158" s="50">
        <f t="shared" si="105"/>
        <v>3452616.4750647335</v>
      </c>
      <c r="Q158" s="50">
        <f t="shared" si="105"/>
        <v>3536971.548422243</v>
      </c>
      <c r="R158" s="50">
        <f t="shared" si="105"/>
        <v>3624327.5220308383</v>
      </c>
    </row>
    <row r="159" spans="1:18" x14ac:dyDescent="0.25">
      <c r="A159" s="41" t="s">
        <v>190</v>
      </c>
      <c r="B159" s="44"/>
      <c r="C159" s="50">
        <f t="shared" ref="C159:F159" si="106">C1312</f>
        <v>251315</v>
      </c>
      <c r="D159" s="50">
        <f t="shared" si="106"/>
        <v>308029</v>
      </c>
      <c r="E159" s="50">
        <f t="shared" si="106"/>
        <v>284023</v>
      </c>
      <c r="F159" s="50">
        <f t="shared" si="106"/>
        <v>304642</v>
      </c>
      <c r="G159" s="50">
        <f>G1312</f>
        <v>236439</v>
      </c>
      <c r="H159" s="50">
        <f>H1312</f>
        <v>220100</v>
      </c>
      <c r="I159" s="50">
        <f t="shared" ref="I159:R159" si="107">I1312</f>
        <v>225325.6</v>
      </c>
      <c r="J159" s="50">
        <f t="shared" si="107"/>
        <v>230982.63939999999</v>
      </c>
      <c r="K159" s="50">
        <f t="shared" si="107"/>
        <v>236927.92572059997</v>
      </c>
      <c r="L159" s="50">
        <f t="shared" si="107"/>
        <v>242917.70139392378</v>
      </c>
      <c r="M159" s="50">
        <f t="shared" si="107"/>
        <v>248883.04320793785</v>
      </c>
      <c r="N159" s="50">
        <f t="shared" si="107"/>
        <v>255072.73576345085</v>
      </c>
      <c r="O159" s="50">
        <f t="shared" si="107"/>
        <v>261895.03919611938</v>
      </c>
      <c r="P159" s="50">
        <f t="shared" si="107"/>
        <v>268950.19303864421</v>
      </c>
      <c r="Q159" s="50">
        <f t="shared" si="107"/>
        <v>276156.28912707273</v>
      </c>
      <c r="R159" s="50">
        <f t="shared" si="107"/>
        <v>280076.69143111055</v>
      </c>
    </row>
    <row r="160" spans="1:18" x14ac:dyDescent="0.25">
      <c r="A160" s="41" t="s">
        <v>184</v>
      </c>
      <c r="B160" s="44"/>
      <c r="C160" s="50">
        <f t="shared" ref="C160:F160" si="108">C1381</f>
        <v>174074</v>
      </c>
      <c r="D160" s="50">
        <f t="shared" si="108"/>
        <v>280123</v>
      </c>
      <c r="E160" s="50">
        <f t="shared" si="108"/>
        <v>248817</v>
      </c>
      <c r="F160" s="50">
        <f t="shared" si="108"/>
        <v>181671</v>
      </c>
      <c r="G160" s="50">
        <f>G1381</f>
        <v>195808</v>
      </c>
      <c r="H160" s="50">
        <f>H1381</f>
        <v>256230</v>
      </c>
      <c r="I160" s="50">
        <f t="shared" ref="I160:R160" si="109">I1381</f>
        <v>250849.5</v>
      </c>
      <c r="J160" s="50">
        <f t="shared" si="109"/>
        <v>263811.92249999999</v>
      </c>
      <c r="K160" s="50">
        <f t="shared" si="109"/>
        <v>283264.08089749998</v>
      </c>
      <c r="L160" s="50">
        <f t="shared" si="109"/>
        <v>272470.06694311748</v>
      </c>
      <c r="M160" s="50">
        <f t="shared" si="109"/>
        <v>285540.01848894521</v>
      </c>
      <c r="N160" s="50">
        <f t="shared" si="109"/>
        <v>299624.65151418338</v>
      </c>
      <c r="O160" s="50">
        <f t="shared" si="109"/>
        <v>294612.27370003005</v>
      </c>
      <c r="P160" s="50">
        <f t="shared" si="109"/>
        <v>316823.4952826096</v>
      </c>
      <c r="Q160" s="50">
        <f t="shared" si="109"/>
        <v>322866.27010021597</v>
      </c>
      <c r="R160" s="50">
        <f t="shared" si="109"/>
        <v>329100.03465300304</v>
      </c>
    </row>
    <row r="161" spans="1:18" x14ac:dyDescent="0.25">
      <c r="A161" s="41" t="s">
        <v>166</v>
      </c>
      <c r="B161" s="44"/>
      <c r="C161" s="51">
        <f t="shared" ref="C161:R161" si="110">SUM(C157:C160)</f>
        <v>3029056.43</v>
      </c>
      <c r="D161" s="51">
        <f t="shared" si="110"/>
        <v>3378724</v>
      </c>
      <c r="E161" s="51">
        <f t="shared" si="110"/>
        <v>3451439</v>
      </c>
      <c r="F161" s="51">
        <f t="shared" si="110"/>
        <v>3362111</v>
      </c>
      <c r="G161" s="51">
        <f t="shared" si="110"/>
        <v>3374617</v>
      </c>
      <c r="H161" s="51">
        <f t="shared" si="110"/>
        <v>3752465</v>
      </c>
      <c r="I161" s="51">
        <f t="shared" si="110"/>
        <v>3830625.7</v>
      </c>
      <c r="J161" s="51">
        <f t="shared" si="110"/>
        <v>3930017.0107999998</v>
      </c>
      <c r="K161" s="51">
        <f t="shared" si="110"/>
        <v>3979847.9003091995</v>
      </c>
      <c r="L161" s="51">
        <f t="shared" si="110"/>
        <v>4059171.746308811</v>
      </c>
      <c r="M161" s="51">
        <f t="shared" si="110"/>
        <v>4162563.0209447583</v>
      </c>
      <c r="N161" s="51">
        <f t="shared" si="110"/>
        <v>4269948.7305753585</v>
      </c>
      <c r="O161" s="51">
        <f t="shared" si="110"/>
        <v>4367848.620053078</v>
      </c>
      <c r="P161" s="51">
        <f t="shared" si="110"/>
        <v>4496892.404015759</v>
      </c>
      <c r="Q161" s="51">
        <f t="shared" si="110"/>
        <v>4609359.7209738465</v>
      </c>
      <c r="R161" s="51">
        <f t="shared" si="110"/>
        <v>4720759.4932177402</v>
      </c>
    </row>
    <row r="162" spans="1:18" x14ac:dyDescent="0.25">
      <c r="A162" s="48"/>
      <c r="B162" s="49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</row>
    <row r="163" spans="1:18" x14ac:dyDescent="0.25">
      <c r="A163" s="48" t="s">
        <v>167</v>
      </c>
      <c r="B163" s="49"/>
      <c r="C163" s="51">
        <f t="shared" ref="C163:R163" si="111">C154-C161</f>
        <v>-481536.43000000017</v>
      </c>
      <c r="D163" s="51">
        <f t="shared" si="111"/>
        <v>-621882</v>
      </c>
      <c r="E163" s="51">
        <f t="shared" si="111"/>
        <v>-651508</v>
      </c>
      <c r="F163" s="51">
        <f t="shared" si="111"/>
        <v>-549260</v>
      </c>
      <c r="G163" s="51">
        <f t="shared" si="111"/>
        <v>-408647</v>
      </c>
      <c r="H163" s="51">
        <f t="shared" si="111"/>
        <v>-674365</v>
      </c>
      <c r="I163" s="51">
        <f t="shared" si="111"/>
        <v>-683104.80000000075</v>
      </c>
      <c r="J163" s="51">
        <f t="shared" si="111"/>
        <v>-708390.80919999909</v>
      </c>
      <c r="K163" s="51">
        <f t="shared" si="111"/>
        <v>-742137.86987079913</v>
      </c>
      <c r="L163" s="51">
        <f t="shared" si="111"/>
        <v>-746994.38517032797</v>
      </c>
      <c r="M163" s="51">
        <f t="shared" si="111"/>
        <v>-777517.75786122866</v>
      </c>
      <c r="N163" s="51">
        <f t="shared" si="111"/>
        <v>-807047.42644090811</v>
      </c>
      <c r="O163" s="51">
        <f t="shared" si="111"/>
        <v>-818374.78331526695</v>
      </c>
      <c r="P163" s="51">
        <f t="shared" si="111"/>
        <v>-858681.72135950299</v>
      </c>
      <c r="Q163" s="51">
        <f t="shared" si="111"/>
        <v>-883831.98193384008</v>
      </c>
      <c r="R163" s="51">
        <f t="shared" si="111"/>
        <v>-905819.08844077401</v>
      </c>
    </row>
    <row r="164" spans="1:18" x14ac:dyDescent="0.25">
      <c r="A164" s="48"/>
      <c r="B164" s="49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</row>
    <row r="165" spans="1:18" x14ac:dyDescent="0.25">
      <c r="A165" s="48" t="s">
        <v>168</v>
      </c>
      <c r="B165" s="49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</row>
    <row r="166" spans="1:18" x14ac:dyDescent="0.25">
      <c r="A166" s="48"/>
      <c r="B166" s="49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</row>
    <row r="167" spans="1:18" x14ac:dyDescent="0.25">
      <c r="A167" s="48" t="s">
        <v>169</v>
      </c>
      <c r="B167" s="49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</row>
    <row r="168" spans="1:18" x14ac:dyDescent="0.25">
      <c r="A168" s="41" t="s">
        <v>188</v>
      </c>
      <c r="B168" s="44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</row>
    <row r="169" spans="1:18" x14ac:dyDescent="0.25">
      <c r="A169" s="41" t="s">
        <v>189</v>
      </c>
      <c r="B169" s="44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</row>
    <row r="170" spans="1:18" x14ac:dyDescent="0.25">
      <c r="A170" s="41" t="s">
        <v>190</v>
      </c>
      <c r="B170" s="44"/>
      <c r="C170" s="50">
        <f t="shared" ref="C170:F170" si="112">C1318</f>
        <v>0</v>
      </c>
      <c r="D170" s="50">
        <f t="shared" si="112"/>
        <v>0</v>
      </c>
      <c r="E170" s="50">
        <f t="shared" si="112"/>
        <v>0</v>
      </c>
      <c r="F170" s="50">
        <f t="shared" si="112"/>
        <v>0</v>
      </c>
      <c r="G170" s="50">
        <f>G1318</f>
        <v>0</v>
      </c>
      <c r="H170" s="50">
        <f>H1318</f>
        <v>0</v>
      </c>
      <c r="I170" s="50">
        <f t="shared" ref="I170:R170" si="113">I1318</f>
        <v>0</v>
      </c>
      <c r="J170" s="50">
        <f t="shared" si="113"/>
        <v>0</v>
      </c>
      <c r="K170" s="50">
        <f t="shared" si="113"/>
        <v>0</v>
      </c>
      <c r="L170" s="50">
        <f t="shared" si="113"/>
        <v>0</v>
      </c>
      <c r="M170" s="50">
        <f t="shared" si="113"/>
        <v>0</v>
      </c>
      <c r="N170" s="50">
        <f t="shared" si="113"/>
        <v>0</v>
      </c>
      <c r="O170" s="50">
        <f t="shared" si="113"/>
        <v>0</v>
      </c>
      <c r="P170" s="50">
        <f t="shared" si="113"/>
        <v>0</v>
      </c>
      <c r="Q170" s="50">
        <f t="shared" si="113"/>
        <v>0</v>
      </c>
      <c r="R170" s="50">
        <f t="shared" si="113"/>
        <v>0</v>
      </c>
    </row>
    <row r="171" spans="1:18" x14ac:dyDescent="0.25">
      <c r="A171" s="41" t="s">
        <v>184</v>
      </c>
      <c r="B171" s="44"/>
      <c r="C171" s="50"/>
      <c r="D171" s="50">
        <f t="shared" ref="D171" si="114">D1387</f>
        <v>34030</v>
      </c>
      <c r="E171" s="50">
        <f>E1387</f>
        <v>34802</v>
      </c>
      <c r="F171" s="50">
        <f t="shared" ref="F171" si="115">F1387</f>
        <v>0</v>
      </c>
      <c r="G171" s="50">
        <f>G1387</f>
        <v>0</v>
      </c>
      <c r="H171" s="50">
        <f>H1387</f>
        <v>0</v>
      </c>
      <c r="I171" s="50">
        <f t="shared" ref="I171:R171" si="116">I1387</f>
        <v>0</v>
      </c>
      <c r="J171" s="50">
        <f t="shared" si="116"/>
        <v>0</v>
      </c>
      <c r="K171" s="50">
        <f t="shared" si="116"/>
        <v>0</v>
      </c>
      <c r="L171" s="50">
        <f t="shared" si="116"/>
        <v>0</v>
      </c>
      <c r="M171" s="50">
        <f t="shared" si="116"/>
        <v>0</v>
      </c>
      <c r="N171" s="50">
        <f t="shared" si="116"/>
        <v>0</v>
      </c>
      <c r="O171" s="50">
        <f t="shared" si="116"/>
        <v>0</v>
      </c>
      <c r="P171" s="50">
        <f t="shared" si="116"/>
        <v>0</v>
      </c>
      <c r="Q171" s="50">
        <f t="shared" si="116"/>
        <v>0</v>
      </c>
      <c r="R171" s="50">
        <f t="shared" si="116"/>
        <v>0</v>
      </c>
    </row>
    <row r="172" spans="1:18" x14ac:dyDescent="0.25">
      <c r="A172" s="41" t="s">
        <v>170</v>
      </c>
      <c r="B172" s="44"/>
      <c r="C172" s="51">
        <f t="shared" ref="C172:R172" si="117">SUM(C167:C171)</f>
        <v>0</v>
      </c>
      <c r="D172" s="51">
        <f t="shared" si="117"/>
        <v>34030</v>
      </c>
      <c r="E172" s="51">
        <f t="shared" si="117"/>
        <v>34802</v>
      </c>
      <c r="F172" s="51">
        <f t="shared" si="117"/>
        <v>0</v>
      </c>
      <c r="G172" s="51">
        <f t="shared" si="117"/>
        <v>0</v>
      </c>
      <c r="H172" s="51">
        <f t="shared" si="117"/>
        <v>0</v>
      </c>
      <c r="I172" s="51">
        <f t="shared" si="117"/>
        <v>0</v>
      </c>
      <c r="J172" s="51">
        <f t="shared" si="117"/>
        <v>0</v>
      </c>
      <c r="K172" s="51">
        <f t="shared" si="117"/>
        <v>0</v>
      </c>
      <c r="L172" s="51">
        <f t="shared" si="117"/>
        <v>0</v>
      </c>
      <c r="M172" s="51">
        <f t="shared" si="117"/>
        <v>0</v>
      </c>
      <c r="N172" s="51">
        <f t="shared" si="117"/>
        <v>0</v>
      </c>
      <c r="O172" s="51">
        <f t="shared" si="117"/>
        <v>0</v>
      </c>
      <c r="P172" s="51">
        <f t="shared" si="117"/>
        <v>0</v>
      </c>
      <c r="Q172" s="51">
        <f t="shared" si="117"/>
        <v>0</v>
      </c>
      <c r="R172" s="51">
        <f t="shared" si="117"/>
        <v>0</v>
      </c>
    </row>
    <row r="173" spans="1:18" x14ac:dyDescent="0.25">
      <c r="A173" s="48"/>
      <c r="B173" s="49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</row>
    <row r="174" spans="1:18" x14ac:dyDescent="0.25">
      <c r="A174" s="41" t="s">
        <v>171</v>
      </c>
      <c r="B174" s="44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</row>
    <row r="175" spans="1:18" x14ac:dyDescent="0.25">
      <c r="A175" s="41" t="s">
        <v>188</v>
      </c>
      <c r="B175" s="44"/>
      <c r="C175" s="50"/>
      <c r="D175" s="50">
        <f>D168:N168</f>
        <v>0</v>
      </c>
      <c r="E175" s="50">
        <f>E168:N168</f>
        <v>0</v>
      </c>
      <c r="F175" s="50">
        <f>F168:N168</f>
        <v>0</v>
      </c>
      <c r="G175" s="50">
        <f>G168:V168</f>
        <v>0</v>
      </c>
      <c r="H175" s="50">
        <f t="shared" ref="H175" si="118">H168:Q168</f>
        <v>0</v>
      </c>
      <c r="I175" s="50">
        <f>I168:Q168</f>
        <v>0</v>
      </c>
      <c r="J175" s="50">
        <f>J168:Q168</f>
        <v>0</v>
      </c>
      <c r="K175" s="50">
        <f>K168:Q168</f>
        <v>0</v>
      </c>
      <c r="L175" s="50">
        <f>L168:Q168</f>
        <v>0</v>
      </c>
      <c r="M175" s="50">
        <f>M168:Q168</f>
        <v>0</v>
      </c>
      <c r="N175" s="50">
        <f>N168:Q168</f>
        <v>0</v>
      </c>
      <c r="O175" s="50">
        <f>O168:Q168</f>
        <v>0</v>
      </c>
      <c r="P175" s="50">
        <f>P168:Q168</f>
        <v>0</v>
      </c>
      <c r="Q175" s="50">
        <f>Q168:Q168</f>
        <v>0</v>
      </c>
      <c r="R175" s="50">
        <f>R168:R168</f>
        <v>0</v>
      </c>
    </row>
    <row r="176" spans="1:18" x14ac:dyDescent="0.25">
      <c r="A176" s="41" t="s">
        <v>189</v>
      </c>
      <c r="B176" s="44"/>
      <c r="C176" s="50"/>
      <c r="D176" s="50">
        <f>D1692</f>
        <v>51765</v>
      </c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</row>
    <row r="177" spans="1:18" x14ac:dyDescent="0.25">
      <c r="A177" s="41" t="s">
        <v>190</v>
      </c>
      <c r="B177" s="44"/>
      <c r="C177" s="50">
        <f t="shared" ref="C177:E177" si="119">C1342</f>
        <v>48770</v>
      </c>
      <c r="D177" s="50">
        <f t="shared" si="119"/>
        <v>109922</v>
      </c>
      <c r="E177" s="50">
        <f t="shared" si="119"/>
        <v>112783</v>
      </c>
      <c r="F177" s="50">
        <f>F1342+F1229</f>
        <v>86525</v>
      </c>
      <c r="G177" s="50">
        <f>G1342</f>
        <v>41616</v>
      </c>
      <c r="H177" s="50">
        <f>H1342</f>
        <v>46387</v>
      </c>
      <c r="I177" s="50">
        <f t="shared" ref="I177:R177" si="120">I1342</f>
        <v>103090</v>
      </c>
      <c r="J177" s="50">
        <f t="shared" si="120"/>
        <v>75504</v>
      </c>
      <c r="K177" s="50">
        <f t="shared" si="120"/>
        <v>112361</v>
      </c>
      <c r="L177" s="50">
        <f t="shared" si="120"/>
        <v>58925</v>
      </c>
      <c r="M177" s="50">
        <f t="shared" si="120"/>
        <v>121800</v>
      </c>
      <c r="N177" s="50">
        <f t="shared" si="120"/>
        <v>48628</v>
      </c>
      <c r="O177" s="50">
        <f t="shared" si="120"/>
        <v>48628</v>
      </c>
      <c r="P177" s="50">
        <f t="shared" si="120"/>
        <v>48628</v>
      </c>
      <c r="Q177" s="50">
        <f t="shared" si="120"/>
        <v>48628</v>
      </c>
      <c r="R177" s="50">
        <f t="shared" si="120"/>
        <v>48628</v>
      </c>
    </row>
    <row r="178" spans="1:18" x14ac:dyDescent="0.25">
      <c r="A178" s="41" t="s">
        <v>184</v>
      </c>
      <c r="B178" s="44"/>
      <c r="C178" s="50"/>
      <c r="D178" s="50">
        <f t="shared" ref="D178" si="121">D1393</f>
        <v>0</v>
      </c>
      <c r="E178" s="50">
        <f>E1393</f>
        <v>0</v>
      </c>
      <c r="F178" s="50">
        <f t="shared" ref="F178" si="122">F1393</f>
        <v>0</v>
      </c>
      <c r="G178" s="50">
        <f>G1393</f>
        <v>0</v>
      </c>
      <c r="H178" s="50">
        <f>H1393</f>
        <v>0</v>
      </c>
      <c r="I178" s="50">
        <f t="shared" ref="I178:R178" si="123">I1393</f>
        <v>0</v>
      </c>
      <c r="J178" s="50">
        <f t="shared" si="123"/>
        <v>0</v>
      </c>
      <c r="K178" s="50">
        <f t="shared" si="123"/>
        <v>0</v>
      </c>
      <c r="L178" s="50">
        <f t="shared" si="123"/>
        <v>0</v>
      </c>
      <c r="M178" s="50">
        <f t="shared" si="123"/>
        <v>0</v>
      </c>
      <c r="N178" s="50">
        <f t="shared" si="123"/>
        <v>0</v>
      </c>
      <c r="O178" s="50">
        <f t="shared" si="123"/>
        <v>0</v>
      </c>
      <c r="P178" s="50">
        <f t="shared" si="123"/>
        <v>0</v>
      </c>
      <c r="Q178" s="50">
        <f t="shared" si="123"/>
        <v>0</v>
      </c>
      <c r="R178" s="50">
        <f t="shared" si="123"/>
        <v>0</v>
      </c>
    </row>
    <row r="179" spans="1:18" x14ac:dyDescent="0.25">
      <c r="A179" s="41" t="s">
        <v>172</v>
      </c>
      <c r="B179" s="44"/>
      <c r="C179" s="51">
        <f t="shared" ref="C179:R179" si="124">SUM(C175:C178)</f>
        <v>48770</v>
      </c>
      <c r="D179" s="51">
        <f t="shared" si="124"/>
        <v>161687</v>
      </c>
      <c r="E179" s="51">
        <f t="shared" si="124"/>
        <v>112783</v>
      </c>
      <c r="F179" s="51">
        <f t="shared" si="124"/>
        <v>86525</v>
      </c>
      <c r="G179" s="51">
        <f t="shared" si="124"/>
        <v>41616</v>
      </c>
      <c r="H179" s="51">
        <f t="shared" si="124"/>
        <v>46387</v>
      </c>
      <c r="I179" s="51">
        <f t="shared" si="124"/>
        <v>103090</v>
      </c>
      <c r="J179" s="51">
        <f t="shared" si="124"/>
        <v>75504</v>
      </c>
      <c r="K179" s="51">
        <f t="shared" si="124"/>
        <v>112361</v>
      </c>
      <c r="L179" s="51">
        <f t="shared" si="124"/>
        <v>58925</v>
      </c>
      <c r="M179" s="51">
        <f t="shared" si="124"/>
        <v>121800</v>
      </c>
      <c r="N179" s="51">
        <f t="shared" si="124"/>
        <v>48628</v>
      </c>
      <c r="O179" s="51">
        <f t="shared" si="124"/>
        <v>48628</v>
      </c>
      <c r="P179" s="51">
        <f t="shared" si="124"/>
        <v>48628</v>
      </c>
      <c r="Q179" s="51">
        <f t="shared" si="124"/>
        <v>48628</v>
      </c>
      <c r="R179" s="51">
        <f t="shared" si="124"/>
        <v>48628</v>
      </c>
    </row>
    <row r="180" spans="1:18" x14ac:dyDescent="0.25">
      <c r="A180" s="48"/>
      <c r="B180" s="49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</row>
    <row r="181" spans="1:18" x14ac:dyDescent="0.25">
      <c r="A181" s="48" t="s">
        <v>173</v>
      </c>
      <c r="B181" s="49"/>
      <c r="C181" s="51">
        <f t="shared" ref="C181:R181" si="125">C172-C179</f>
        <v>-48770</v>
      </c>
      <c r="D181" s="51">
        <f t="shared" si="125"/>
        <v>-127657</v>
      </c>
      <c r="E181" s="51">
        <f t="shared" si="125"/>
        <v>-77981</v>
      </c>
      <c r="F181" s="51">
        <f t="shared" si="125"/>
        <v>-86525</v>
      </c>
      <c r="G181" s="51">
        <f t="shared" si="125"/>
        <v>-41616</v>
      </c>
      <c r="H181" s="51">
        <f t="shared" si="125"/>
        <v>-46387</v>
      </c>
      <c r="I181" s="51">
        <f t="shared" si="125"/>
        <v>-103090</v>
      </c>
      <c r="J181" s="51">
        <f t="shared" si="125"/>
        <v>-75504</v>
      </c>
      <c r="K181" s="51">
        <f t="shared" si="125"/>
        <v>-112361</v>
      </c>
      <c r="L181" s="51">
        <f t="shared" si="125"/>
        <v>-58925</v>
      </c>
      <c r="M181" s="51">
        <f t="shared" si="125"/>
        <v>-121800</v>
      </c>
      <c r="N181" s="51">
        <f t="shared" si="125"/>
        <v>-48628</v>
      </c>
      <c r="O181" s="51">
        <f t="shared" si="125"/>
        <v>-48628</v>
      </c>
      <c r="P181" s="51">
        <f t="shared" si="125"/>
        <v>-48628</v>
      </c>
      <c r="Q181" s="51">
        <f t="shared" si="125"/>
        <v>-48628</v>
      </c>
      <c r="R181" s="51">
        <f t="shared" si="125"/>
        <v>-48628</v>
      </c>
    </row>
    <row r="182" spans="1:18" x14ac:dyDescent="0.25">
      <c r="A182" s="48"/>
      <c r="B182" s="49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</row>
    <row r="183" spans="1:18" x14ac:dyDescent="0.25">
      <c r="A183" s="41" t="s">
        <v>191</v>
      </c>
      <c r="B183" s="44"/>
      <c r="C183" s="51">
        <f t="shared" ref="C183:R183" si="126">C181+C163</f>
        <v>-530306.43000000017</v>
      </c>
      <c r="D183" s="51">
        <f t="shared" si="126"/>
        <v>-749539</v>
      </c>
      <c r="E183" s="51">
        <f t="shared" si="126"/>
        <v>-729489</v>
      </c>
      <c r="F183" s="51">
        <f t="shared" si="126"/>
        <v>-635785</v>
      </c>
      <c r="G183" s="51">
        <f t="shared" si="126"/>
        <v>-450263</v>
      </c>
      <c r="H183" s="51">
        <f t="shared" si="126"/>
        <v>-720752</v>
      </c>
      <c r="I183" s="51">
        <f>I181+I163</f>
        <v>-786194.80000000075</v>
      </c>
      <c r="J183" s="51">
        <f t="shared" si="126"/>
        <v>-783894.80919999909</v>
      </c>
      <c r="K183" s="51">
        <f t="shared" si="126"/>
        <v>-854498.86987079913</v>
      </c>
      <c r="L183" s="51">
        <f t="shared" si="126"/>
        <v>-805919.38517032797</v>
      </c>
      <c r="M183" s="51">
        <f t="shared" si="126"/>
        <v>-899317.75786122866</v>
      </c>
      <c r="N183" s="51">
        <f t="shared" si="126"/>
        <v>-855675.42644090811</v>
      </c>
      <c r="O183" s="51">
        <f t="shared" si="126"/>
        <v>-867002.78331526695</v>
      </c>
      <c r="P183" s="51">
        <f t="shared" si="126"/>
        <v>-907309.72135950299</v>
      </c>
      <c r="Q183" s="51">
        <f t="shared" si="126"/>
        <v>-932459.98193384008</v>
      </c>
      <c r="R183" s="51">
        <f t="shared" si="126"/>
        <v>-954447.08844077401</v>
      </c>
    </row>
    <row r="184" spans="1:18" x14ac:dyDescent="0.25">
      <c r="A184" s="41"/>
      <c r="B184" s="44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</row>
    <row r="185" spans="1:18" x14ac:dyDescent="0.25">
      <c r="A185" s="41" t="s">
        <v>162</v>
      </c>
      <c r="B185" s="44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</row>
    <row r="186" spans="1:18" x14ac:dyDescent="0.25">
      <c r="A186" s="48"/>
      <c r="B186" s="44"/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</row>
    <row r="187" spans="1:18" x14ac:dyDescent="0.25">
      <c r="A187" s="48" t="s">
        <v>157</v>
      </c>
      <c r="B187" s="44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</row>
    <row r="188" spans="1:18" x14ac:dyDescent="0.25">
      <c r="A188" s="48"/>
      <c r="B188" s="44"/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</row>
    <row r="189" spans="1:18" x14ac:dyDescent="0.25">
      <c r="A189" s="48" t="s">
        <v>158</v>
      </c>
      <c r="B189" s="44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</row>
    <row r="190" spans="1:18" x14ac:dyDescent="0.25">
      <c r="A190" s="41" t="s">
        <v>190</v>
      </c>
      <c r="B190" s="44"/>
      <c r="C190" s="50">
        <f t="shared" ref="C190:F190" si="127">C1433</f>
        <v>845357</v>
      </c>
      <c r="D190" s="50">
        <f t="shared" si="127"/>
        <v>1206700</v>
      </c>
      <c r="E190" s="50">
        <f t="shared" si="127"/>
        <v>745323</v>
      </c>
      <c r="F190" s="50">
        <f t="shared" si="127"/>
        <v>772689</v>
      </c>
      <c r="G190" s="50">
        <f>G1433</f>
        <v>780640</v>
      </c>
      <c r="H190" s="50">
        <f>H1433</f>
        <v>1719400</v>
      </c>
      <c r="I190" s="50">
        <f t="shared" ref="I190:R190" si="128">I1433</f>
        <v>846473.2</v>
      </c>
      <c r="J190" s="50">
        <f t="shared" si="128"/>
        <v>866428.55680000002</v>
      </c>
      <c r="K190" s="50">
        <f t="shared" si="128"/>
        <v>886862.84216319979</v>
      </c>
      <c r="L190" s="50">
        <f t="shared" si="128"/>
        <v>906915.68753295345</v>
      </c>
      <c r="M190" s="50">
        <f t="shared" si="128"/>
        <v>926537.83265867829</v>
      </c>
      <c r="N190" s="50">
        <f t="shared" si="128"/>
        <v>947503.20280982798</v>
      </c>
      <c r="O190" s="50">
        <f t="shared" si="128"/>
        <v>970815.78288007365</v>
      </c>
      <c r="P190" s="50">
        <f t="shared" si="128"/>
        <v>994711.17745207553</v>
      </c>
      <c r="Q190" s="50">
        <f t="shared" si="128"/>
        <v>1018224.2457109254</v>
      </c>
      <c r="R190" s="50">
        <f t="shared" si="128"/>
        <v>1042301.6276079874</v>
      </c>
    </row>
    <row r="191" spans="1:18" x14ac:dyDescent="0.25">
      <c r="A191" s="41" t="s">
        <v>192</v>
      </c>
      <c r="B191" s="44"/>
      <c r="C191" s="50">
        <f t="shared" ref="C191:F191" si="129">C1565</f>
        <v>766247</v>
      </c>
      <c r="D191" s="50">
        <f t="shared" si="129"/>
        <v>663214</v>
      </c>
      <c r="E191" s="50">
        <f t="shared" si="129"/>
        <v>527097</v>
      </c>
      <c r="F191" s="50">
        <f t="shared" si="129"/>
        <v>376452</v>
      </c>
      <c r="G191" s="50">
        <f>G1565</f>
        <v>451799</v>
      </c>
      <c r="H191" s="50">
        <f>H1565</f>
        <v>623500</v>
      </c>
      <c r="I191" s="50">
        <f t="shared" ref="I191:R191" si="130">I1565</f>
        <v>637840.5</v>
      </c>
      <c r="J191" s="50">
        <f t="shared" si="130"/>
        <v>653148.67200000002</v>
      </c>
      <c r="K191" s="50">
        <f t="shared" si="130"/>
        <v>668824.24012800003</v>
      </c>
      <c r="L191" s="50">
        <f t="shared" si="130"/>
        <v>684207.197650944</v>
      </c>
      <c r="M191" s="50">
        <f t="shared" si="130"/>
        <v>699259.75599926477</v>
      </c>
      <c r="N191" s="50">
        <f t="shared" si="130"/>
        <v>715342.73038724775</v>
      </c>
      <c r="O191" s="50">
        <f t="shared" si="130"/>
        <v>733226.29864692898</v>
      </c>
      <c r="P191" s="50">
        <f t="shared" si="130"/>
        <v>751556.95611310215</v>
      </c>
      <c r="Q191" s="50">
        <f t="shared" si="130"/>
        <v>769594.3230598165</v>
      </c>
      <c r="R191" s="50">
        <f t="shared" si="130"/>
        <v>788064.58681325219</v>
      </c>
    </row>
    <row r="192" spans="1:18" x14ac:dyDescent="0.25">
      <c r="A192" s="41" t="s">
        <v>164</v>
      </c>
      <c r="B192" s="44"/>
      <c r="C192" s="51">
        <f t="shared" ref="C192:R192" si="131">SUM(C190:C191)</f>
        <v>1611604</v>
      </c>
      <c r="D192" s="51">
        <f t="shared" si="131"/>
        <v>1869914</v>
      </c>
      <c r="E192" s="51">
        <f t="shared" si="131"/>
        <v>1272420</v>
      </c>
      <c r="F192" s="51">
        <f t="shared" si="131"/>
        <v>1149141</v>
      </c>
      <c r="G192" s="51">
        <f t="shared" si="131"/>
        <v>1232439</v>
      </c>
      <c r="H192" s="51">
        <f t="shared" si="131"/>
        <v>2342900</v>
      </c>
      <c r="I192" s="51">
        <f t="shared" si="131"/>
        <v>1484313.7</v>
      </c>
      <c r="J192" s="51">
        <f t="shared" si="131"/>
        <v>1519577.2288000002</v>
      </c>
      <c r="K192" s="51">
        <f t="shared" si="131"/>
        <v>1555687.0822911998</v>
      </c>
      <c r="L192" s="51">
        <f t="shared" si="131"/>
        <v>1591122.8851838973</v>
      </c>
      <c r="M192" s="51">
        <f t="shared" si="131"/>
        <v>1625797.5886579431</v>
      </c>
      <c r="N192" s="51">
        <f t="shared" si="131"/>
        <v>1662845.9331970757</v>
      </c>
      <c r="O192" s="51">
        <f t="shared" si="131"/>
        <v>1704042.0815270026</v>
      </c>
      <c r="P192" s="51">
        <f t="shared" si="131"/>
        <v>1746268.1335651777</v>
      </c>
      <c r="Q192" s="51">
        <f t="shared" si="131"/>
        <v>1787818.568770742</v>
      </c>
      <c r="R192" s="51">
        <f t="shared" si="131"/>
        <v>1830366.2144212397</v>
      </c>
    </row>
    <row r="193" spans="1:18" x14ac:dyDescent="0.25">
      <c r="A193" s="48"/>
      <c r="B193" s="44"/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</row>
    <row r="194" spans="1:18" x14ac:dyDescent="0.25">
      <c r="A194" s="41" t="s">
        <v>165</v>
      </c>
      <c r="B194" s="44"/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</row>
    <row r="195" spans="1:18" x14ac:dyDescent="0.25">
      <c r="A195" s="41" t="s">
        <v>190</v>
      </c>
      <c r="B195" s="44"/>
      <c r="C195" s="50">
        <f t="shared" ref="C195:F195" si="132">C1484</f>
        <v>3100277</v>
      </c>
      <c r="D195" s="50">
        <f t="shared" si="132"/>
        <v>3169484</v>
      </c>
      <c r="E195" s="50">
        <f t="shared" si="132"/>
        <v>3054354</v>
      </c>
      <c r="F195" s="50">
        <f t="shared" si="132"/>
        <v>3415433</v>
      </c>
      <c r="G195" s="50">
        <f>G1484</f>
        <v>3139179</v>
      </c>
      <c r="H195" s="50">
        <f>H1484</f>
        <v>3308383</v>
      </c>
      <c r="I195" s="50">
        <f t="shared" ref="I195:R195" si="133">I1484</f>
        <v>3385917.1850000001</v>
      </c>
      <c r="J195" s="50">
        <f t="shared" si="133"/>
        <v>3479047.55914</v>
      </c>
      <c r="K195" s="50">
        <f t="shared" si="133"/>
        <v>3520440.59508686</v>
      </c>
      <c r="L195" s="50">
        <f t="shared" si="133"/>
        <v>3606394.796380633</v>
      </c>
      <c r="M195" s="50">
        <f t="shared" si="133"/>
        <v>3697192.2965648244</v>
      </c>
      <c r="N195" s="50">
        <f t="shared" si="133"/>
        <v>3791942.9474234413</v>
      </c>
      <c r="O195" s="50">
        <f t="shared" si="133"/>
        <v>3895733.8077036315</v>
      </c>
      <c r="P195" s="50">
        <f t="shared" si="133"/>
        <v>4004963.029583971</v>
      </c>
      <c r="Q195" s="50">
        <f t="shared" si="133"/>
        <v>4114678.878302115</v>
      </c>
      <c r="R195" s="50">
        <f t="shared" si="133"/>
        <v>4213640.4646887388</v>
      </c>
    </row>
    <row r="196" spans="1:18" x14ac:dyDescent="0.25">
      <c r="A196" s="41" t="s">
        <v>192</v>
      </c>
      <c r="B196" s="44"/>
      <c r="C196" s="50">
        <f t="shared" ref="C196:F196" si="134">C1585</f>
        <v>128763</v>
      </c>
      <c r="D196" s="50">
        <f t="shared" si="134"/>
        <v>158216</v>
      </c>
      <c r="E196" s="50">
        <f t="shared" si="134"/>
        <v>153923</v>
      </c>
      <c r="F196" s="50">
        <f t="shared" si="134"/>
        <v>141429</v>
      </c>
      <c r="G196" s="50">
        <f>G1585</f>
        <v>142697</v>
      </c>
      <c r="H196" s="50">
        <f>H1585</f>
        <v>148380</v>
      </c>
      <c r="I196" s="50">
        <f t="shared" ref="I196:R196" si="135">I1585</f>
        <v>151883.74999999997</v>
      </c>
      <c r="J196" s="50">
        <f t="shared" si="135"/>
        <v>155698.22574999998</v>
      </c>
      <c r="K196" s="50">
        <f t="shared" si="135"/>
        <v>159456.81247675003</v>
      </c>
      <c r="L196" s="50">
        <f t="shared" si="135"/>
        <v>163314.76084885272</v>
      </c>
      <c r="M196" s="50">
        <f t="shared" si="135"/>
        <v>166989.14498452347</v>
      </c>
      <c r="N196" s="50">
        <f t="shared" si="135"/>
        <v>170973.8809268153</v>
      </c>
      <c r="O196" s="50">
        <f t="shared" si="135"/>
        <v>175411.91377543012</v>
      </c>
      <c r="P196" s="50">
        <f t="shared" si="135"/>
        <v>179938.59211662115</v>
      </c>
      <c r="Q196" s="50">
        <f t="shared" si="135"/>
        <v>184402.14123860162</v>
      </c>
      <c r="R196" s="50">
        <f t="shared" si="135"/>
        <v>187177.57645977859</v>
      </c>
    </row>
    <row r="197" spans="1:18" x14ac:dyDescent="0.25">
      <c r="A197" s="41" t="s">
        <v>166</v>
      </c>
      <c r="B197" s="44"/>
      <c r="C197" s="51">
        <f t="shared" ref="C197:R197" si="136">SUM(C195:C196)</f>
        <v>3229040</v>
      </c>
      <c r="D197" s="51">
        <f t="shared" si="136"/>
        <v>3327700</v>
      </c>
      <c r="E197" s="51">
        <f t="shared" si="136"/>
        <v>3208277</v>
      </c>
      <c r="F197" s="51">
        <f t="shared" si="136"/>
        <v>3556862</v>
      </c>
      <c r="G197" s="51">
        <f t="shared" si="136"/>
        <v>3281876</v>
      </c>
      <c r="H197" s="51">
        <f t="shared" si="136"/>
        <v>3456763</v>
      </c>
      <c r="I197" s="51">
        <f t="shared" si="136"/>
        <v>3537800.9350000001</v>
      </c>
      <c r="J197" s="51">
        <f t="shared" si="136"/>
        <v>3634745.7848899998</v>
      </c>
      <c r="K197" s="51">
        <f t="shared" si="136"/>
        <v>3679897.40756361</v>
      </c>
      <c r="L197" s="51">
        <f t="shared" si="136"/>
        <v>3769709.5572294858</v>
      </c>
      <c r="M197" s="51">
        <f t="shared" si="136"/>
        <v>3864181.4415493477</v>
      </c>
      <c r="N197" s="51">
        <f t="shared" si="136"/>
        <v>3962916.8283502567</v>
      </c>
      <c r="O197" s="51">
        <f t="shared" si="136"/>
        <v>4071145.7214790615</v>
      </c>
      <c r="P197" s="51">
        <f t="shared" si="136"/>
        <v>4184901.6217005923</v>
      </c>
      <c r="Q197" s="51">
        <f t="shared" si="136"/>
        <v>4299081.0195407169</v>
      </c>
      <c r="R197" s="51">
        <f t="shared" si="136"/>
        <v>4400818.0411485173</v>
      </c>
    </row>
    <row r="198" spans="1:18" x14ac:dyDescent="0.25">
      <c r="A198" s="48"/>
      <c r="B198" s="44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</row>
    <row r="199" spans="1:18" x14ac:dyDescent="0.25">
      <c r="A199" s="48" t="s">
        <v>167</v>
      </c>
      <c r="B199" s="44"/>
      <c r="C199" s="51">
        <f t="shared" ref="C199:R199" si="137">C192-C197</f>
        <v>-1617436</v>
      </c>
      <c r="D199" s="51">
        <f t="shared" si="137"/>
        <v>-1457786</v>
      </c>
      <c r="E199" s="51">
        <f t="shared" si="137"/>
        <v>-1935857</v>
      </c>
      <c r="F199" s="51">
        <f t="shared" si="137"/>
        <v>-2407721</v>
      </c>
      <c r="G199" s="51">
        <f t="shared" si="137"/>
        <v>-2049437</v>
      </c>
      <c r="H199" s="51">
        <f t="shared" si="137"/>
        <v>-1113863</v>
      </c>
      <c r="I199" s="51">
        <f t="shared" si="137"/>
        <v>-2053487.2350000001</v>
      </c>
      <c r="J199" s="51">
        <f t="shared" si="137"/>
        <v>-2115168.5560899996</v>
      </c>
      <c r="K199" s="51">
        <f t="shared" si="137"/>
        <v>-2124210.3252724102</v>
      </c>
      <c r="L199" s="51">
        <f t="shared" si="137"/>
        <v>-2178586.6720455885</v>
      </c>
      <c r="M199" s="51">
        <f t="shared" si="137"/>
        <v>-2238383.8528914046</v>
      </c>
      <c r="N199" s="51">
        <f t="shared" si="137"/>
        <v>-2300070.8951531807</v>
      </c>
      <c r="O199" s="51">
        <f t="shared" si="137"/>
        <v>-2367103.6399520589</v>
      </c>
      <c r="P199" s="51">
        <f t="shared" si="137"/>
        <v>-2438633.4881354147</v>
      </c>
      <c r="Q199" s="51">
        <f t="shared" si="137"/>
        <v>-2511262.4507699749</v>
      </c>
      <c r="R199" s="51">
        <f t="shared" si="137"/>
        <v>-2570451.8267272776</v>
      </c>
    </row>
    <row r="200" spans="1:18" x14ac:dyDescent="0.25">
      <c r="A200" s="48"/>
      <c r="B200" s="44"/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</row>
    <row r="201" spans="1:18" x14ac:dyDescent="0.25">
      <c r="A201" s="48" t="s">
        <v>168</v>
      </c>
      <c r="B201" s="44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</row>
    <row r="202" spans="1:18" x14ac:dyDescent="0.25">
      <c r="A202" s="48"/>
      <c r="B202" s="44"/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</row>
    <row r="203" spans="1:18" x14ac:dyDescent="0.25">
      <c r="A203" s="48" t="s">
        <v>169</v>
      </c>
      <c r="B203" s="44"/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</row>
    <row r="204" spans="1:18" x14ac:dyDescent="0.25">
      <c r="A204" s="41" t="s">
        <v>190</v>
      </c>
      <c r="B204" s="44"/>
      <c r="C204" s="50">
        <f t="shared" ref="C204:F204" si="138">C1493</f>
        <v>0</v>
      </c>
      <c r="D204" s="50">
        <f t="shared" si="138"/>
        <v>62487</v>
      </c>
      <c r="E204" s="50">
        <f t="shared" si="138"/>
        <v>119337</v>
      </c>
      <c r="F204" s="50">
        <f t="shared" si="138"/>
        <v>25497</v>
      </c>
      <c r="G204" s="50">
        <f>G1493</f>
        <v>15979</v>
      </c>
      <c r="H204" s="50">
        <f>H1493</f>
        <v>0</v>
      </c>
      <c r="I204" s="50">
        <f t="shared" ref="I204:R204" si="139">I1493</f>
        <v>0</v>
      </c>
      <c r="J204" s="50">
        <f t="shared" si="139"/>
        <v>0</v>
      </c>
      <c r="K204" s="50">
        <f t="shared" si="139"/>
        <v>0</v>
      </c>
      <c r="L204" s="50">
        <f t="shared" si="139"/>
        <v>0</v>
      </c>
      <c r="M204" s="50">
        <f t="shared" si="139"/>
        <v>0</v>
      </c>
      <c r="N204" s="50">
        <f t="shared" si="139"/>
        <v>0</v>
      </c>
      <c r="O204" s="50">
        <f t="shared" si="139"/>
        <v>0</v>
      </c>
      <c r="P204" s="50">
        <f t="shared" si="139"/>
        <v>0</v>
      </c>
      <c r="Q204" s="50">
        <f t="shared" si="139"/>
        <v>0</v>
      </c>
      <c r="R204" s="50">
        <f t="shared" si="139"/>
        <v>0</v>
      </c>
    </row>
    <row r="205" spans="1:18" x14ac:dyDescent="0.25">
      <c r="A205" s="41" t="s">
        <v>192</v>
      </c>
      <c r="B205" s="44"/>
      <c r="C205" s="50">
        <f t="shared" ref="C205:F205" si="140">C1592</f>
        <v>0</v>
      </c>
      <c r="D205" s="50">
        <f t="shared" si="140"/>
        <v>0</v>
      </c>
      <c r="E205" s="50">
        <f t="shared" si="140"/>
        <v>0</v>
      </c>
      <c r="F205" s="50">
        <f t="shared" si="140"/>
        <v>0</v>
      </c>
      <c r="G205" s="50">
        <f>G1592</f>
        <v>0</v>
      </c>
      <c r="H205" s="50">
        <f>H1592</f>
        <v>0</v>
      </c>
      <c r="I205" s="50">
        <f t="shared" ref="I205:R205" si="141">I1592</f>
        <v>0</v>
      </c>
      <c r="J205" s="50">
        <f t="shared" si="141"/>
        <v>0</v>
      </c>
      <c r="K205" s="50">
        <f t="shared" si="141"/>
        <v>0</v>
      </c>
      <c r="L205" s="50">
        <f t="shared" si="141"/>
        <v>0</v>
      </c>
      <c r="M205" s="50">
        <f t="shared" si="141"/>
        <v>0</v>
      </c>
      <c r="N205" s="50">
        <f t="shared" si="141"/>
        <v>0</v>
      </c>
      <c r="O205" s="50">
        <f t="shared" si="141"/>
        <v>0</v>
      </c>
      <c r="P205" s="50">
        <f t="shared" si="141"/>
        <v>0</v>
      </c>
      <c r="Q205" s="50">
        <f t="shared" si="141"/>
        <v>0</v>
      </c>
      <c r="R205" s="50">
        <f t="shared" si="141"/>
        <v>0</v>
      </c>
    </row>
    <row r="206" spans="1:18" x14ac:dyDescent="0.25">
      <c r="A206" s="41" t="s">
        <v>170</v>
      </c>
      <c r="B206" s="44"/>
      <c r="C206" s="51">
        <f t="shared" ref="C206:R206" si="142">SUM(C204:C205)</f>
        <v>0</v>
      </c>
      <c r="D206" s="51">
        <f t="shared" si="142"/>
        <v>62487</v>
      </c>
      <c r="E206" s="51">
        <f t="shared" si="142"/>
        <v>119337</v>
      </c>
      <c r="F206" s="51">
        <f t="shared" si="142"/>
        <v>25497</v>
      </c>
      <c r="G206" s="51">
        <f t="shared" si="142"/>
        <v>15979</v>
      </c>
      <c r="H206" s="51">
        <f t="shared" si="142"/>
        <v>0</v>
      </c>
      <c r="I206" s="51">
        <f t="shared" si="142"/>
        <v>0</v>
      </c>
      <c r="J206" s="51">
        <f t="shared" si="142"/>
        <v>0</v>
      </c>
      <c r="K206" s="51">
        <f t="shared" si="142"/>
        <v>0</v>
      </c>
      <c r="L206" s="51">
        <f t="shared" si="142"/>
        <v>0</v>
      </c>
      <c r="M206" s="51">
        <f t="shared" si="142"/>
        <v>0</v>
      </c>
      <c r="N206" s="51">
        <f t="shared" si="142"/>
        <v>0</v>
      </c>
      <c r="O206" s="51">
        <f t="shared" si="142"/>
        <v>0</v>
      </c>
      <c r="P206" s="51">
        <f t="shared" si="142"/>
        <v>0</v>
      </c>
      <c r="Q206" s="51">
        <f t="shared" si="142"/>
        <v>0</v>
      </c>
      <c r="R206" s="51">
        <f t="shared" si="142"/>
        <v>0</v>
      </c>
    </row>
    <row r="207" spans="1:18" x14ac:dyDescent="0.25">
      <c r="A207" s="48"/>
      <c r="B207" s="44"/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</row>
    <row r="208" spans="1:18" x14ac:dyDescent="0.25">
      <c r="A208" s="41" t="s">
        <v>171</v>
      </c>
      <c r="B208" s="44"/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</row>
    <row r="209" spans="1:18" x14ac:dyDescent="0.25">
      <c r="A209" s="41" t="s">
        <v>190</v>
      </c>
      <c r="B209" s="44"/>
      <c r="C209" s="50">
        <f t="shared" ref="C209:F209" si="143">C1540</f>
        <v>775840</v>
      </c>
      <c r="D209" s="50">
        <f t="shared" si="143"/>
        <v>1113814</v>
      </c>
      <c r="E209" s="50">
        <f t="shared" si="143"/>
        <v>1639125</v>
      </c>
      <c r="F209" s="50">
        <f t="shared" si="143"/>
        <v>864155</v>
      </c>
      <c r="G209" s="50">
        <f>G1540</f>
        <v>769540</v>
      </c>
      <c r="H209" s="50">
        <f>H1540</f>
        <v>1244971</v>
      </c>
      <c r="I209" s="50">
        <f t="shared" ref="I209:R209" si="144">I1540</f>
        <v>1185190</v>
      </c>
      <c r="J209" s="50">
        <f t="shared" si="144"/>
        <v>1305357.76</v>
      </c>
      <c r="K209" s="50">
        <f t="shared" si="144"/>
        <v>1192288.46624</v>
      </c>
      <c r="L209" s="50">
        <f t="shared" si="144"/>
        <v>1164046.82596352</v>
      </c>
      <c r="M209" s="50">
        <f t="shared" si="144"/>
        <v>1246854.5361347175</v>
      </c>
      <c r="N209" s="50">
        <f t="shared" si="144"/>
        <v>1490173.509465816</v>
      </c>
      <c r="O209" s="50">
        <f t="shared" si="144"/>
        <v>1198866.9222024614</v>
      </c>
      <c r="P209" s="50">
        <f t="shared" si="144"/>
        <v>1469563.9202575227</v>
      </c>
      <c r="Q209" s="50">
        <f t="shared" si="144"/>
        <v>1419233.5663437033</v>
      </c>
      <c r="R209" s="50">
        <f t="shared" si="144"/>
        <v>1419381.6839359524</v>
      </c>
    </row>
    <row r="210" spans="1:18" x14ac:dyDescent="0.25">
      <c r="A210" s="41" t="s">
        <v>192</v>
      </c>
      <c r="B210" s="44"/>
      <c r="C210" s="50">
        <f t="shared" ref="C210:F210" si="145">C1613</f>
        <v>470939</v>
      </c>
      <c r="D210" s="50">
        <f t="shared" si="145"/>
        <v>368552</v>
      </c>
      <c r="E210" s="50">
        <f t="shared" si="145"/>
        <v>125576</v>
      </c>
      <c r="F210" s="50">
        <f t="shared" si="145"/>
        <v>32917</v>
      </c>
      <c r="G210" s="50">
        <f>G1613</f>
        <v>22252</v>
      </c>
      <c r="H210" s="50">
        <f>H1613</f>
        <v>48285</v>
      </c>
      <c r="I210" s="50">
        <f t="shared" ref="I210:R210" si="146">I1613</f>
        <v>28965</v>
      </c>
      <c r="J210" s="50">
        <f t="shared" si="146"/>
        <v>29775</v>
      </c>
      <c r="K210" s="50">
        <f t="shared" si="146"/>
        <v>30549</v>
      </c>
      <c r="L210" s="50">
        <f t="shared" si="146"/>
        <v>31343</v>
      </c>
      <c r="M210" s="50">
        <f t="shared" si="146"/>
        <v>26931</v>
      </c>
      <c r="N210" s="50">
        <f t="shared" si="146"/>
        <v>26286</v>
      </c>
      <c r="O210" s="50">
        <f t="shared" si="146"/>
        <v>26286</v>
      </c>
      <c r="P210" s="50">
        <f t="shared" si="146"/>
        <v>26286</v>
      </c>
      <c r="Q210" s="50">
        <f t="shared" si="146"/>
        <v>26286</v>
      </c>
      <c r="R210" s="50">
        <f t="shared" si="146"/>
        <v>26286</v>
      </c>
    </row>
    <row r="211" spans="1:18" x14ac:dyDescent="0.25">
      <c r="A211" s="41" t="s">
        <v>172</v>
      </c>
      <c r="B211" s="44"/>
      <c r="C211" s="51">
        <f t="shared" ref="C211:R211" si="147">SUM(C209:C210)</f>
        <v>1246779</v>
      </c>
      <c r="D211" s="51">
        <f t="shared" si="147"/>
        <v>1482366</v>
      </c>
      <c r="E211" s="51">
        <f t="shared" si="147"/>
        <v>1764701</v>
      </c>
      <c r="F211" s="51">
        <f t="shared" si="147"/>
        <v>897072</v>
      </c>
      <c r="G211" s="51">
        <f t="shared" si="147"/>
        <v>791792</v>
      </c>
      <c r="H211" s="51">
        <f t="shared" si="147"/>
        <v>1293256</v>
      </c>
      <c r="I211" s="51">
        <f t="shared" si="147"/>
        <v>1214155</v>
      </c>
      <c r="J211" s="51">
        <f t="shared" si="147"/>
        <v>1335132.76</v>
      </c>
      <c r="K211" s="51">
        <f t="shared" si="147"/>
        <v>1222837.46624</v>
      </c>
      <c r="L211" s="51">
        <f t="shared" si="147"/>
        <v>1195389.82596352</v>
      </c>
      <c r="M211" s="51">
        <f t="shared" si="147"/>
        <v>1273785.5361347175</v>
      </c>
      <c r="N211" s="51">
        <f t="shared" si="147"/>
        <v>1516459.509465816</v>
      </c>
      <c r="O211" s="51">
        <f t="shared" si="147"/>
        <v>1225152.9222024614</v>
      </c>
      <c r="P211" s="51">
        <f t="shared" si="147"/>
        <v>1495849.9202575227</v>
      </c>
      <c r="Q211" s="51">
        <f t="shared" si="147"/>
        <v>1445519.5663437033</v>
      </c>
      <c r="R211" s="51">
        <f t="shared" si="147"/>
        <v>1445667.6839359524</v>
      </c>
    </row>
    <row r="212" spans="1:18" x14ac:dyDescent="0.25">
      <c r="A212" s="48"/>
      <c r="B212" s="44"/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</row>
    <row r="213" spans="1:18" x14ac:dyDescent="0.25">
      <c r="A213" s="48" t="s">
        <v>173</v>
      </c>
      <c r="B213" s="44"/>
      <c r="C213" s="51">
        <f t="shared" ref="C213:R213" si="148">C206-C211</f>
        <v>-1246779</v>
      </c>
      <c r="D213" s="51">
        <f t="shared" si="148"/>
        <v>-1419879</v>
      </c>
      <c r="E213" s="51">
        <f t="shared" si="148"/>
        <v>-1645364</v>
      </c>
      <c r="F213" s="51">
        <f t="shared" si="148"/>
        <v>-871575</v>
      </c>
      <c r="G213" s="51">
        <f t="shared" si="148"/>
        <v>-775813</v>
      </c>
      <c r="H213" s="51">
        <f t="shared" si="148"/>
        <v>-1293256</v>
      </c>
      <c r="I213" s="51">
        <f t="shared" si="148"/>
        <v>-1214155</v>
      </c>
      <c r="J213" s="51">
        <f t="shared" si="148"/>
        <v>-1335132.76</v>
      </c>
      <c r="K213" s="51">
        <f t="shared" si="148"/>
        <v>-1222837.46624</v>
      </c>
      <c r="L213" s="51">
        <f t="shared" si="148"/>
        <v>-1195389.82596352</v>
      </c>
      <c r="M213" s="51">
        <f t="shared" si="148"/>
        <v>-1273785.5361347175</v>
      </c>
      <c r="N213" s="51">
        <f t="shared" si="148"/>
        <v>-1516459.509465816</v>
      </c>
      <c r="O213" s="51">
        <f t="shared" si="148"/>
        <v>-1225152.9222024614</v>
      </c>
      <c r="P213" s="51">
        <f t="shared" si="148"/>
        <v>-1495849.9202575227</v>
      </c>
      <c r="Q213" s="51">
        <f t="shared" si="148"/>
        <v>-1445519.5663437033</v>
      </c>
      <c r="R213" s="51">
        <f t="shared" si="148"/>
        <v>-1445667.6839359524</v>
      </c>
    </row>
    <row r="214" spans="1:18" x14ac:dyDescent="0.25">
      <c r="A214" s="48"/>
      <c r="B214" s="44"/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</row>
    <row r="215" spans="1:18" x14ac:dyDescent="0.25">
      <c r="A215" s="41" t="s">
        <v>193</v>
      </c>
      <c r="B215" s="44"/>
      <c r="C215" s="51">
        <f t="shared" ref="C215:R215" si="149">C199+C213</f>
        <v>-2864215</v>
      </c>
      <c r="D215" s="51">
        <f t="shared" si="149"/>
        <v>-2877665</v>
      </c>
      <c r="E215" s="51">
        <f t="shared" si="149"/>
        <v>-3581221</v>
      </c>
      <c r="F215" s="51">
        <f t="shared" si="149"/>
        <v>-3279296</v>
      </c>
      <c r="G215" s="51">
        <f t="shared" si="149"/>
        <v>-2825250</v>
      </c>
      <c r="H215" s="51">
        <f t="shared" si="149"/>
        <v>-2407119</v>
      </c>
      <c r="I215" s="51">
        <f t="shared" si="149"/>
        <v>-3267642.2350000003</v>
      </c>
      <c r="J215" s="51">
        <f t="shared" si="149"/>
        <v>-3450301.3160899999</v>
      </c>
      <c r="K215" s="51">
        <f t="shared" si="149"/>
        <v>-3347047.7915124102</v>
      </c>
      <c r="L215" s="51">
        <f t="shared" si="149"/>
        <v>-3373976.4980091085</v>
      </c>
      <c r="M215" s="51">
        <f t="shared" si="149"/>
        <v>-3512169.3890261222</v>
      </c>
      <c r="N215" s="51">
        <f t="shared" si="149"/>
        <v>-3816530.4046189967</v>
      </c>
      <c r="O215" s="51">
        <f t="shared" si="149"/>
        <v>-3592256.5621545203</v>
      </c>
      <c r="P215" s="51">
        <f t="shared" si="149"/>
        <v>-3934483.4083929374</v>
      </c>
      <c r="Q215" s="51">
        <f t="shared" si="149"/>
        <v>-3956782.0171136782</v>
      </c>
      <c r="R215" s="51">
        <f t="shared" si="149"/>
        <v>-4016119.51066323</v>
      </c>
    </row>
    <row r="216" spans="1:18" x14ac:dyDescent="0.25">
      <c r="A216" s="41"/>
      <c r="B216" s="44"/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</row>
    <row r="217" spans="1:18" x14ac:dyDescent="0.25">
      <c r="A217" s="41" t="s">
        <v>163</v>
      </c>
      <c r="B217" s="44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</row>
    <row r="218" spans="1:18" x14ac:dyDescent="0.25">
      <c r="A218" s="48"/>
      <c r="B218" s="49"/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</row>
    <row r="219" spans="1:18" x14ac:dyDescent="0.25">
      <c r="A219" s="48" t="s">
        <v>157</v>
      </c>
      <c r="B219" s="49"/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</row>
    <row r="220" spans="1:18" x14ac:dyDescent="0.25">
      <c r="A220" s="48"/>
      <c r="B220" s="49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</row>
    <row r="221" spans="1:18" x14ac:dyDescent="0.25">
      <c r="A221" s="48" t="s">
        <v>158</v>
      </c>
      <c r="B221" s="49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</row>
    <row r="222" spans="1:18" x14ac:dyDescent="0.25">
      <c r="A222" s="41" t="s">
        <v>194</v>
      </c>
      <c r="B222" s="44"/>
      <c r="C222" s="50">
        <f t="shared" ref="C222:F222" si="150">C1635</f>
        <v>1000</v>
      </c>
      <c r="D222" s="50">
        <f t="shared" si="150"/>
        <v>18432</v>
      </c>
      <c r="E222" s="50">
        <f t="shared" si="150"/>
        <v>0</v>
      </c>
      <c r="F222" s="50">
        <f t="shared" si="150"/>
        <v>66455</v>
      </c>
      <c r="G222" s="50">
        <f>G1635</f>
        <v>71690</v>
      </c>
      <c r="H222" s="50">
        <f>H1635</f>
        <v>272500</v>
      </c>
      <c r="I222" s="50">
        <f t="shared" ref="I222:R222" si="151">I1635</f>
        <v>0</v>
      </c>
      <c r="J222" s="50">
        <f t="shared" si="151"/>
        <v>0</v>
      </c>
      <c r="K222" s="50">
        <f t="shared" si="151"/>
        <v>0</v>
      </c>
      <c r="L222" s="50">
        <f t="shared" si="151"/>
        <v>0</v>
      </c>
      <c r="M222" s="50">
        <f t="shared" si="151"/>
        <v>0</v>
      </c>
      <c r="N222" s="50">
        <f t="shared" si="151"/>
        <v>0</v>
      </c>
      <c r="O222" s="50">
        <f t="shared" si="151"/>
        <v>0</v>
      </c>
      <c r="P222" s="50">
        <f t="shared" si="151"/>
        <v>0</v>
      </c>
      <c r="Q222" s="50">
        <f t="shared" si="151"/>
        <v>0</v>
      </c>
      <c r="R222" s="50">
        <f t="shared" si="151"/>
        <v>0</v>
      </c>
    </row>
    <row r="223" spans="1:18" x14ac:dyDescent="0.25">
      <c r="A223" s="41" t="s">
        <v>195</v>
      </c>
      <c r="B223" s="44"/>
      <c r="C223" s="50"/>
      <c r="D223" s="50"/>
      <c r="E223" s="50"/>
      <c r="F223" s="50">
        <f>F1703</f>
        <v>294703</v>
      </c>
      <c r="G223" s="50">
        <f>G1703</f>
        <v>251</v>
      </c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</row>
    <row r="224" spans="1:18" x14ac:dyDescent="0.25">
      <c r="A224" s="41" t="s">
        <v>196</v>
      </c>
      <c r="B224" s="44"/>
      <c r="C224" s="50">
        <f t="shared" ref="C224:F224" si="152">C1750</f>
        <v>25209</v>
      </c>
      <c r="D224" s="50">
        <f t="shared" si="152"/>
        <v>18037</v>
      </c>
      <c r="E224" s="50">
        <f t="shared" si="152"/>
        <v>16866</v>
      </c>
      <c r="F224" s="50">
        <f t="shared" si="152"/>
        <v>38801</v>
      </c>
      <c r="G224" s="50">
        <f>G1750</f>
        <v>15240</v>
      </c>
      <c r="H224" s="50">
        <f>H1750</f>
        <v>15500</v>
      </c>
      <c r="I224" s="50">
        <f t="shared" ref="I224:R224" si="153">I1750</f>
        <v>15856.499999999998</v>
      </c>
      <c r="J224" s="50">
        <f t="shared" si="153"/>
        <v>16237.055999999999</v>
      </c>
      <c r="K224" s="50">
        <f t="shared" si="153"/>
        <v>16626.745343999999</v>
      </c>
      <c r="L224" s="50">
        <f t="shared" si="153"/>
        <v>17009.160486911998</v>
      </c>
      <c r="M224" s="50">
        <f t="shared" si="153"/>
        <v>17383.362017624062</v>
      </c>
      <c r="N224" s="50">
        <f t="shared" si="153"/>
        <v>17783.179344029413</v>
      </c>
      <c r="O224" s="50">
        <f t="shared" si="153"/>
        <v>18227.758827630147</v>
      </c>
      <c r="P224" s="50">
        <f t="shared" si="153"/>
        <v>18683.452798320897</v>
      </c>
      <c r="Q224" s="50">
        <f t="shared" si="153"/>
        <v>19131.855665480598</v>
      </c>
      <c r="R224" s="50">
        <f t="shared" si="153"/>
        <v>19591.020201452131</v>
      </c>
    </row>
    <row r="225" spans="1:18" x14ac:dyDescent="0.25">
      <c r="A225" s="41" t="s">
        <v>197</v>
      </c>
      <c r="B225" s="44"/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</row>
    <row r="226" spans="1:18" x14ac:dyDescent="0.25">
      <c r="A226" s="41" t="s">
        <v>198</v>
      </c>
      <c r="B226" s="44"/>
      <c r="C226" s="50">
        <f t="shared" ref="C226:F226" si="154">C2142</f>
        <v>8660164</v>
      </c>
      <c r="D226" s="50">
        <f t="shared" si="154"/>
        <v>8957727</v>
      </c>
      <c r="E226" s="50">
        <f t="shared" si="154"/>
        <v>13240813</v>
      </c>
      <c r="F226" s="50">
        <f t="shared" si="154"/>
        <v>9770239</v>
      </c>
      <c r="G226" s="50">
        <f>G2142</f>
        <v>9319067</v>
      </c>
      <c r="H226" s="50">
        <f>H2142</f>
        <v>9565100</v>
      </c>
      <c r="I226" s="50">
        <f t="shared" ref="I226:R226" si="155">I2142</f>
        <v>10505571.199999999</v>
      </c>
      <c r="J226" s="50">
        <f t="shared" si="155"/>
        <v>10796834.3938</v>
      </c>
      <c r="K226" s="50">
        <f t="shared" si="155"/>
        <v>11043676.861376198</v>
      </c>
      <c r="L226" s="50">
        <f t="shared" si="155"/>
        <v>11263872.802640872</v>
      </c>
      <c r="M226" s="50">
        <f t="shared" si="155"/>
        <v>11528201.93715235</v>
      </c>
      <c r="N226" s="50">
        <f t="shared" si="155"/>
        <v>11881446.93205989</v>
      </c>
      <c r="O226" s="50">
        <f t="shared" si="155"/>
        <v>12220906.331167841</v>
      </c>
      <c r="P226" s="50">
        <f t="shared" si="155"/>
        <v>12573199.715253489</v>
      </c>
      <c r="Q226" s="50">
        <f t="shared" si="155"/>
        <v>12782420.939034974</v>
      </c>
      <c r="R226" s="50">
        <f t="shared" si="155"/>
        <v>13083936.542307442</v>
      </c>
    </row>
    <row r="227" spans="1:18" x14ac:dyDescent="0.25">
      <c r="A227" s="41" t="s">
        <v>199</v>
      </c>
      <c r="B227" s="44"/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</row>
    <row r="228" spans="1:18" x14ac:dyDescent="0.25">
      <c r="A228" s="41" t="s">
        <v>185</v>
      </c>
      <c r="B228" s="44"/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</row>
    <row r="229" spans="1:18" x14ac:dyDescent="0.25">
      <c r="A229" s="41" t="s">
        <v>164</v>
      </c>
      <c r="B229" s="44"/>
      <c r="C229" s="51">
        <f t="shared" ref="C229:F229" si="156">SUM(C222:C228)</f>
        <v>8686373</v>
      </c>
      <c r="D229" s="51">
        <f t="shared" si="156"/>
        <v>8994196</v>
      </c>
      <c r="E229" s="51">
        <f t="shared" si="156"/>
        <v>13257679</v>
      </c>
      <c r="F229" s="51">
        <f t="shared" si="156"/>
        <v>10170198</v>
      </c>
      <c r="G229" s="51">
        <f>SUM(G222:G228)</f>
        <v>9406248</v>
      </c>
      <c r="H229" s="51">
        <f t="shared" ref="H229:R229" si="157">SUM(H222:H228)</f>
        <v>9853100</v>
      </c>
      <c r="I229" s="51">
        <f t="shared" si="157"/>
        <v>10521427.699999999</v>
      </c>
      <c r="J229" s="51">
        <f t="shared" si="157"/>
        <v>10813071.4498</v>
      </c>
      <c r="K229" s="51">
        <f t="shared" si="157"/>
        <v>11060303.606720198</v>
      </c>
      <c r="L229" s="51">
        <f t="shared" si="157"/>
        <v>11280881.963127784</v>
      </c>
      <c r="M229" s="51">
        <f t="shared" si="157"/>
        <v>11545585.299169974</v>
      </c>
      <c r="N229" s="51">
        <f t="shared" si="157"/>
        <v>11899230.11140392</v>
      </c>
      <c r="O229" s="51">
        <f t="shared" si="157"/>
        <v>12239134.089995472</v>
      </c>
      <c r="P229" s="51">
        <f t="shared" si="157"/>
        <v>12591883.168051809</v>
      </c>
      <c r="Q229" s="51">
        <f t="shared" si="157"/>
        <v>12801552.794700455</v>
      </c>
      <c r="R229" s="51">
        <f t="shared" si="157"/>
        <v>13103527.562508894</v>
      </c>
    </row>
    <row r="230" spans="1:18" x14ac:dyDescent="0.25">
      <c r="A230" s="41"/>
      <c r="B230" s="44"/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</row>
    <row r="231" spans="1:18" x14ac:dyDescent="0.25">
      <c r="A231" s="41" t="s">
        <v>165</v>
      </c>
      <c r="B231" s="44"/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</row>
    <row r="232" spans="1:18" x14ac:dyDescent="0.25">
      <c r="A232" s="41" t="s">
        <v>194</v>
      </c>
      <c r="B232" s="44"/>
      <c r="C232" s="50">
        <f t="shared" ref="C232:F232" si="158">C1685</f>
        <v>861055</v>
      </c>
      <c r="D232" s="50">
        <f t="shared" si="158"/>
        <v>1022002</v>
      </c>
      <c r="E232" s="50">
        <f t="shared" si="158"/>
        <v>1202209.47</v>
      </c>
      <c r="F232" s="50">
        <f t="shared" si="158"/>
        <v>1190465</v>
      </c>
      <c r="G232" s="50">
        <f>G1685</f>
        <v>1302652</v>
      </c>
      <c r="H232" s="50">
        <f>H1685</f>
        <v>1273080</v>
      </c>
      <c r="I232" s="50">
        <f t="shared" ref="I232:R232" si="159">I1685</f>
        <v>1304409.8399999999</v>
      </c>
      <c r="J232" s="50">
        <f t="shared" si="159"/>
        <v>1430630.1810600003</v>
      </c>
      <c r="K232" s="50">
        <f t="shared" si="159"/>
        <v>1376597.6202979397</v>
      </c>
      <c r="L232" s="50">
        <f t="shared" si="159"/>
        <v>1415277.6281759676</v>
      </c>
      <c r="M232" s="50">
        <f t="shared" si="159"/>
        <v>1453706.5581045782</v>
      </c>
      <c r="N232" s="50">
        <f t="shared" si="159"/>
        <v>1593111.4297320067</v>
      </c>
      <c r="O232" s="50">
        <f t="shared" si="159"/>
        <v>1535911.7315253904</v>
      </c>
      <c r="P232" s="50">
        <f t="shared" si="159"/>
        <v>1581492.9281470871</v>
      </c>
      <c r="Q232" s="50">
        <f t="shared" si="159"/>
        <v>1628311.2323646026</v>
      </c>
      <c r="R232" s="50">
        <f t="shared" si="159"/>
        <v>1675936.9396939399</v>
      </c>
    </row>
    <row r="233" spans="1:18" x14ac:dyDescent="0.25">
      <c r="A233" s="41" t="s">
        <v>195</v>
      </c>
      <c r="B233" s="44"/>
      <c r="C233" s="50">
        <f t="shared" ref="C233:F233" si="160">C1717</f>
        <v>439465</v>
      </c>
      <c r="D233" s="50">
        <f t="shared" si="160"/>
        <v>459766</v>
      </c>
      <c r="E233" s="50">
        <f t="shared" si="160"/>
        <v>479098</v>
      </c>
      <c r="F233" s="50">
        <f t="shared" si="160"/>
        <v>762057</v>
      </c>
      <c r="G233" s="50">
        <f>G1717</f>
        <v>504027</v>
      </c>
      <c r="H233" s="50">
        <f>H1717</f>
        <v>666800</v>
      </c>
      <c r="I233" s="50">
        <f t="shared" ref="I233:R233" si="161">I1717</f>
        <v>682953.79999999993</v>
      </c>
      <c r="J233" s="50">
        <f t="shared" si="161"/>
        <v>701439.27869999991</v>
      </c>
      <c r="K233" s="50">
        <f t="shared" si="161"/>
        <v>721291.28414129978</v>
      </c>
      <c r="L233" s="50">
        <f t="shared" si="161"/>
        <v>742325.27524487476</v>
      </c>
      <c r="M233" s="50">
        <f t="shared" si="161"/>
        <v>763247.38449034176</v>
      </c>
      <c r="N233" s="50">
        <f t="shared" si="161"/>
        <v>784118.57891813328</v>
      </c>
      <c r="O233" s="50">
        <f t="shared" si="161"/>
        <v>807137.54311313538</v>
      </c>
      <c r="P233" s="50">
        <f t="shared" si="161"/>
        <v>831848.52532216266</v>
      </c>
      <c r="Q233" s="50">
        <f t="shared" si="161"/>
        <v>857020.27894618292</v>
      </c>
      <c r="R233" s="50">
        <f t="shared" si="161"/>
        <v>882973.20588373346</v>
      </c>
    </row>
    <row r="234" spans="1:18" x14ac:dyDescent="0.25">
      <c r="A234" s="41" t="s">
        <v>196</v>
      </c>
      <c r="B234" s="44"/>
      <c r="C234" s="50">
        <f t="shared" ref="C234:F234" si="162">C1774</f>
        <v>968506</v>
      </c>
      <c r="D234" s="50">
        <f t="shared" si="162"/>
        <v>1033439</v>
      </c>
      <c r="E234" s="50">
        <f t="shared" si="162"/>
        <v>1098586.06</v>
      </c>
      <c r="F234" s="50">
        <f t="shared" si="162"/>
        <v>1039621</v>
      </c>
      <c r="G234" s="50">
        <f>G1774</f>
        <v>1107528</v>
      </c>
      <c r="H234" s="50">
        <f>H1774</f>
        <v>1187700</v>
      </c>
      <c r="I234" s="50">
        <f t="shared" ref="I234:R234" si="163">I1774</f>
        <v>1217161.7</v>
      </c>
      <c r="J234" s="50">
        <f t="shared" si="163"/>
        <v>1251869.1182999997</v>
      </c>
      <c r="K234" s="50">
        <f t="shared" si="163"/>
        <v>1322493.4667891997</v>
      </c>
      <c r="L234" s="50">
        <f t="shared" si="163"/>
        <v>1398300.012493551</v>
      </c>
      <c r="M234" s="50">
        <f t="shared" si="163"/>
        <v>1476506.8000540256</v>
      </c>
      <c r="N234" s="50">
        <f t="shared" si="163"/>
        <v>1555057.691443196</v>
      </c>
      <c r="O234" s="50">
        <f t="shared" si="163"/>
        <v>1640011.5660285268</v>
      </c>
      <c r="P234" s="50">
        <f t="shared" si="163"/>
        <v>1694550.5818336019</v>
      </c>
      <c r="Q234" s="50">
        <f t="shared" si="163"/>
        <v>1750774.2884205082</v>
      </c>
      <c r="R234" s="50">
        <f t="shared" si="163"/>
        <v>1808876.2167146783</v>
      </c>
    </row>
    <row r="235" spans="1:18" x14ac:dyDescent="0.25">
      <c r="A235" s="41" t="s">
        <v>197</v>
      </c>
      <c r="B235" s="44"/>
      <c r="C235" s="50">
        <f t="shared" ref="C235:F235" si="164">C1796</f>
        <v>248591</v>
      </c>
      <c r="D235" s="50">
        <f t="shared" si="164"/>
        <v>273111</v>
      </c>
      <c r="E235" s="50">
        <f t="shared" si="164"/>
        <v>224826</v>
      </c>
      <c r="F235" s="50">
        <f t="shared" si="164"/>
        <v>271187</v>
      </c>
      <c r="G235" s="50">
        <f>G1796</f>
        <v>275679</v>
      </c>
      <c r="H235" s="50">
        <f>H1796</f>
        <v>286200</v>
      </c>
      <c r="I235" s="50">
        <f t="shared" ref="I235:R235" si="165">I1796</f>
        <v>334422.5</v>
      </c>
      <c r="J235" s="50">
        <f t="shared" si="165"/>
        <v>309961.72750000004</v>
      </c>
      <c r="K235" s="50">
        <f t="shared" si="165"/>
        <v>318130.91097249999</v>
      </c>
      <c r="L235" s="50">
        <f t="shared" si="165"/>
        <v>376730.71388899244</v>
      </c>
      <c r="M235" s="50">
        <f t="shared" si="165"/>
        <v>335773.46489349147</v>
      </c>
      <c r="N235" s="50">
        <f t="shared" si="165"/>
        <v>385343.97106199677</v>
      </c>
      <c r="O235" s="50">
        <f t="shared" si="165"/>
        <v>354803.05530878046</v>
      </c>
      <c r="P235" s="50">
        <f t="shared" si="165"/>
        <v>365417.96946343285</v>
      </c>
      <c r="Q235" s="50">
        <f t="shared" si="165"/>
        <v>375592.59768186492</v>
      </c>
      <c r="R235" s="50">
        <f t="shared" si="165"/>
        <v>386180.31407388387</v>
      </c>
    </row>
    <row r="236" spans="1:18" x14ac:dyDescent="0.25">
      <c r="A236" s="41" t="s">
        <v>198</v>
      </c>
      <c r="B236" s="44"/>
      <c r="C236" s="50">
        <f t="shared" ref="C236:F236" si="166">C2160</f>
        <v>381743</v>
      </c>
      <c r="D236" s="50">
        <f t="shared" si="166"/>
        <v>407943</v>
      </c>
      <c r="E236" s="50">
        <f t="shared" si="166"/>
        <v>432985</v>
      </c>
      <c r="F236" s="50">
        <f t="shared" si="166"/>
        <v>448506</v>
      </c>
      <c r="G236" s="50">
        <f>G2160</f>
        <v>433719</v>
      </c>
      <c r="H236" s="50">
        <f>H2160</f>
        <v>465900</v>
      </c>
      <c r="I236" s="50">
        <f t="shared" ref="I236:R236" si="167">I2160</f>
        <v>477295.49999999994</v>
      </c>
      <c r="J236" s="50">
        <f t="shared" si="167"/>
        <v>491825.34199999989</v>
      </c>
      <c r="K236" s="50">
        <f t="shared" si="167"/>
        <v>510141.29777799983</v>
      </c>
      <c r="L236" s="50">
        <f t="shared" si="167"/>
        <v>533943.49640499381</v>
      </c>
      <c r="M236" s="50">
        <f t="shared" si="167"/>
        <v>538127.45661368093</v>
      </c>
      <c r="N236" s="50">
        <f t="shared" si="167"/>
        <v>553493.01209088601</v>
      </c>
      <c r="O236" s="50">
        <f t="shared" si="167"/>
        <v>570401.5460875011</v>
      </c>
      <c r="P236" s="50">
        <f t="shared" si="167"/>
        <v>589180.76564726827</v>
      </c>
      <c r="Q236" s="50">
        <f t="shared" si="167"/>
        <v>608069.48519884446</v>
      </c>
      <c r="R236" s="50">
        <f t="shared" si="167"/>
        <v>627577.71177964367</v>
      </c>
    </row>
    <row r="237" spans="1:18" x14ac:dyDescent="0.25">
      <c r="A237" s="41" t="s">
        <v>199</v>
      </c>
      <c r="B237" s="44"/>
      <c r="C237" s="50">
        <f t="shared" ref="C237:F237" si="168">C2173</f>
        <v>269657</v>
      </c>
      <c r="D237" s="50">
        <f t="shared" si="168"/>
        <v>302291</v>
      </c>
      <c r="E237" s="50">
        <f t="shared" si="168"/>
        <v>269637</v>
      </c>
      <c r="F237" s="50">
        <f t="shared" si="168"/>
        <v>271635</v>
      </c>
      <c r="G237" s="50">
        <f>G2173</f>
        <v>283827</v>
      </c>
      <c r="H237" s="50">
        <f>H2173</f>
        <v>310000</v>
      </c>
      <c r="I237" s="50">
        <f t="shared" ref="I237:R237" si="169">I2173</f>
        <v>317748</v>
      </c>
      <c r="J237" s="50">
        <f t="shared" si="169"/>
        <v>326957.57699999999</v>
      </c>
      <c r="K237" s="50">
        <f t="shared" si="169"/>
        <v>337085.92902299995</v>
      </c>
      <c r="L237" s="50">
        <f t="shared" si="169"/>
        <v>348199.03774827899</v>
      </c>
      <c r="M237" s="50">
        <f t="shared" si="169"/>
        <v>359330.43330429686</v>
      </c>
      <c r="N237" s="50">
        <f t="shared" si="169"/>
        <v>370102.49575283722</v>
      </c>
      <c r="O237" s="50">
        <f t="shared" si="169"/>
        <v>381937.7445036759</v>
      </c>
      <c r="P237" s="50">
        <f t="shared" si="169"/>
        <v>394913.04395683645</v>
      </c>
      <c r="Q237" s="50">
        <f t="shared" si="169"/>
        <v>408328.03361085383</v>
      </c>
      <c r="R237" s="50">
        <f t="shared" si="169"/>
        <v>422198.84362093545</v>
      </c>
    </row>
    <row r="238" spans="1:18" x14ac:dyDescent="0.25">
      <c r="A238" s="41" t="s">
        <v>185</v>
      </c>
      <c r="B238" s="44"/>
      <c r="C238" s="50">
        <f t="shared" ref="C238:F238" si="170">C2188</f>
        <v>217522</v>
      </c>
      <c r="D238" s="50">
        <f t="shared" si="170"/>
        <v>204507</v>
      </c>
      <c r="E238" s="50">
        <f t="shared" si="170"/>
        <v>179307</v>
      </c>
      <c r="F238" s="50">
        <f t="shared" si="170"/>
        <v>147670</v>
      </c>
      <c r="G238" s="50">
        <f>G2188</f>
        <v>146755</v>
      </c>
      <c r="H238" s="50">
        <f>H2188</f>
        <v>151790</v>
      </c>
      <c r="I238" s="50">
        <f t="shared" ref="I238:R238" si="171">I2188</f>
        <v>155276</v>
      </c>
      <c r="J238" s="50">
        <f t="shared" si="171"/>
        <v>156621.144</v>
      </c>
      <c r="K238" s="50">
        <f t="shared" si="171"/>
        <v>160214.251456</v>
      </c>
      <c r="L238" s="50">
        <f t="shared" si="171"/>
        <v>166562.03423948801</v>
      </c>
      <c r="M238" s="50">
        <f t="shared" si="171"/>
        <v>170233.15899275671</v>
      </c>
      <c r="N238" s="50">
        <f t="shared" si="171"/>
        <v>174140.64164959016</v>
      </c>
      <c r="O238" s="50">
        <f t="shared" si="171"/>
        <v>178501.65769082989</v>
      </c>
      <c r="P238" s="50">
        <f t="shared" si="171"/>
        <v>182958.44913310063</v>
      </c>
      <c r="Q238" s="50">
        <f t="shared" si="171"/>
        <v>187344.89191229502</v>
      </c>
      <c r="R238" s="50">
        <f t="shared" si="171"/>
        <v>187996.60931819014</v>
      </c>
    </row>
    <row r="239" spans="1:18" x14ac:dyDescent="0.25">
      <c r="A239" s="41" t="s">
        <v>166</v>
      </c>
      <c r="B239" s="44"/>
      <c r="C239" s="51">
        <f t="shared" ref="C239:R239" si="172">SUM(C232:C238)</f>
        <v>3386539</v>
      </c>
      <c r="D239" s="51">
        <f t="shared" si="172"/>
        <v>3703059</v>
      </c>
      <c r="E239" s="51">
        <f t="shared" si="172"/>
        <v>3886648.5300000003</v>
      </c>
      <c r="F239" s="51">
        <f t="shared" si="172"/>
        <v>4131141</v>
      </c>
      <c r="G239" s="51">
        <f t="shared" si="172"/>
        <v>4054187</v>
      </c>
      <c r="H239" s="51">
        <f t="shared" si="172"/>
        <v>4341470</v>
      </c>
      <c r="I239" s="51">
        <f t="shared" si="172"/>
        <v>4489267.34</v>
      </c>
      <c r="J239" s="51">
        <f t="shared" si="172"/>
        <v>4669304.3685599994</v>
      </c>
      <c r="K239" s="51">
        <f t="shared" si="172"/>
        <v>4745954.7604579404</v>
      </c>
      <c r="L239" s="51">
        <f t="shared" si="172"/>
        <v>4981338.1981961466</v>
      </c>
      <c r="M239" s="51">
        <f t="shared" si="172"/>
        <v>5096925.2564531714</v>
      </c>
      <c r="N239" s="51">
        <f t="shared" si="172"/>
        <v>5415367.820648646</v>
      </c>
      <c r="O239" s="51">
        <f t="shared" si="172"/>
        <v>5468704.844257839</v>
      </c>
      <c r="P239" s="51">
        <f t="shared" si="172"/>
        <v>5640362.26350349</v>
      </c>
      <c r="Q239" s="51">
        <f t="shared" si="172"/>
        <v>5815440.8081351519</v>
      </c>
      <c r="R239" s="51">
        <f t="shared" si="172"/>
        <v>5991739.8410850046</v>
      </c>
    </row>
    <row r="240" spans="1:18" x14ac:dyDescent="0.25">
      <c r="A240" s="48"/>
      <c r="B240" s="49"/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</row>
    <row r="241" spans="1:18" x14ac:dyDescent="0.25">
      <c r="A241" s="48" t="s">
        <v>167</v>
      </c>
      <c r="B241" s="49"/>
      <c r="C241" s="51">
        <f t="shared" ref="C241:R241" si="173">C229-C239</f>
        <v>5299834</v>
      </c>
      <c r="D241" s="51">
        <f t="shared" si="173"/>
        <v>5291137</v>
      </c>
      <c r="E241" s="51">
        <f t="shared" si="173"/>
        <v>9371030.4699999988</v>
      </c>
      <c r="F241" s="51">
        <f t="shared" si="173"/>
        <v>6039057</v>
      </c>
      <c r="G241" s="51">
        <f t="shared" si="173"/>
        <v>5352061</v>
      </c>
      <c r="H241" s="51">
        <f t="shared" si="173"/>
        <v>5511630</v>
      </c>
      <c r="I241" s="51">
        <f t="shared" si="173"/>
        <v>6032160.3599999994</v>
      </c>
      <c r="J241" s="51">
        <f t="shared" si="173"/>
        <v>6143767.0812400002</v>
      </c>
      <c r="K241" s="51">
        <f t="shared" si="173"/>
        <v>6314348.8462622575</v>
      </c>
      <c r="L241" s="51">
        <f t="shared" si="173"/>
        <v>6299543.7649316378</v>
      </c>
      <c r="M241" s="51">
        <f t="shared" si="173"/>
        <v>6448660.042716803</v>
      </c>
      <c r="N241" s="51">
        <f t="shared" si="173"/>
        <v>6483862.2907552738</v>
      </c>
      <c r="O241" s="51">
        <f t="shared" si="173"/>
        <v>6770429.2457376327</v>
      </c>
      <c r="P241" s="51">
        <f t="shared" si="173"/>
        <v>6951520.9045483191</v>
      </c>
      <c r="Q241" s="51">
        <f t="shared" si="173"/>
        <v>6986111.9865653031</v>
      </c>
      <c r="R241" s="51">
        <f t="shared" si="173"/>
        <v>7111787.7214238895</v>
      </c>
    </row>
    <row r="242" spans="1:18" x14ac:dyDescent="0.25">
      <c r="A242" s="48"/>
      <c r="B242" s="49"/>
      <c r="C242" s="50"/>
      <c r="D242" s="50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</row>
    <row r="243" spans="1:18" x14ac:dyDescent="0.25">
      <c r="A243" s="48" t="s">
        <v>168</v>
      </c>
      <c r="B243" s="49"/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</row>
    <row r="244" spans="1:18" x14ac:dyDescent="0.25">
      <c r="A244" s="48"/>
      <c r="B244" s="49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</row>
    <row r="245" spans="1:18" x14ac:dyDescent="0.25">
      <c r="A245" s="48" t="s">
        <v>169</v>
      </c>
      <c r="B245" s="49"/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</row>
    <row r="246" spans="1:18" x14ac:dyDescent="0.25">
      <c r="A246" s="41" t="s">
        <v>194</v>
      </c>
      <c r="B246" s="44"/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</row>
    <row r="247" spans="1:18" x14ac:dyDescent="0.25">
      <c r="A247" s="41" t="s">
        <v>195</v>
      </c>
      <c r="B247" s="44"/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</row>
    <row r="248" spans="1:18" x14ac:dyDescent="0.25">
      <c r="A248" s="41" t="s">
        <v>196</v>
      </c>
      <c r="B248" s="44"/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</row>
    <row r="249" spans="1:18" x14ac:dyDescent="0.25">
      <c r="A249" s="41" t="s">
        <v>197</v>
      </c>
      <c r="B249" s="44"/>
      <c r="C249" s="50">
        <f t="shared" ref="C249:G249" si="174">C2023</f>
        <v>3125054.42</v>
      </c>
      <c r="D249" s="50">
        <f t="shared" si="174"/>
        <v>4018888</v>
      </c>
      <c r="E249" s="50">
        <f t="shared" si="174"/>
        <v>3789725</v>
      </c>
      <c r="F249" s="50">
        <f t="shared" si="174"/>
        <v>3547253</v>
      </c>
      <c r="G249" s="50">
        <f t="shared" si="174"/>
        <v>2852540.36</v>
      </c>
      <c r="H249" s="50">
        <f>H2023</f>
        <v>3668076.9569942858</v>
      </c>
      <c r="I249" s="50">
        <f t="shared" ref="I249:R249" si="175">I2023</f>
        <v>3178563.6236609523</v>
      </c>
      <c r="J249" s="50">
        <f t="shared" si="175"/>
        <v>3365144.2636609524</v>
      </c>
      <c r="K249" s="50">
        <f t="shared" si="175"/>
        <v>3293922.2184209526</v>
      </c>
      <c r="L249" s="50">
        <f t="shared" si="175"/>
        <v>3360720.6660080329</v>
      </c>
      <c r="M249" s="50">
        <f t="shared" si="175"/>
        <v>3456516.8871640987</v>
      </c>
      <c r="N249" s="50">
        <f t="shared" si="175"/>
        <v>3694756.0608455935</v>
      </c>
      <c r="O249" s="50">
        <f t="shared" si="175"/>
        <v>3490607.766987469</v>
      </c>
      <c r="P249" s="50">
        <f t="shared" si="175"/>
        <v>3766470.6508279061</v>
      </c>
      <c r="Q249" s="50">
        <f t="shared" si="175"/>
        <v>3765573.5190351889</v>
      </c>
      <c r="R249" s="50">
        <f t="shared" si="175"/>
        <v>3819615.6616525617</v>
      </c>
    </row>
    <row r="250" spans="1:18" x14ac:dyDescent="0.25">
      <c r="A250" s="41" t="s">
        <v>198</v>
      </c>
      <c r="B250" s="44"/>
      <c r="C250" s="50"/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</row>
    <row r="251" spans="1:18" x14ac:dyDescent="0.25">
      <c r="A251" s="41" t="s">
        <v>199</v>
      </c>
      <c r="B251" s="44"/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</row>
    <row r="252" spans="1:18" x14ac:dyDescent="0.25">
      <c r="A252" s="41" t="s">
        <v>185</v>
      </c>
      <c r="B252" s="44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</row>
    <row r="253" spans="1:18" x14ac:dyDescent="0.25">
      <c r="A253" s="41" t="s">
        <v>170</v>
      </c>
      <c r="B253" s="44"/>
      <c r="C253" s="51">
        <f t="shared" ref="C253:R253" si="176">SUM(C246:C252)</f>
        <v>3125054.42</v>
      </c>
      <c r="D253" s="51">
        <f t="shared" si="176"/>
        <v>4018888</v>
      </c>
      <c r="E253" s="51">
        <f t="shared" si="176"/>
        <v>3789725</v>
      </c>
      <c r="F253" s="51">
        <f t="shared" si="176"/>
        <v>3547253</v>
      </c>
      <c r="G253" s="51">
        <f t="shared" si="176"/>
        <v>2852540.36</v>
      </c>
      <c r="H253" s="51">
        <f t="shared" si="176"/>
        <v>3668076.9569942858</v>
      </c>
      <c r="I253" s="51">
        <f t="shared" si="176"/>
        <v>3178563.6236609523</v>
      </c>
      <c r="J253" s="51">
        <f t="shared" si="176"/>
        <v>3365144.2636609524</v>
      </c>
      <c r="K253" s="51">
        <f t="shared" si="176"/>
        <v>3293922.2184209526</v>
      </c>
      <c r="L253" s="51">
        <f t="shared" si="176"/>
        <v>3360720.6660080329</v>
      </c>
      <c r="M253" s="51">
        <f t="shared" si="176"/>
        <v>3456516.8871640987</v>
      </c>
      <c r="N253" s="51">
        <f t="shared" si="176"/>
        <v>3694756.0608455935</v>
      </c>
      <c r="O253" s="51">
        <f t="shared" si="176"/>
        <v>3490607.766987469</v>
      </c>
      <c r="P253" s="51">
        <f t="shared" si="176"/>
        <v>3766470.6508279061</v>
      </c>
      <c r="Q253" s="51">
        <f t="shared" si="176"/>
        <v>3765573.5190351889</v>
      </c>
      <c r="R253" s="51">
        <f t="shared" si="176"/>
        <v>3819615.6616525617</v>
      </c>
    </row>
    <row r="254" spans="1:18" x14ac:dyDescent="0.25">
      <c r="A254" s="48"/>
      <c r="B254" s="49"/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</row>
    <row r="255" spans="1:18" x14ac:dyDescent="0.25">
      <c r="A255" s="41" t="s">
        <v>171</v>
      </c>
      <c r="B255" s="44"/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</row>
    <row r="256" spans="1:18" x14ac:dyDescent="0.25">
      <c r="A256" s="41" t="s">
        <v>194</v>
      </c>
      <c r="B256" s="44"/>
      <c r="C256" s="50">
        <v>0</v>
      </c>
      <c r="D256" s="50">
        <f t="shared" ref="D256" si="177">D1692</f>
        <v>51765</v>
      </c>
      <c r="E256" s="50">
        <f>E1692</f>
        <v>0</v>
      </c>
      <c r="F256" s="50">
        <f t="shared" ref="F256" si="178">F1692</f>
        <v>1529</v>
      </c>
      <c r="G256" s="50">
        <f>G1692</f>
        <v>7572</v>
      </c>
      <c r="H256" s="50">
        <f>H1692</f>
        <v>0</v>
      </c>
      <c r="I256" s="50">
        <f t="shared" ref="I256:R256" si="179">I1692</f>
        <v>0</v>
      </c>
      <c r="J256" s="50">
        <f t="shared" si="179"/>
        <v>0</v>
      </c>
      <c r="K256" s="50">
        <f t="shared" si="179"/>
        <v>0</v>
      </c>
      <c r="L256" s="50">
        <f t="shared" si="179"/>
        <v>0</v>
      </c>
      <c r="M256" s="50">
        <f t="shared" si="179"/>
        <v>0</v>
      </c>
      <c r="N256" s="50">
        <f t="shared" si="179"/>
        <v>0</v>
      </c>
      <c r="O256" s="50">
        <f t="shared" si="179"/>
        <v>0</v>
      </c>
      <c r="P256" s="50">
        <f t="shared" si="179"/>
        <v>0</v>
      </c>
      <c r="Q256" s="50">
        <f t="shared" si="179"/>
        <v>0</v>
      </c>
      <c r="R256" s="50">
        <f t="shared" si="179"/>
        <v>0</v>
      </c>
    </row>
    <row r="257" spans="1:18" x14ac:dyDescent="0.25">
      <c r="A257" s="41" t="s">
        <v>195</v>
      </c>
      <c r="B257" s="44"/>
      <c r="C257" s="50">
        <f t="shared" ref="C257:F257" si="180">C1738</f>
        <v>134571</v>
      </c>
      <c r="D257" s="50">
        <f t="shared" si="180"/>
        <v>67472</v>
      </c>
      <c r="E257" s="50">
        <f t="shared" si="180"/>
        <v>41432</v>
      </c>
      <c r="F257" s="50">
        <f t="shared" si="180"/>
        <v>13990</v>
      </c>
      <c r="G257" s="50">
        <f>G1738</f>
        <v>88225.5</v>
      </c>
      <c r="H257" s="50">
        <f>H1738</f>
        <v>581000</v>
      </c>
      <c r="I257" s="50">
        <f t="shared" ref="I257:R257" si="181">I1738</f>
        <v>92000</v>
      </c>
      <c r="J257" s="50">
        <f t="shared" si="181"/>
        <v>55000</v>
      </c>
      <c r="K257" s="50">
        <f t="shared" si="181"/>
        <v>100000</v>
      </c>
      <c r="L257" s="50">
        <f t="shared" si="181"/>
        <v>94000</v>
      </c>
      <c r="M257" s="50">
        <f t="shared" si="181"/>
        <v>55000</v>
      </c>
      <c r="N257" s="50">
        <f t="shared" si="181"/>
        <v>90000</v>
      </c>
      <c r="O257" s="50">
        <f t="shared" si="181"/>
        <v>55000</v>
      </c>
      <c r="P257" s="50">
        <f t="shared" si="181"/>
        <v>55000</v>
      </c>
      <c r="Q257" s="50">
        <f t="shared" si="181"/>
        <v>55000</v>
      </c>
      <c r="R257" s="50">
        <f t="shared" si="181"/>
        <v>55000</v>
      </c>
    </row>
    <row r="258" spans="1:18" x14ac:dyDescent="0.25">
      <c r="A258" s="41" t="s">
        <v>196</v>
      </c>
      <c r="B258" s="44"/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</row>
    <row r="259" spans="1:18" x14ac:dyDescent="0.25">
      <c r="A259" s="41" t="s">
        <v>197</v>
      </c>
      <c r="B259" s="44"/>
      <c r="C259" s="50">
        <f t="shared" ref="C259:F259" si="182">C2106</f>
        <v>1173095</v>
      </c>
      <c r="D259" s="50">
        <f t="shared" si="182"/>
        <v>961606</v>
      </c>
      <c r="E259" s="50">
        <f t="shared" si="182"/>
        <v>1078717</v>
      </c>
      <c r="F259" s="50">
        <f t="shared" si="182"/>
        <v>1033081</v>
      </c>
      <c r="G259" s="50">
        <f>G2106</f>
        <v>2826400.77</v>
      </c>
      <c r="H259" s="50">
        <f>H2106</f>
        <v>1772919.9569942858</v>
      </c>
      <c r="I259" s="50">
        <f t="shared" ref="I259:R259" si="183">I2106</f>
        <v>1165752.6236609523</v>
      </c>
      <c r="J259" s="50">
        <f t="shared" si="183"/>
        <v>1132901.4636609524</v>
      </c>
      <c r="K259" s="50">
        <f t="shared" si="183"/>
        <v>1149484.1155009523</v>
      </c>
      <c r="L259" s="50">
        <f t="shared" si="183"/>
        <v>1174016.2939732724</v>
      </c>
      <c r="M259" s="50">
        <f t="shared" si="183"/>
        <v>1162026.1120883033</v>
      </c>
      <c r="N259" s="50">
        <f t="shared" si="183"/>
        <v>1203097.7851852844</v>
      </c>
      <c r="O259" s="50">
        <f t="shared" si="183"/>
        <v>1210505.3897951494</v>
      </c>
      <c r="P259" s="50">
        <f t="shared" si="183"/>
        <v>1277111.2135456367</v>
      </c>
      <c r="Q259" s="50">
        <f t="shared" si="183"/>
        <v>1305838.1417219378</v>
      </c>
      <c r="R259" s="50">
        <f t="shared" si="183"/>
        <v>1341064.0410393537</v>
      </c>
    </row>
    <row r="260" spans="1:18" x14ac:dyDescent="0.25">
      <c r="A260" s="41" t="s">
        <v>198</v>
      </c>
      <c r="B260" s="44"/>
      <c r="C260" s="50"/>
      <c r="D260" s="50"/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</row>
    <row r="261" spans="1:18" x14ac:dyDescent="0.25">
      <c r="A261" s="41" t="s">
        <v>199</v>
      </c>
      <c r="B261" s="44"/>
      <c r="C261" s="50"/>
      <c r="D261" s="50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</row>
    <row r="262" spans="1:18" x14ac:dyDescent="0.25">
      <c r="A262" s="41" t="s">
        <v>185</v>
      </c>
      <c r="B262" s="44"/>
      <c r="C262" s="50"/>
      <c r="D262" s="50"/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</row>
    <row r="263" spans="1:18" x14ac:dyDescent="0.25">
      <c r="A263" s="41" t="s">
        <v>172</v>
      </c>
      <c r="B263" s="44"/>
      <c r="C263" s="51">
        <f t="shared" ref="C263:R263" si="184">SUM(C256:C262)</f>
        <v>1307666</v>
      </c>
      <c r="D263" s="51">
        <f t="shared" si="184"/>
        <v>1080843</v>
      </c>
      <c r="E263" s="51">
        <f t="shared" si="184"/>
        <v>1120149</v>
      </c>
      <c r="F263" s="51">
        <f t="shared" si="184"/>
        <v>1048600</v>
      </c>
      <c r="G263" s="51">
        <f t="shared" si="184"/>
        <v>2922198.27</v>
      </c>
      <c r="H263" s="51">
        <f t="shared" si="184"/>
        <v>2353919.9569942858</v>
      </c>
      <c r="I263" s="51">
        <f t="shared" si="184"/>
        <v>1257752.6236609523</v>
      </c>
      <c r="J263" s="51">
        <f t="shared" si="184"/>
        <v>1187901.4636609524</v>
      </c>
      <c r="K263" s="51">
        <f t="shared" si="184"/>
        <v>1249484.1155009523</v>
      </c>
      <c r="L263" s="51">
        <f t="shared" si="184"/>
        <v>1268016.2939732724</v>
      </c>
      <c r="M263" s="51">
        <f t="shared" si="184"/>
        <v>1217026.1120883033</v>
      </c>
      <c r="N263" s="51">
        <f t="shared" si="184"/>
        <v>1293097.7851852844</v>
      </c>
      <c r="O263" s="51">
        <f t="shared" si="184"/>
        <v>1265505.3897951494</v>
      </c>
      <c r="P263" s="51">
        <f t="shared" si="184"/>
        <v>1332111.2135456367</v>
      </c>
      <c r="Q263" s="51">
        <f t="shared" si="184"/>
        <v>1360838.1417219378</v>
      </c>
      <c r="R263" s="51">
        <f t="shared" si="184"/>
        <v>1396064.0410393537</v>
      </c>
    </row>
    <row r="264" spans="1:18" x14ac:dyDescent="0.25">
      <c r="A264" s="48"/>
      <c r="B264" s="49"/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</row>
    <row r="265" spans="1:18" x14ac:dyDescent="0.25">
      <c r="A265" s="48" t="s">
        <v>173</v>
      </c>
      <c r="B265" s="49"/>
      <c r="C265" s="51">
        <f t="shared" ref="C265:R265" si="185">C253-C263</f>
        <v>1817388.42</v>
      </c>
      <c r="D265" s="51">
        <f t="shared" si="185"/>
        <v>2938045</v>
      </c>
      <c r="E265" s="51">
        <f t="shared" si="185"/>
        <v>2669576</v>
      </c>
      <c r="F265" s="51">
        <f t="shared" si="185"/>
        <v>2498653</v>
      </c>
      <c r="G265" s="51">
        <f t="shared" si="185"/>
        <v>-69657.910000000149</v>
      </c>
      <c r="H265" s="51">
        <f t="shared" si="185"/>
        <v>1314157</v>
      </c>
      <c r="I265" s="51">
        <f t="shared" si="185"/>
        <v>1920811</v>
      </c>
      <c r="J265" s="51">
        <f t="shared" si="185"/>
        <v>2177242.7999999998</v>
      </c>
      <c r="K265" s="51">
        <f t="shared" si="185"/>
        <v>2044438.1029200002</v>
      </c>
      <c r="L265" s="51">
        <f t="shared" si="185"/>
        <v>2092704.3720347604</v>
      </c>
      <c r="M265" s="51">
        <f t="shared" si="185"/>
        <v>2239490.7750757951</v>
      </c>
      <c r="N265" s="51">
        <f t="shared" si="185"/>
        <v>2401658.275660309</v>
      </c>
      <c r="O265" s="51">
        <f t="shared" si="185"/>
        <v>2225102.3771923194</v>
      </c>
      <c r="P265" s="51">
        <f t="shared" si="185"/>
        <v>2434359.4372822694</v>
      </c>
      <c r="Q265" s="51">
        <f t="shared" si="185"/>
        <v>2404735.3773132511</v>
      </c>
      <c r="R265" s="51">
        <f t="shared" si="185"/>
        <v>2423551.620613208</v>
      </c>
    </row>
    <row r="266" spans="1:18" x14ac:dyDescent="0.25">
      <c r="A266" s="48"/>
      <c r="B266" s="49"/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</row>
    <row r="267" spans="1:18" x14ac:dyDescent="0.25">
      <c r="A267" s="41" t="s">
        <v>200</v>
      </c>
      <c r="B267" s="44"/>
      <c r="C267" s="51">
        <f t="shared" ref="C267:R267" si="186">C265+C241</f>
        <v>7117222.4199999999</v>
      </c>
      <c r="D267" s="51">
        <f t="shared" si="186"/>
        <v>8229182</v>
      </c>
      <c r="E267" s="51">
        <f t="shared" si="186"/>
        <v>12040606.469999999</v>
      </c>
      <c r="F267" s="51">
        <f t="shared" si="186"/>
        <v>8537710</v>
      </c>
      <c r="G267" s="51">
        <f t="shared" si="186"/>
        <v>5282403.09</v>
      </c>
      <c r="H267" s="51">
        <f t="shared" si="186"/>
        <v>6825787</v>
      </c>
      <c r="I267" s="51">
        <f t="shared" si="186"/>
        <v>7952971.3599999994</v>
      </c>
      <c r="J267" s="51">
        <f t="shared" si="186"/>
        <v>8321009.88124</v>
      </c>
      <c r="K267" s="51">
        <f t="shared" si="186"/>
        <v>8358786.949182258</v>
      </c>
      <c r="L267" s="51">
        <f t="shared" si="186"/>
        <v>8392248.136966398</v>
      </c>
      <c r="M267" s="51">
        <f t="shared" si="186"/>
        <v>8688150.8177925982</v>
      </c>
      <c r="N267" s="51">
        <f t="shared" si="186"/>
        <v>8885520.5664155819</v>
      </c>
      <c r="O267" s="51">
        <f t="shared" si="186"/>
        <v>8995531.622929953</v>
      </c>
      <c r="P267" s="51">
        <f t="shared" si="186"/>
        <v>9385880.3418305889</v>
      </c>
      <c r="Q267" s="51">
        <f t="shared" si="186"/>
        <v>9390847.3638785537</v>
      </c>
      <c r="R267" s="51">
        <f t="shared" si="186"/>
        <v>9535339.3420370966</v>
      </c>
    </row>
    <row r="268" spans="1:18" x14ac:dyDescent="0.25"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</row>
    <row r="269" spans="1:18" x14ac:dyDescent="0.25">
      <c r="C269" s="50"/>
      <c r="D269" s="50"/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</row>
    <row r="270" spans="1:18" x14ac:dyDescent="0.25">
      <c r="C270" s="50"/>
      <c r="D270" s="50"/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</row>
    <row r="271" spans="1:18" x14ac:dyDescent="0.25">
      <c r="A271" s="48" t="s">
        <v>159</v>
      </c>
      <c r="B271" s="44"/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</row>
    <row r="272" spans="1:18" x14ac:dyDescent="0.25">
      <c r="A272" s="41"/>
      <c r="B272" s="44"/>
      <c r="C272" s="50"/>
      <c r="D272" s="50"/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</row>
    <row r="273" spans="1:18" x14ac:dyDescent="0.25">
      <c r="A273" s="41" t="s">
        <v>201</v>
      </c>
      <c r="B273" s="44"/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</row>
    <row r="274" spans="1:18" x14ac:dyDescent="0.25">
      <c r="A274" s="41"/>
      <c r="B274" s="44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</row>
    <row r="275" spans="1:18" x14ac:dyDescent="0.25">
      <c r="A275" s="41" t="s">
        <v>202</v>
      </c>
      <c r="B275" s="44"/>
      <c r="C275" s="50"/>
      <c r="D275" s="50"/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</row>
    <row r="276" spans="1:18" x14ac:dyDescent="0.25"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</row>
    <row r="277" spans="1:18" x14ac:dyDescent="0.25">
      <c r="A277" s="52" t="s">
        <v>203</v>
      </c>
      <c r="B277" s="53"/>
      <c r="C277" s="54">
        <v>148507</v>
      </c>
      <c r="D277" s="54">
        <v>145345</v>
      </c>
      <c r="E277" s="50">
        <f>162122-100-90.91-90.91</f>
        <v>161840.18</v>
      </c>
      <c r="F277" s="50">
        <v>208684</v>
      </c>
      <c r="G277" s="50">
        <v>209826</v>
      </c>
      <c r="H277" s="50">
        <v>223800</v>
      </c>
      <c r="I277" s="54">
        <f>H277*1.023</f>
        <v>228947.4</v>
      </c>
      <c r="J277" s="54">
        <f>I277*1.024</f>
        <v>234442.13759999999</v>
      </c>
      <c r="K277" s="54">
        <f>J277*1.024</f>
        <v>240068.7489024</v>
      </c>
      <c r="L277" s="54">
        <f>K277*1.023</f>
        <v>245590.33012715518</v>
      </c>
      <c r="M277" s="54">
        <f>L277*1.022</f>
        <v>250993.3173899526</v>
      </c>
      <c r="N277" s="54">
        <f>M277*1.023</f>
        <v>256766.16368992149</v>
      </c>
      <c r="O277" s="54">
        <f>N277*1.025</f>
        <v>263185.3177821695</v>
      </c>
      <c r="P277" s="54">
        <f>O277*1.025</f>
        <v>269764.95072672371</v>
      </c>
      <c r="Q277" s="54">
        <f>P277*1.024</f>
        <v>276239.30954416509</v>
      </c>
      <c r="R277" s="54">
        <f>Q277*1.024</f>
        <v>282869.05297322507</v>
      </c>
    </row>
    <row r="278" spans="1:18" x14ac:dyDescent="0.25">
      <c r="A278" s="52" t="s">
        <v>204</v>
      </c>
      <c r="B278" s="53"/>
      <c r="C278" s="54">
        <v>827</v>
      </c>
      <c r="D278" s="54">
        <v>550</v>
      </c>
      <c r="E278" s="43">
        <v>2875</v>
      </c>
      <c r="F278" s="52">
        <v>1229</v>
      </c>
      <c r="G278" s="50">
        <v>1476</v>
      </c>
      <c r="H278" s="50">
        <v>1600</v>
      </c>
      <c r="I278" s="54">
        <f t="shared" ref="I278:I290" si="187">H278*1.023</f>
        <v>1636.8</v>
      </c>
      <c r="J278" s="54">
        <f t="shared" ref="J278:K290" si="188">I278*1.024</f>
        <v>1676.0832</v>
      </c>
      <c r="K278" s="54">
        <f t="shared" si="188"/>
        <v>1716.3091968000001</v>
      </c>
      <c r="L278" s="54">
        <f t="shared" ref="L278:L290" si="189">K278*1.023</f>
        <v>1755.7843083263999</v>
      </c>
      <c r="M278" s="54">
        <f t="shared" ref="M278:M290" si="190">L278*1.022</f>
        <v>1794.4115631095808</v>
      </c>
      <c r="N278" s="54">
        <f t="shared" ref="N278:N290" si="191">M278*1.023</f>
        <v>1835.683029061101</v>
      </c>
      <c r="O278" s="54">
        <f t="shared" ref="O278:P290" si="192">N278*1.025</f>
        <v>1881.5751047876283</v>
      </c>
      <c r="P278" s="54">
        <f t="shared" si="192"/>
        <v>1928.614482407319</v>
      </c>
      <c r="Q278" s="54">
        <f t="shared" ref="Q278:R290" si="193">P278*1.024</f>
        <v>1974.9012299850947</v>
      </c>
      <c r="R278" s="54">
        <f t="shared" si="193"/>
        <v>2022.298859504737</v>
      </c>
    </row>
    <row r="279" spans="1:18" x14ac:dyDescent="0.25">
      <c r="A279" s="52" t="s">
        <v>205</v>
      </c>
      <c r="B279" s="53"/>
      <c r="C279" s="54">
        <v>20077</v>
      </c>
      <c r="D279" s="54">
        <v>22648</v>
      </c>
      <c r="E279" s="43">
        <v>24583</v>
      </c>
      <c r="F279" s="43">
        <v>24284</v>
      </c>
      <c r="G279" s="50">
        <v>21865</v>
      </c>
      <c r="H279" s="50">
        <v>25000</v>
      </c>
      <c r="I279" s="54">
        <f t="shared" si="187"/>
        <v>25574.999999999996</v>
      </c>
      <c r="J279" s="54">
        <f t="shared" si="188"/>
        <v>26188.799999999996</v>
      </c>
      <c r="K279" s="54">
        <f t="shared" si="188"/>
        <v>26817.331199999997</v>
      </c>
      <c r="L279" s="54">
        <f t="shared" si="189"/>
        <v>27434.129817599995</v>
      </c>
      <c r="M279" s="54">
        <f t="shared" si="190"/>
        <v>28037.680673587194</v>
      </c>
      <c r="N279" s="54">
        <f t="shared" si="191"/>
        <v>28682.547329079698</v>
      </c>
      <c r="O279" s="54">
        <f t="shared" si="192"/>
        <v>29399.611012306686</v>
      </c>
      <c r="P279" s="54">
        <f t="shared" si="192"/>
        <v>30134.60128761435</v>
      </c>
      <c r="Q279" s="54">
        <f t="shared" si="193"/>
        <v>30857.831718517096</v>
      </c>
      <c r="R279" s="54">
        <f t="shared" si="193"/>
        <v>31598.419679761508</v>
      </c>
    </row>
    <row r="280" spans="1:18" x14ac:dyDescent="0.25">
      <c r="A280" s="52" t="s">
        <v>206</v>
      </c>
      <c r="B280" s="53"/>
      <c r="C280" s="54">
        <v>8750</v>
      </c>
      <c r="D280" s="54">
        <v>3350</v>
      </c>
      <c r="E280" s="43">
        <v>5745</v>
      </c>
      <c r="F280" s="43">
        <v>4500</v>
      </c>
      <c r="G280" s="50">
        <v>1700</v>
      </c>
      <c r="H280" s="50">
        <v>5000</v>
      </c>
      <c r="I280" s="54">
        <f t="shared" si="187"/>
        <v>5115</v>
      </c>
      <c r="J280" s="54">
        <f t="shared" si="188"/>
        <v>5237.76</v>
      </c>
      <c r="K280" s="54">
        <f t="shared" si="188"/>
        <v>5363.4662400000007</v>
      </c>
      <c r="L280" s="54">
        <f t="shared" si="189"/>
        <v>5486.8259635200002</v>
      </c>
      <c r="M280" s="54">
        <f t="shared" si="190"/>
        <v>5607.5361347174403</v>
      </c>
      <c r="N280" s="54">
        <f t="shared" si="191"/>
        <v>5736.5094658159405</v>
      </c>
      <c r="O280" s="54">
        <f t="shared" si="192"/>
        <v>5879.9222024613382</v>
      </c>
      <c r="P280" s="54">
        <f t="shared" si="192"/>
        <v>6026.920257522871</v>
      </c>
      <c r="Q280" s="54">
        <f t="shared" si="193"/>
        <v>6171.56634370342</v>
      </c>
      <c r="R280" s="54">
        <f t="shared" si="193"/>
        <v>6319.6839359523019</v>
      </c>
    </row>
    <row r="281" spans="1:18" x14ac:dyDescent="0.25">
      <c r="A281" s="52" t="s">
        <v>207</v>
      </c>
      <c r="B281" s="53"/>
      <c r="C281" s="54">
        <v>49716</v>
      </c>
      <c r="D281" s="54">
        <v>50327</v>
      </c>
      <c r="E281" s="43">
        <v>43972</v>
      </c>
      <c r="F281" s="43">
        <v>44315</v>
      </c>
      <c r="G281" s="50">
        <v>42603</v>
      </c>
      <c r="H281" s="50">
        <v>45000</v>
      </c>
      <c r="I281" s="54">
        <f t="shared" si="187"/>
        <v>46034.999999999993</v>
      </c>
      <c r="J281" s="54">
        <f t="shared" si="188"/>
        <v>47139.839999999997</v>
      </c>
      <c r="K281" s="54">
        <f t="shared" si="188"/>
        <v>48271.19616</v>
      </c>
      <c r="L281" s="54">
        <f t="shared" si="189"/>
        <v>49381.433671679995</v>
      </c>
      <c r="M281" s="54">
        <f t="shared" si="190"/>
        <v>50467.825212456955</v>
      </c>
      <c r="N281" s="54">
        <f t="shared" si="191"/>
        <v>51628.58519234346</v>
      </c>
      <c r="O281" s="54">
        <f t="shared" si="192"/>
        <v>52919.299822152039</v>
      </c>
      <c r="P281" s="54">
        <f t="shared" si="192"/>
        <v>54242.282317705838</v>
      </c>
      <c r="Q281" s="54">
        <f t="shared" si="193"/>
        <v>55544.097093330776</v>
      </c>
      <c r="R281" s="54">
        <f t="shared" si="193"/>
        <v>56877.155423570715</v>
      </c>
    </row>
    <row r="282" spans="1:18" x14ac:dyDescent="0.25">
      <c r="A282" s="52" t="s">
        <v>208</v>
      </c>
      <c r="B282" s="53"/>
      <c r="C282" s="54">
        <v>15695</v>
      </c>
      <c r="D282" s="54">
        <v>16040</v>
      </c>
      <c r="E282" s="43">
        <v>21510</v>
      </c>
      <c r="F282" s="43">
        <v>24335</v>
      </c>
      <c r="G282" s="50">
        <v>25004</v>
      </c>
      <c r="H282" s="50">
        <v>24000</v>
      </c>
      <c r="I282" s="54">
        <f t="shared" si="187"/>
        <v>24551.999999999996</v>
      </c>
      <c r="J282" s="54">
        <f t="shared" si="188"/>
        <v>25141.247999999996</v>
      </c>
      <c r="K282" s="54">
        <f t="shared" si="188"/>
        <v>25744.637951999997</v>
      </c>
      <c r="L282" s="54">
        <f t="shared" si="189"/>
        <v>26336.764624895994</v>
      </c>
      <c r="M282" s="54">
        <f t="shared" si="190"/>
        <v>26916.173446643705</v>
      </c>
      <c r="N282" s="54">
        <f t="shared" si="191"/>
        <v>27535.245435916506</v>
      </c>
      <c r="O282" s="54">
        <f t="shared" si="192"/>
        <v>28223.626571814417</v>
      </c>
      <c r="P282" s="54">
        <f t="shared" si="192"/>
        <v>28929.217236109776</v>
      </c>
      <c r="Q282" s="54">
        <f t="shared" si="193"/>
        <v>29623.518449776413</v>
      </c>
      <c r="R282" s="54">
        <f t="shared" si="193"/>
        <v>30334.482892571046</v>
      </c>
    </row>
    <row r="283" spans="1:18" x14ac:dyDescent="0.25">
      <c r="A283" s="52" t="s">
        <v>23</v>
      </c>
      <c r="B283" s="53"/>
      <c r="C283" s="54">
        <f>9691+90+2883+90+4091+1430+12153</f>
        <v>30428</v>
      </c>
      <c r="D283" s="54">
        <v>25145</v>
      </c>
      <c r="E283" s="50">
        <f>10473+10132+210+3273+2870+6040+31.82</f>
        <v>33029.82</v>
      </c>
      <c r="F283" s="50">
        <v>24028</v>
      </c>
      <c r="G283" s="50">
        <v>25029</v>
      </c>
      <c r="H283" s="50">
        <v>26000</v>
      </c>
      <c r="I283" s="54">
        <f t="shared" si="187"/>
        <v>26597.999999999996</v>
      </c>
      <c r="J283" s="54">
        <f t="shared" si="188"/>
        <v>27236.351999999995</v>
      </c>
      <c r="K283" s="54">
        <f t="shared" si="188"/>
        <v>27890.024447999996</v>
      </c>
      <c r="L283" s="54">
        <f t="shared" si="189"/>
        <v>28531.495010303996</v>
      </c>
      <c r="M283" s="54">
        <f t="shared" si="190"/>
        <v>29159.187900530684</v>
      </c>
      <c r="N283" s="54">
        <f t="shared" si="191"/>
        <v>29829.849222242887</v>
      </c>
      <c r="O283" s="54">
        <f t="shared" si="192"/>
        <v>30575.595452798956</v>
      </c>
      <c r="P283" s="54">
        <f t="shared" si="192"/>
        <v>31339.985339118928</v>
      </c>
      <c r="Q283" s="54">
        <f t="shared" si="193"/>
        <v>32092.144987257783</v>
      </c>
      <c r="R283" s="54">
        <f t="shared" si="193"/>
        <v>32862.356466951969</v>
      </c>
    </row>
    <row r="284" spans="1:18" x14ac:dyDescent="0.25">
      <c r="A284" s="52" t="s">
        <v>209</v>
      </c>
      <c r="B284" s="53"/>
      <c r="C284" s="54">
        <f>11851+8208</f>
        <v>20059</v>
      </c>
      <c r="D284" s="54">
        <v>13835</v>
      </c>
      <c r="E284" s="50">
        <f>4280+8407-337.5</f>
        <v>12349.5</v>
      </c>
      <c r="F284" s="50">
        <v>9505</v>
      </c>
      <c r="G284" s="50">
        <v>13446</v>
      </c>
      <c r="H284" s="50">
        <v>13300</v>
      </c>
      <c r="I284" s="54">
        <f t="shared" si="187"/>
        <v>13605.9</v>
      </c>
      <c r="J284" s="54">
        <f t="shared" si="188"/>
        <v>13932.4416</v>
      </c>
      <c r="K284" s="54">
        <f t="shared" si="188"/>
        <v>14266.820198400001</v>
      </c>
      <c r="L284" s="54">
        <f t="shared" si="189"/>
        <v>14594.9570629632</v>
      </c>
      <c r="M284" s="54">
        <f t="shared" si="190"/>
        <v>14916.046118348391</v>
      </c>
      <c r="N284" s="54">
        <f t="shared" si="191"/>
        <v>15259.115179070403</v>
      </c>
      <c r="O284" s="54">
        <f t="shared" si="192"/>
        <v>15640.593058547161</v>
      </c>
      <c r="P284" s="54">
        <f t="shared" si="192"/>
        <v>16031.607885010839</v>
      </c>
      <c r="Q284" s="54">
        <f t="shared" si="193"/>
        <v>16416.366474251099</v>
      </c>
      <c r="R284" s="54">
        <f t="shared" si="193"/>
        <v>16810.359269633125</v>
      </c>
    </row>
    <row r="285" spans="1:18" x14ac:dyDescent="0.25">
      <c r="A285" s="52" t="s">
        <v>210</v>
      </c>
      <c r="B285" s="53"/>
      <c r="C285" s="54">
        <v>2041</v>
      </c>
      <c r="D285" s="54">
        <v>1246</v>
      </c>
      <c r="E285" s="43">
        <v>2506</v>
      </c>
      <c r="F285" s="50">
        <v>741</v>
      </c>
      <c r="G285" s="50">
        <v>0</v>
      </c>
      <c r="H285" s="50">
        <v>2000</v>
      </c>
      <c r="I285" s="54">
        <f t="shared" si="187"/>
        <v>2045.9999999999998</v>
      </c>
      <c r="J285" s="54">
        <f t="shared" si="188"/>
        <v>2095.1039999999998</v>
      </c>
      <c r="K285" s="54">
        <f t="shared" si="188"/>
        <v>2145.3864960000001</v>
      </c>
      <c r="L285" s="54">
        <f t="shared" si="189"/>
        <v>2194.7303854080001</v>
      </c>
      <c r="M285" s="54">
        <f t="shared" si="190"/>
        <v>2243.0144538869763</v>
      </c>
      <c r="N285" s="54">
        <f t="shared" si="191"/>
        <v>2294.6037863263764</v>
      </c>
      <c r="O285" s="54">
        <f t="shared" si="192"/>
        <v>2351.9688809845356</v>
      </c>
      <c r="P285" s="54">
        <f t="shared" si="192"/>
        <v>2410.7681030091489</v>
      </c>
      <c r="Q285" s="54">
        <f t="shared" si="193"/>
        <v>2468.6265374813684</v>
      </c>
      <c r="R285" s="54">
        <f t="shared" si="193"/>
        <v>2527.8735743809211</v>
      </c>
    </row>
    <row r="286" spans="1:18" x14ac:dyDescent="0.25">
      <c r="A286" s="52" t="s">
        <v>211</v>
      </c>
      <c r="B286" s="53"/>
      <c r="C286" s="54">
        <v>2230</v>
      </c>
      <c r="D286" s="50">
        <f>2250+370+18</f>
        <v>2638</v>
      </c>
      <c r="E286" s="43">
        <v>2595</v>
      </c>
      <c r="F286" s="50">
        <v>5627</v>
      </c>
      <c r="G286" s="50">
        <v>1220</v>
      </c>
      <c r="H286" s="50">
        <v>4100</v>
      </c>
      <c r="I286" s="54">
        <f t="shared" si="187"/>
        <v>4194.2999999999993</v>
      </c>
      <c r="J286" s="54">
        <f t="shared" si="188"/>
        <v>4294.9631999999992</v>
      </c>
      <c r="K286" s="54">
        <f t="shared" si="188"/>
        <v>4398.0423167999998</v>
      </c>
      <c r="L286" s="54">
        <f t="shared" si="189"/>
        <v>4499.1972900863993</v>
      </c>
      <c r="M286" s="54">
        <f t="shared" si="190"/>
        <v>4598.1796304683003</v>
      </c>
      <c r="N286" s="54">
        <f t="shared" si="191"/>
        <v>4703.9377619690704</v>
      </c>
      <c r="O286" s="54">
        <f t="shared" si="192"/>
        <v>4821.536206018297</v>
      </c>
      <c r="P286" s="54">
        <f t="shared" si="192"/>
        <v>4942.074611168754</v>
      </c>
      <c r="Q286" s="54">
        <f t="shared" si="193"/>
        <v>5060.6844018368038</v>
      </c>
      <c r="R286" s="54">
        <f t="shared" si="193"/>
        <v>5182.1408274808873</v>
      </c>
    </row>
    <row r="287" spans="1:18" x14ac:dyDescent="0.25">
      <c r="A287" s="52" t="s">
        <v>212</v>
      </c>
      <c r="B287" s="53"/>
      <c r="C287" s="54">
        <v>3808</v>
      </c>
      <c r="D287" s="54">
        <v>1250</v>
      </c>
      <c r="E287" s="43">
        <v>5749</v>
      </c>
      <c r="F287" s="50">
        <v>6438</v>
      </c>
      <c r="G287" s="50">
        <v>8640</v>
      </c>
      <c r="H287" s="50">
        <v>5500</v>
      </c>
      <c r="I287" s="54">
        <f t="shared" si="187"/>
        <v>5626.4999999999991</v>
      </c>
      <c r="J287" s="54">
        <f t="shared" si="188"/>
        <v>5761.5359999999991</v>
      </c>
      <c r="K287" s="54">
        <f t="shared" si="188"/>
        <v>5899.8128639999995</v>
      </c>
      <c r="L287" s="54">
        <f t="shared" si="189"/>
        <v>6035.5085598719988</v>
      </c>
      <c r="M287" s="54">
        <f t="shared" si="190"/>
        <v>6168.2897481891832</v>
      </c>
      <c r="N287" s="54">
        <f t="shared" si="191"/>
        <v>6310.1604123975339</v>
      </c>
      <c r="O287" s="54">
        <f t="shared" si="192"/>
        <v>6467.9144227074721</v>
      </c>
      <c r="P287" s="54">
        <f t="shared" si="192"/>
        <v>6629.612283275158</v>
      </c>
      <c r="Q287" s="54">
        <f t="shared" si="193"/>
        <v>6788.7229780737616</v>
      </c>
      <c r="R287" s="54">
        <f t="shared" si="193"/>
        <v>6951.6523295475317</v>
      </c>
    </row>
    <row r="288" spans="1:18" x14ac:dyDescent="0.25">
      <c r="A288" s="52" t="s">
        <v>213</v>
      </c>
      <c r="B288" s="53"/>
      <c r="C288" s="54">
        <v>8164</v>
      </c>
      <c r="D288" s="54">
        <v>936</v>
      </c>
      <c r="E288" s="50">
        <f>3712-321.75</f>
        <v>3390.25</v>
      </c>
      <c r="F288" s="50">
        <v>227</v>
      </c>
      <c r="G288" s="50">
        <v>221</v>
      </c>
      <c r="H288" s="50">
        <v>500</v>
      </c>
      <c r="I288" s="54">
        <f t="shared" si="187"/>
        <v>511.49999999999994</v>
      </c>
      <c r="J288" s="54">
        <f t="shared" si="188"/>
        <v>523.77599999999995</v>
      </c>
      <c r="K288" s="54">
        <f t="shared" si="188"/>
        <v>536.34662400000002</v>
      </c>
      <c r="L288" s="54">
        <f t="shared" si="189"/>
        <v>548.68259635200002</v>
      </c>
      <c r="M288" s="54">
        <f t="shared" si="190"/>
        <v>560.75361347174407</v>
      </c>
      <c r="N288" s="54">
        <f t="shared" si="191"/>
        <v>573.6509465815941</v>
      </c>
      <c r="O288" s="54">
        <f t="shared" si="192"/>
        <v>587.99222024613391</v>
      </c>
      <c r="P288" s="54">
        <f t="shared" si="192"/>
        <v>602.69202575228724</v>
      </c>
      <c r="Q288" s="54">
        <f t="shared" si="193"/>
        <v>617.15663437034209</v>
      </c>
      <c r="R288" s="54">
        <f t="shared" si="193"/>
        <v>631.96839359523028</v>
      </c>
    </row>
    <row r="289" spans="1:18" x14ac:dyDescent="0.25">
      <c r="A289" s="52" t="s">
        <v>214</v>
      </c>
      <c r="B289" s="53"/>
      <c r="C289" s="54">
        <v>1242</v>
      </c>
      <c r="D289" s="54">
        <v>1314</v>
      </c>
      <c r="E289" s="43">
        <f>882+72</f>
        <v>954</v>
      </c>
      <c r="F289" s="50">
        <v>972</v>
      </c>
      <c r="G289" s="50">
        <v>1206</v>
      </c>
      <c r="H289" s="50">
        <v>1200</v>
      </c>
      <c r="I289" s="54">
        <f t="shared" si="187"/>
        <v>1227.5999999999999</v>
      </c>
      <c r="J289" s="54">
        <f t="shared" si="188"/>
        <v>1257.0624</v>
      </c>
      <c r="K289" s="54">
        <f t="shared" si="188"/>
        <v>1287.2318976000001</v>
      </c>
      <c r="L289" s="54">
        <f t="shared" si="189"/>
        <v>1316.8382312448</v>
      </c>
      <c r="M289" s="54">
        <f t="shared" si="190"/>
        <v>1345.8086723321856</v>
      </c>
      <c r="N289" s="54">
        <f t="shared" si="191"/>
        <v>1376.7622717958257</v>
      </c>
      <c r="O289" s="54">
        <f t="shared" si="192"/>
        <v>1411.1813285907213</v>
      </c>
      <c r="P289" s="54">
        <f t="shared" si="192"/>
        <v>1446.4608618054892</v>
      </c>
      <c r="Q289" s="54">
        <f t="shared" si="193"/>
        <v>1481.175922488821</v>
      </c>
      <c r="R289" s="54">
        <f t="shared" si="193"/>
        <v>1516.7241446285527</v>
      </c>
    </row>
    <row r="290" spans="1:18" x14ac:dyDescent="0.25">
      <c r="A290" s="52" t="s">
        <v>215</v>
      </c>
      <c r="B290" s="53"/>
      <c r="C290" s="54"/>
      <c r="D290" s="50">
        <v>2000</v>
      </c>
      <c r="E290" s="50">
        <v>0</v>
      </c>
      <c r="F290" s="50">
        <v>0</v>
      </c>
      <c r="G290" s="50">
        <v>0</v>
      </c>
      <c r="H290" s="50">
        <v>0</v>
      </c>
      <c r="I290" s="54">
        <f t="shared" si="187"/>
        <v>0</v>
      </c>
      <c r="J290" s="54">
        <f t="shared" si="188"/>
        <v>0</v>
      </c>
      <c r="K290" s="54">
        <f t="shared" si="188"/>
        <v>0</v>
      </c>
      <c r="L290" s="54">
        <f t="shared" si="189"/>
        <v>0</v>
      </c>
      <c r="M290" s="54">
        <f t="shared" si="190"/>
        <v>0</v>
      </c>
      <c r="N290" s="54">
        <f t="shared" si="191"/>
        <v>0</v>
      </c>
      <c r="O290" s="54">
        <f t="shared" si="192"/>
        <v>0</v>
      </c>
      <c r="P290" s="54">
        <f t="shared" si="192"/>
        <v>0</v>
      </c>
      <c r="Q290" s="54">
        <f t="shared" si="193"/>
        <v>0</v>
      </c>
      <c r="R290" s="54">
        <f t="shared" si="193"/>
        <v>0</v>
      </c>
    </row>
    <row r="291" spans="1:18" x14ac:dyDescent="0.25">
      <c r="A291" s="41"/>
      <c r="B291" s="44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</row>
    <row r="292" spans="1:18" x14ac:dyDescent="0.25">
      <c r="A292" s="41" t="s">
        <v>216</v>
      </c>
      <c r="B292" s="44"/>
      <c r="C292" s="51">
        <f t="shared" ref="C292:Q292" si="194">SUM(C277:C291)</f>
        <v>311544</v>
      </c>
      <c r="D292" s="51">
        <f t="shared" si="194"/>
        <v>286624</v>
      </c>
      <c r="E292" s="51">
        <f t="shared" si="194"/>
        <v>321098.75</v>
      </c>
      <c r="F292" s="51">
        <f t="shared" ref="F292:G292" si="195">SUM(F277:F291)</f>
        <v>354885</v>
      </c>
      <c r="G292" s="51">
        <f t="shared" si="195"/>
        <v>352236</v>
      </c>
      <c r="H292" s="51">
        <f t="shared" si="194"/>
        <v>377000</v>
      </c>
      <c r="I292" s="51">
        <f t="shared" si="194"/>
        <v>385670.99999999994</v>
      </c>
      <c r="J292" s="51">
        <f t="shared" si="194"/>
        <v>394927.10400000011</v>
      </c>
      <c r="K292" s="51">
        <f t="shared" si="194"/>
        <v>404405.35449599993</v>
      </c>
      <c r="L292" s="51">
        <f t="shared" si="194"/>
        <v>413706.67764940794</v>
      </c>
      <c r="M292" s="51">
        <f t="shared" si="194"/>
        <v>422808.22455769486</v>
      </c>
      <c r="N292" s="51">
        <f t="shared" si="194"/>
        <v>432532.81372252188</v>
      </c>
      <c r="O292" s="51">
        <f t="shared" si="194"/>
        <v>443346.13406558486</v>
      </c>
      <c r="P292" s="51">
        <f t="shared" si="194"/>
        <v>454429.78741722455</v>
      </c>
      <c r="Q292" s="51">
        <f t="shared" si="194"/>
        <v>465336.10231523786</v>
      </c>
      <c r="R292" s="51">
        <f t="shared" ref="R292" si="196">SUM(R277:R291)</f>
        <v>476504.16877080366</v>
      </c>
    </row>
    <row r="293" spans="1:18" x14ac:dyDescent="0.25">
      <c r="C293" s="50"/>
      <c r="D293" s="50"/>
      <c r="E293" s="50"/>
      <c r="F293" s="50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</row>
    <row r="294" spans="1:18" x14ac:dyDescent="0.25">
      <c r="A294" s="41" t="s">
        <v>165</v>
      </c>
      <c r="B294" s="44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</row>
    <row r="295" spans="1:18" x14ac:dyDescent="0.25">
      <c r="C295" s="50"/>
      <c r="D295" s="50"/>
      <c r="E295" s="56"/>
      <c r="F295" s="56"/>
      <c r="G295" s="56"/>
      <c r="H295" s="56"/>
      <c r="I295" s="50"/>
      <c r="J295" s="50"/>
      <c r="K295" s="50"/>
      <c r="L295" s="50"/>
      <c r="M295" s="50"/>
      <c r="N295" s="50"/>
      <c r="O295" s="50"/>
      <c r="P295" s="50"/>
      <c r="Q295" s="50"/>
      <c r="R295" s="50"/>
    </row>
    <row r="296" spans="1:18" x14ac:dyDescent="0.25">
      <c r="A296" s="43" t="s">
        <v>217</v>
      </c>
      <c r="C296" s="54">
        <f>433291+39852</f>
        <v>473143</v>
      </c>
      <c r="D296" s="54">
        <f>461082+16151</f>
        <v>477233</v>
      </c>
      <c r="E296" s="50">
        <f>451852+5022.08-1320-1380-1460-1461.76+862.06+574.71+862.06</f>
        <v>453551.15</v>
      </c>
      <c r="F296" s="43">
        <v>429350</v>
      </c>
      <c r="G296" s="43">
        <v>502442</v>
      </c>
      <c r="H296" s="43">
        <v>552800</v>
      </c>
      <c r="I296" s="50">
        <f>H296*1.025</f>
        <v>566620</v>
      </c>
      <c r="J296" s="50">
        <f>I296*1.029</f>
        <v>583051.98</v>
      </c>
      <c r="K296" s="54">
        <f>J296*1.031</f>
        <v>601126.59137999988</v>
      </c>
      <c r="L296" s="54">
        <f>K296*1.033</f>
        <v>620963.7688955398</v>
      </c>
      <c r="M296" s="54">
        <f>L296*1.032</f>
        <v>640834.60950019711</v>
      </c>
      <c r="N296" s="54">
        <f>M296*1.03</f>
        <v>660059.64778520307</v>
      </c>
      <c r="O296" s="54">
        <f>N296*1.032</f>
        <v>681181.55651432963</v>
      </c>
      <c r="P296" s="54">
        <f>O296*1.034</f>
        <v>704341.72943581687</v>
      </c>
      <c r="Q296" s="54">
        <f>P296*1.034</f>
        <v>728289.34823663463</v>
      </c>
      <c r="R296" s="54">
        <f>Q296*1.034</f>
        <v>753051.1860766802</v>
      </c>
    </row>
    <row r="297" spans="1:18" x14ac:dyDescent="0.25">
      <c r="A297" s="43" t="s">
        <v>218</v>
      </c>
      <c r="C297" s="54"/>
      <c r="D297" s="54"/>
      <c r="E297" s="50"/>
      <c r="F297" s="43">
        <v>68971</v>
      </c>
      <c r="G297" s="43">
        <v>0</v>
      </c>
      <c r="I297" s="50"/>
      <c r="J297" s="50"/>
      <c r="K297" s="54"/>
      <c r="L297" s="54"/>
      <c r="M297" s="54"/>
      <c r="N297" s="54"/>
      <c r="O297" s="54"/>
      <c r="P297" s="54"/>
      <c r="Q297" s="54"/>
      <c r="R297" s="54"/>
    </row>
    <row r="298" spans="1:18" x14ac:dyDescent="0.25">
      <c r="A298" s="43" t="s">
        <v>219</v>
      </c>
      <c r="C298" s="54">
        <v>19030</v>
      </c>
      <c r="D298" s="50">
        <v>22079</v>
      </c>
      <c r="E298" s="43">
        <v>16318</v>
      </c>
      <c r="F298" s="50">
        <v>17902</v>
      </c>
      <c r="G298" s="50">
        <v>15525</v>
      </c>
      <c r="H298" s="50">
        <v>15200</v>
      </c>
      <c r="I298" s="54">
        <f t="shared" ref="I298" si="197">H298*1.023</f>
        <v>15549.599999999999</v>
      </c>
      <c r="J298" s="54">
        <f t="shared" ref="J298:K298" si="198">I298*1.024</f>
        <v>15922.790399999998</v>
      </c>
      <c r="K298" s="54">
        <f t="shared" si="198"/>
        <v>16304.937369599998</v>
      </c>
      <c r="L298" s="54">
        <f t="shared" ref="L298" si="199">K298*1.023</f>
        <v>16679.950929100796</v>
      </c>
      <c r="M298" s="54">
        <f t="shared" ref="M298" si="200">L298*1.022</f>
        <v>17046.909849541014</v>
      </c>
      <c r="N298" s="54">
        <f t="shared" ref="N298" si="201">M298*1.023</f>
        <v>17438.988776080456</v>
      </c>
      <c r="O298" s="54">
        <f t="shared" ref="O298:P298" si="202">N298*1.025</f>
        <v>17874.963495482465</v>
      </c>
      <c r="P298" s="54">
        <f t="shared" si="202"/>
        <v>18321.837582869524</v>
      </c>
      <c r="Q298" s="54">
        <f t="shared" ref="Q298:R298" si="203">P298*1.024</f>
        <v>18761.561684858392</v>
      </c>
      <c r="R298" s="54">
        <f t="shared" si="203"/>
        <v>19211.839165294994</v>
      </c>
    </row>
    <row r="299" spans="1:18" x14ac:dyDescent="0.25">
      <c r="A299" s="43" t="s">
        <v>220</v>
      </c>
      <c r="C299" s="50">
        <v>45226</v>
      </c>
      <c r="D299" s="50">
        <v>57080</v>
      </c>
      <c r="E299" s="50">
        <v>64651.77</v>
      </c>
      <c r="F299" s="50">
        <v>51001</v>
      </c>
      <c r="G299" s="50">
        <v>53523</v>
      </c>
      <c r="H299" s="50">
        <v>68500</v>
      </c>
      <c r="I299" s="50">
        <f>H299*1.025</f>
        <v>70212.5</v>
      </c>
      <c r="J299" s="50">
        <f>I299*1.029</f>
        <v>72248.662499999991</v>
      </c>
      <c r="K299" s="54">
        <f>J299*1.031</f>
        <v>74488.371037499979</v>
      </c>
      <c r="L299" s="54">
        <f>K299*1.033</f>
        <v>76946.487281737471</v>
      </c>
      <c r="M299" s="54">
        <f>L299*1.032</f>
        <v>79408.774874753071</v>
      </c>
      <c r="N299" s="54">
        <f>M299*1.03</f>
        <v>81791.038120995669</v>
      </c>
      <c r="O299" s="54">
        <f>N299*1.032</f>
        <v>84408.351340867535</v>
      </c>
      <c r="P299" s="54">
        <f>O299*1.034</f>
        <v>87278.235286457028</v>
      </c>
      <c r="Q299" s="54">
        <f>P299*1.034</f>
        <v>90245.695286196569</v>
      </c>
      <c r="R299" s="54">
        <f>Q299*1.034</f>
        <v>93314.048925927258</v>
      </c>
    </row>
    <row r="300" spans="1:18" x14ac:dyDescent="0.25">
      <c r="A300" s="43" t="s">
        <v>220</v>
      </c>
      <c r="B300" s="53"/>
      <c r="C300" s="52"/>
      <c r="D300" s="50"/>
      <c r="E300" s="50"/>
      <c r="F300" s="50"/>
      <c r="G300" s="50">
        <v>0</v>
      </c>
      <c r="H300" s="50"/>
      <c r="I300" s="54"/>
      <c r="J300" s="54"/>
      <c r="K300" s="54"/>
      <c r="L300" s="54"/>
      <c r="M300" s="54"/>
      <c r="N300" s="54"/>
      <c r="O300" s="54"/>
      <c r="P300" s="54"/>
      <c r="Q300" s="54"/>
      <c r="R300" s="54"/>
    </row>
    <row r="301" spans="1:18" x14ac:dyDescent="0.25">
      <c r="A301" s="43" t="s">
        <v>221</v>
      </c>
      <c r="C301" s="57">
        <v>18273</v>
      </c>
      <c r="D301" s="57">
        <v>14739</v>
      </c>
      <c r="E301" s="58">
        <v>19246.77</v>
      </c>
      <c r="F301" s="57">
        <v>15474</v>
      </c>
      <c r="G301" s="57">
        <v>16078</v>
      </c>
      <c r="H301" s="57">
        <v>16370</v>
      </c>
      <c r="I301" s="57">
        <v>16580</v>
      </c>
      <c r="J301" s="57">
        <v>17480</v>
      </c>
      <c r="K301" s="57">
        <v>18140</v>
      </c>
      <c r="L301" s="57">
        <v>18350</v>
      </c>
      <c r="M301" s="57">
        <v>19850</v>
      </c>
      <c r="N301" s="57">
        <v>19420</v>
      </c>
      <c r="O301" s="57">
        <v>19630</v>
      </c>
      <c r="P301" s="57">
        <v>21290</v>
      </c>
      <c r="Q301" s="57">
        <v>21140</v>
      </c>
      <c r="R301" s="57">
        <v>21140</v>
      </c>
    </row>
    <row r="302" spans="1:18" x14ac:dyDescent="0.25">
      <c r="A302" s="43" t="s">
        <v>222</v>
      </c>
      <c r="C302" s="54">
        <v>53024</v>
      </c>
      <c r="D302" s="50">
        <v>54032</v>
      </c>
      <c r="E302" s="43">
        <v>55382</v>
      </c>
      <c r="F302" s="50">
        <v>56905</v>
      </c>
      <c r="G302" s="50">
        <v>58186</v>
      </c>
      <c r="H302" s="50">
        <v>59600</v>
      </c>
      <c r="I302" s="54">
        <f t="shared" ref="I302:I309" si="204">H302*1.023</f>
        <v>60970.799999999996</v>
      </c>
      <c r="J302" s="54">
        <f t="shared" ref="J302:K304" si="205">I302*1.024</f>
        <v>62434.099199999997</v>
      </c>
      <c r="K302" s="54">
        <f t="shared" si="205"/>
        <v>63932.517580799999</v>
      </c>
      <c r="L302" s="54">
        <f t="shared" ref="L302:L309" si="206">K302*1.023</f>
        <v>65402.965485158391</v>
      </c>
      <c r="M302" s="54">
        <f t="shared" ref="M302:M309" si="207">L302*1.022</f>
        <v>66841.830725831882</v>
      </c>
      <c r="N302" s="54">
        <f t="shared" ref="N302:N309" si="208">M302*1.023</f>
        <v>68379.192832526009</v>
      </c>
      <c r="O302" s="54">
        <f t="shared" ref="O302:P309" si="209">N302*1.025</f>
        <v>70088.672653339148</v>
      </c>
      <c r="P302" s="54">
        <f t="shared" si="209"/>
        <v>71840.88946967262</v>
      </c>
      <c r="Q302" s="54">
        <f t="shared" ref="Q302:R309" si="210">P302*1.024</f>
        <v>73565.070816944761</v>
      </c>
      <c r="R302" s="54">
        <f t="shared" si="210"/>
        <v>75330.632516551443</v>
      </c>
    </row>
    <row r="303" spans="1:18" x14ac:dyDescent="0.25">
      <c r="A303" s="43" t="s">
        <v>223</v>
      </c>
      <c r="C303" s="54">
        <v>53260</v>
      </c>
      <c r="D303" s="50">
        <v>23226</v>
      </c>
      <c r="E303" s="50">
        <f>43429+2357.25</f>
        <v>45786.25</v>
      </c>
      <c r="F303" s="50">
        <v>25965</v>
      </c>
      <c r="G303" s="50">
        <v>56302</v>
      </c>
      <c r="H303" s="50">
        <v>50000</v>
      </c>
      <c r="I303" s="54">
        <f t="shared" si="204"/>
        <v>51149.999999999993</v>
      </c>
      <c r="J303" s="54">
        <f t="shared" si="205"/>
        <v>52377.599999999991</v>
      </c>
      <c r="K303" s="54">
        <f t="shared" si="205"/>
        <v>53634.662399999994</v>
      </c>
      <c r="L303" s="54">
        <f t="shared" si="206"/>
        <v>54868.259635199989</v>
      </c>
      <c r="M303" s="54">
        <f t="shared" si="207"/>
        <v>56075.361347174388</v>
      </c>
      <c r="N303" s="54">
        <f t="shared" si="208"/>
        <v>57365.094658159396</v>
      </c>
      <c r="O303" s="54">
        <f t="shared" si="209"/>
        <v>58799.222024613373</v>
      </c>
      <c r="P303" s="54">
        <f t="shared" si="209"/>
        <v>60269.202575228701</v>
      </c>
      <c r="Q303" s="54">
        <f t="shared" si="210"/>
        <v>61715.663437034193</v>
      </c>
      <c r="R303" s="54">
        <f t="shared" si="210"/>
        <v>63196.839359523015</v>
      </c>
    </row>
    <row r="304" spans="1:18" x14ac:dyDescent="0.25">
      <c r="A304" s="52" t="s">
        <v>224</v>
      </c>
      <c r="B304" s="53"/>
      <c r="C304" s="52"/>
      <c r="D304" s="50">
        <v>19053</v>
      </c>
      <c r="E304" s="43">
        <f>36591+21280</f>
        <v>57871</v>
      </c>
      <c r="F304" s="50">
        <v>0</v>
      </c>
      <c r="G304" s="50">
        <v>15988</v>
      </c>
      <c r="H304" s="50">
        <v>30000</v>
      </c>
      <c r="I304" s="54">
        <v>0</v>
      </c>
      <c r="J304" s="54">
        <v>0</v>
      </c>
      <c r="K304" s="54">
        <f t="shared" si="205"/>
        <v>0</v>
      </c>
      <c r="L304" s="54">
        <f t="shared" si="206"/>
        <v>0</v>
      </c>
      <c r="M304" s="54">
        <f t="shared" si="207"/>
        <v>0</v>
      </c>
      <c r="N304" s="54">
        <f t="shared" si="208"/>
        <v>0</v>
      </c>
      <c r="O304" s="54">
        <f t="shared" si="209"/>
        <v>0</v>
      </c>
      <c r="P304" s="54">
        <f t="shared" si="209"/>
        <v>0</v>
      </c>
      <c r="Q304" s="54">
        <f t="shared" si="210"/>
        <v>0</v>
      </c>
      <c r="R304" s="54">
        <f t="shared" si="210"/>
        <v>0</v>
      </c>
    </row>
    <row r="305" spans="1:18" x14ac:dyDescent="0.25">
      <c r="A305" s="52" t="s">
        <v>225</v>
      </c>
      <c r="B305" s="53"/>
      <c r="C305" s="54">
        <v>4800</v>
      </c>
      <c r="D305" s="54">
        <v>6600</v>
      </c>
      <c r="E305" s="43">
        <f>1700+1700+1700+1700</f>
        <v>6800</v>
      </c>
      <c r="F305" s="50">
        <v>7000</v>
      </c>
      <c r="G305" s="50">
        <v>7000</v>
      </c>
      <c r="H305" s="50">
        <v>7200</v>
      </c>
      <c r="I305" s="54">
        <f t="shared" si="204"/>
        <v>7365.5999999999995</v>
      </c>
      <c r="J305" s="54">
        <f t="shared" ref="J305:K309" si="211">I305*1.024</f>
        <v>7542.3743999999997</v>
      </c>
      <c r="K305" s="54">
        <f t="shared" si="211"/>
        <v>7723.3913855999999</v>
      </c>
      <c r="L305" s="54">
        <f t="shared" si="206"/>
        <v>7901.0293874687995</v>
      </c>
      <c r="M305" s="54">
        <f t="shared" si="207"/>
        <v>8074.8520339931129</v>
      </c>
      <c r="N305" s="54">
        <f t="shared" si="208"/>
        <v>8260.5736307749539</v>
      </c>
      <c r="O305" s="54">
        <f t="shared" si="209"/>
        <v>8467.0879715443261</v>
      </c>
      <c r="P305" s="54">
        <f t="shared" si="209"/>
        <v>8678.765170832934</v>
      </c>
      <c r="Q305" s="54">
        <f t="shared" si="210"/>
        <v>8887.0555349329243</v>
      </c>
      <c r="R305" s="54">
        <f t="shared" si="210"/>
        <v>9100.344867771315</v>
      </c>
    </row>
    <row r="306" spans="1:18" x14ac:dyDescent="0.25">
      <c r="A306" s="52" t="s">
        <v>226</v>
      </c>
      <c r="B306" s="53"/>
      <c r="C306" s="54">
        <v>6013</v>
      </c>
      <c r="D306" s="54">
        <v>8075</v>
      </c>
      <c r="E306" s="50">
        <f>6784+150.45</f>
        <v>6934.45</v>
      </c>
      <c r="F306" s="50">
        <f>5018-755</f>
        <v>4263</v>
      </c>
      <c r="G306" s="50">
        <v>6219</v>
      </c>
      <c r="H306" s="50">
        <v>7000</v>
      </c>
      <c r="I306" s="54">
        <f t="shared" si="204"/>
        <v>7160.9999999999991</v>
      </c>
      <c r="J306" s="54">
        <f t="shared" si="211"/>
        <v>7332.8639999999996</v>
      </c>
      <c r="K306" s="54">
        <f t="shared" si="211"/>
        <v>7508.8527359999998</v>
      </c>
      <c r="L306" s="54">
        <f t="shared" si="206"/>
        <v>7681.5563489279994</v>
      </c>
      <c r="M306" s="54">
        <f t="shared" si="207"/>
        <v>7850.5505886044157</v>
      </c>
      <c r="N306" s="54">
        <f t="shared" si="208"/>
        <v>8031.1132521423169</v>
      </c>
      <c r="O306" s="54">
        <f t="shared" si="209"/>
        <v>8231.8910834458748</v>
      </c>
      <c r="P306" s="54">
        <f t="shared" si="209"/>
        <v>8437.6883605320218</v>
      </c>
      <c r="Q306" s="54">
        <f t="shared" si="210"/>
        <v>8640.1928811847902</v>
      </c>
      <c r="R306" s="54">
        <f t="shared" si="210"/>
        <v>8847.5575103332249</v>
      </c>
    </row>
    <row r="307" spans="1:18" x14ac:dyDescent="0.25">
      <c r="A307" s="52" t="s">
        <v>227</v>
      </c>
      <c r="C307" s="54">
        <v>2400</v>
      </c>
      <c r="D307" s="54">
        <v>0</v>
      </c>
      <c r="E307" s="43">
        <v>0</v>
      </c>
      <c r="F307" s="50">
        <v>1241</v>
      </c>
      <c r="G307" s="50">
        <v>0</v>
      </c>
      <c r="H307" s="50">
        <v>5000</v>
      </c>
      <c r="I307" s="54">
        <f t="shared" si="204"/>
        <v>5115</v>
      </c>
      <c r="J307" s="54">
        <f t="shared" si="211"/>
        <v>5237.76</v>
      </c>
      <c r="K307" s="54">
        <f t="shared" si="211"/>
        <v>5363.4662400000007</v>
      </c>
      <c r="L307" s="54">
        <f t="shared" si="206"/>
        <v>5486.8259635200002</v>
      </c>
      <c r="M307" s="54">
        <f t="shared" si="207"/>
        <v>5607.5361347174403</v>
      </c>
      <c r="N307" s="54">
        <f t="shared" si="208"/>
        <v>5736.5094658159405</v>
      </c>
      <c r="O307" s="54">
        <f t="shared" si="209"/>
        <v>5879.9222024613382</v>
      </c>
      <c r="P307" s="54">
        <f t="shared" si="209"/>
        <v>6026.920257522871</v>
      </c>
      <c r="Q307" s="54">
        <f t="shared" si="210"/>
        <v>6171.56634370342</v>
      </c>
      <c r="R307" s="54">
        <f t="shared" si="210"/>
        <v>6319.6839359523019</v>
      </c>
    </row>
    <row r="308" spans="1:18" x14ac:dyDescent="0.25">
      <c r="A308" s="52" t="s">
        <v>228</v>
      </c>
      <c r="C308" s="54"/>
      <c r="D308" s="54"/>
      <c r="F308" s="50"/>
      <c r="G308" s="50"/>
      <c r="H308" s="50">
        <v>46400</v>
      </c>
      <c r="I308" s="54">
        <f t="shared" si="204"/>
        <v>47467.199999999997</v>
      </c>
      <c r="J308" s="54">
        <f t="shared" si="211"/>
        <v>48606.412799999998</v>
      </c>
      <c r="K308" s="54">
        <f t="shared" si="211"/>
        <v>49772.966707200001</v>
      </c>
      <c r="L308" s="54">
        <f t="shared" si="206"/>
        <v>50917.744941465593</v>
      </c>
      <c r="M308" s="54">
        <f t="shared" si="207"/>
        <v>52037.935330177839</v>
      </c>
      <c r="N308" s="54">
        <f t="shared" si="208"/>
        <v>53234.807842771923</v>
      </c>
      <c r="O308" s="54">
        <f t="shared" si="209"/>
        <v>54565.678038841215</v>
      </c>
      <c r="P308" s="54">
        <f t="shared" si="209"/>
        <v>55929.81998981224</v>
      </c>
      <c r="Q308" s="54">
        <f t="shared" si="210"/>
        <v>57272.135669567739</v>
      </c>
      <c r="R308" s="54">
        <f t="shared" si="210"/>
        <v>58646.666925637364</v>
      </c>
    </row>
    <row r="309" spans="1:18" x14ac:dyDescent="0.25">
      <c r="A309" s="52" t="s">
        <v>229</v>
      </c>
      <c r="B309" s="53"/>
      <c r="C309" s="54">
        <v>222043</v>
      </c>
      <c r="D309" s="54">
        <v>231851</v>
      </c>
      <c r="E309" s="43">
        <v>458679</v>
      </c>
      <c r="F309" s="50">
        <v>853040</v>
      </c>
      <c r="G309" s="50">
        <v>449017</v>
      </c>
      <c r="H309" s="50">
        <v>250000</v>
      </c>
      <c r="I309" s="54">
        <f t="shared" si="204"/>
        <v>255749.99999999997</v>
      </c>
      <c r="J309" s="54">
        <f t="shared" si="211"/>
        <v>261887.99999999997</v>
      </c>
      <c r="K309" s="54">
        <f t="shared" si="211"/>
        <v>268173.31199999998</v>
      </c>
      <c r="L309" s="54">
        <f t="shared" si="206"/>
        <v>274341.29817599995</v>
      </c>
      <c r="M309" s="54">
        <f t="shared" si="207"/>
        <v>280376.80673587194</v>
      </c>
      <c r="N309" s="54">
        <f t="shared" si="208"/>
        <v>286825.47329079697</v>
      </c>
      <c r="O309" s="54">
        <f t="shared" si="209"/>
        <v>293996.11012306687</v>
      </c>
      <c r="P309" s="54">
        <f t="shared" si="209"/>
        <v>301346.0128761435</v>
      </c>
      <c r="Q309" s="54">
        <f t="shared" si="210"/>
        <v>308578.31718517095</v>
      </c>
      <c r="R309" s="54">
        <f t="shared" si="210"/>
        <v>315984.19679761503</v>
      </c>
    </row>
    <row r="310" spans="1:18" x14ac:dyDescent="0.25">
      <c r="A310" s="52"/>
      <c r="B310" s="53"/>
      <c r="C310" s="54"/>
      <c r="D310" s="50"/>
      <c r="E310" s="50"/>
      <c r="F310" s="50"/>
      <c r="G310" s="50"/>
      <c r="H310" s="50"/>
      <c r="I310" s="54"/>
      <c r="J310" s="54"/>
      <c r="K310" s="54"/>
      <c r="L310" s="54"/>
      <c r="M310" s="54"/>
      <c r="N310" s="54"/>
      <c r="O310" s="54"/>
      <c r="P310" s="54"/>
      <c r="Q310" s="54"/>
      <c r="R310" s="54"/>
    </row>
    <row r="311" spans="1:18" x14ac:dyDescent="0.25">
      <c r="C311" s="50"/>
      <c r="D311" s="50"/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</row>
    <row r="312" spans="1:18" x14ac:dyDescent="0.25">
      <c r="A312" s="41" t="s">
        <v>230</v>
      </c>
      <c r="B312" s="44"/>
      <c r="C312" s="51">
        <f t="shared" ref="C312:Q312" si="212">SUM(C296:C311)</f>
        <v>897212</v>
      </c>
      <c r="D312" s="51">
        <f t="shared" si="212"/>
        <v>913968</v>
      </c>
      <c r="E312" s="51">
        <f t="shared" si="212"/>
        <v>1185220.3900000001</v>
      </c>
      <c r="F312" s="51">
        <f t="shared" si="212"/>
        <v>1531112</v>
      </c>
      <c r="G312" s="51">
        <f t="shared" si="212"/>
        <v>1180280</v>
      </c>
      <c r="H312" s="51">
        <f>SUM(H296:H311)</f>
        <v>1108070</v>
      </c>
      <c r="I312" s="51">
        <f t="shared" si="212"/>
        <v>1103941.7</v>
      </c>
      <c r="J312" s="51">
        <f t="shared" si="212"/>
        <v>1134122.5432999998</v>
      </c>
      <c r="K312" s="51">
        <f t="shared" si="212"/>
        <v>1166169.0688366999</v>
      </c>
      <c r="L312" s="51">
        <f t="shared" si="212"/>
        <v>1199539.8870441187</v>
      </c>
      <c r="M312" s="51">
        <f t="shared" si="212"/>
        <v>1234005.1671208623</v>
      </c>
      <c r="N312" s="51">
        <f t="shared" si="212"/>
        <v>1266542.4396552667</v>
      </c>
      <c r="O312" s="51">
        <f t="shared" si="212"/>
        <v>1303123.4554479918</v>
      </c>
      <c r="P312" s="51">
        <f t="shared" si="212"/>
        <v>1343761.1010048883</v>
      </c>
      <c r="Q312" s="51">
        <f t="shared" si="212"/>
        <v>1383266.6070762284</v>
      </c>
      <c r="R312" s="51">
        <f t="shared" ref="R312" si="213">SUM(R296:R311)</f>
        <v>1424142.9960812861</v>
      </c>
    </row>
    <row r="313" spans="1:18" x14ac:dyDescent="0.25"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</row>
    <row r="314" spans="1:18" x14ac:dyDescent="0.25">
      <c r="A314" s="41" t="s">
        <v>231</v>
      </c>
      <c r="B314" s="44"/>
      <c r="C314" s="51">
        <f t="shared" ref="C314:R314" si="214">C312-C292</f>
        <v>585668</v>
      </c>
      <c r="D314" s="51">
        <f t="shared" si="214"/>
        <v>627344</v>
      </c>
      <c r="E314" s="51">
        <f t="shared" si="214"/>
        <v>864121.64000000013</v>
      </c>
      <c r="F314" s="51">
        <f t="shared" si="214"/>
        <v>1176227</v>
      </c>
      <c r="G314" s="51">
        <f t="shared" si="214"/>
        <v>828044</v>
      </c>
      <c r="H314" s="51">
        <f t="shared" si="214"/>
        <v>731070</v>
      </c>
      <c r="I314" s="51">
        <f t="shared" si="214"/>
        <v>718270.7</v>
      </c>
      <c r="J314" s="51">
        <f t="shared" si="214"/>
        <v>739195.43929999974</v>
      </c>
      <c r="K314" s="51">
        <f t="shared" si="214"/>
        <v>761763.71434070007</v>
      </c>
      <c r="L314" s="51">
        <f t="shared" si="214"/>
        <v>785833.20939471084</v>
      </c>
      <c r="M314" s="51">
        <f t="shared" si="214"/>
        <v>811196.94256316742</v>
      </c>
      <c r="N314" s="51">
        <f t="shared" si="214"/>
        <v>834009.62593274482</v>
      </c>
      <c r="O314" s="51">
        <f t="shared" si="214"/>
        <v>859777.32138240698</v>
      </c>
      <c r="P314" s="51">
        <f t="shared" si="214"/>
        <v>889331.3135876637</v>
      </c>
      <c r="Q314" s="51">
        <f t="shared" si="214"/>
        <v>917930.5047609905</v>
      </c>
      <c r="R314" s="51">
        <f t="shared" si="214"/>
        <v>947638.82731048251</v>
      </c>
    </row>
    <row r="315" spans="1:18" x14ac:dyDescent="0.25">
      <c r="A315" s="41"/>
      <c r="B315" s="44"/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</row>
    <row r="316" spans="1:18" x14ac:dyDescent="0.25">
      <c r="A316" s="41"/>
      <c r="B316" s="44"/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</row>
    <row r="317" spans="1:18" x14ac:dyDescent="0.25">
      <c r="A317" s="41" t="s">
        <v>232</v>
      </c>
      <c r="B317" s="44"/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</row>
    <row r="318" spans="1:18" x14ac:dyDescent="0.25"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</row>
    <row r="319" spans="1:18" x14ac:dyDescent="0.25">
      <c r="A319" s="41" t="s">
        <v>202</v>
      </c>
      <c r="B319" s="44"/>
      <c r="C319" s="50"/>
      <c r="D319" s="50"/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</row>
    <row r="320" spans="1:18" x14ac:dyDescent="0.25">
      <c r="C320" s="50"/>
      <c r="D320" s="50"/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</row>
    <row r="321" spans="1:18" x14ac:dyDescent="0.25">
      <c r="A321" s="52" t="s">
        <v>233</v>
      </c>
      <c r="B321" s="53"/>
      <c r="C321" s="59">
        <v>82</v>
      </c>
      <c r="D321" s="54">
        <v>0</v>
      </c>
      <c r="E321" s="54">
        <v>0</v>
      </c>
      <c r="F321" s="54">
        <v>0</v>
      </c>
      <c r="G321" s="54">
        <v>0</v>
      </c>
      <c r="H321" s="54">
        <v>200</v>
      </c>
      <c r="I321" s="54">
        <f t="shared" ref="I321" si="215">H321*1.023</f>
        <v>204.6</v>
      </c>
      <c r="J321" s="54">
        <f t="shared" ref="J321:K321" si="216">I321*1.024</f>
        <v>209.5104</v>
      </c>
      <c r="K321" s="54">
        <f t="shared" si="216"/>
        <v>214.53864960000001</v>
      </c>
      <c r="L321" s="54">
        <f t="shared" ref="L321" si="217">K321*1.023</f>
        <v>219.47303854079999</v>
      </c>
      <c r="M321" s="54">
        <f t="shared" ref="M321" si="218">L321*1.022</f>
        <v>224.3014453886976</v>
      </c>
      <c r="N321" s="54">
        <f t="shared" ref="N321" si="219">M321*1.023</f>
        <v>229.46037863263763</v>
      </c>
      <c r="O321" s="54">
        <f t="shared" ref="O321:P321" si="220">N321*1.025</f>
        <v>235.19688809845354</v>
      </c>
      <c r="P321" s="54">
        <f t="shared" si="220"/>
        <v>241.07681030091487</v>
      </c>
      <c r="Q321" s="54">
        <f t="shared" ref="Q321:R321" si="221">P321*1.024</f>
        <v>246.86265374813684</v>
      </c>
      <c r="R321" s="54">
        <f t="shared" si="221"/>
        <v>252.78735743809213</v>
      </c>
    </row>
    <row r="322" spans="1:18" x14ac:dyDescent="0.25">
      <c r="A322" s="41"/>
      <c r="B322" s="44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</row>
    <row r="323" spans="1:18" x14ac:dyDescent="0.25">
      <c r="A323" s="41" t="s">
        <v>216</v>
      </c>
      <c r="B323" s="44"/>
      <c r="C323" s="51">
        <f t="shared" ref="C323" si="222">SUM(C321:C322)</f>
        <v>82</v>
      </c>
      <c r="D323" s="51">
        <f t="shared" ref="D323:R323" si="223">SUM(D321:D322)</f>
        <v>0</v>
      </c>
      <c r="E323" s="51">
        <f t="shared" si="223"/>
        <v>0</v>
      </c>
      <c r="F323" s="51">
        <f t="shared" si="223"/>
        <v>0</v>
      </c>
      <c r="G323" s="51">
        <f t="shared" si="223"/>
        <v>0</v>
      </c>
      <c r="H323" s="51">
        <f t="shared" si="223"/>
        <v>200</v>
      </c>
      <c r="I323" s="51">
        <f t="shared" si="223"/>
        <v>204.6</v>
      </c>
      <c r="J323" s="51">
        <f t="shared" si="223"/>
        <v>209.5104</v>
      </c>
      <c r="K323" s="51">
        <f t="shared" si="223"/>
        <v>214.53864960000001</v>
      </c>
      <c r="L323" s="51">
        <f t="shared" si="223"/>
        <v>219.47303854079999</v>
      </c>
      <c r="M323" s="51">
        <f t="shared" si="223"/>
        <v>224.3014453886976</v>
      </c>
      <c r="N323" s="51">
        <f t="shared" si="223"/>
        <v>229.46037863263763</v>
      </c>
      <c r="O323" s="51">
        <f t="shared" si="223"/>
        <v>235.19688809845354</v>
      </c>
      <c r="P323" s="51">
        <f t="shared" si="223"/>
        <v>241.07681030091487</v>
      </c>
      <c r="Q323" s="51">
        <f t="shared" si="223"/>
        <v>246.86265374813684</v>
      </c>
      <c r="R323" s="51">
        <f t="shared" si="223"/>
        <v>252.78735743809213</v>
      </c>
    </row>
    <row r="324" spans="1:18" x14ac:dyDescent="0.25">
      <c r="C324" s="50"/>
      <c r="D324" s="50"/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</row>
    <row r="325" spans="1:18" x14ac:dyDescent="0.25">
      <c r="A325" s="41" t="s">
        <v>165</v>
      </c>
      <c r="B325" s="44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</row>
    <row r="326" spans="1:18" x14ac:dyDescent="0.25"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</row>
    <row r="327" spans="1:18" x14ac:dyDescent="0.25">
      <c r="A327" s="43" t="s">
        <v>217</v>
      </c>
      <c r="C327" s="54">
        <v>10115</v>
      </c>
      <c r="D327" s="54">
        <v>11181</v>
      </c>
      <c r="E327" s="50">
        <f>10346-24.03</f>
        <v>10321.969999999999</v>
      </c>
      <c r="F327" s="50">
        <v>7704</v>
      </c>
      <c r="G327" s="50">
        <v>11263</v>
      </c>
      <c r="H327" s="50">
        <v>10000</v>
      </c>
      <c r="I327" s="50">
        <f t="shared" ref="I327:I328" si="224">H327*1.025</f>
        <v>10250</v>
      </c>
      <c r="J327" s="50">
        <f t="shared" ref="J327:J328" si="225">I327*1.029</f>
        <v>10547.25</v>
      </c>
      <c r="K327" s="54">
        <f t="shared" ref="K327:K328" si="226">J327*1.031</f>
        <v>10874.214749999999</v>
      </c>
      <c r="L327" s="54">
        <f t="shared" ref="L327:L328" si="227">K327*1.033</f>
        <v>11233.063836749998</v>
      </c>
      <c r="M327" s="54">
        <f t="shared" ref="M327:M328" si="228">L327*1.032</f>
        <v>11592.521879525999</v>
      </c>
      <c r="N327" s="54">
        <f t="shared" ref="N327:N328" si="229">M327*1.03</f>
        <v>11940.297535911779</v>
      </c>
      <c r="O327" s="54">
        <f t="shared" ref="O327:O328" si="230">N327*1.032</f>
        <v>12322.387057060956</v>
      </c>
      <c r="P327" s="54">
        <f t="shared" ref="P327:R328" si="231">O327*1.034</f>
        <v>12741.348217001028</v>
      </c>
      <c r="Q327" s="54">
        <f t="shared" si="231"/>
        <v>13174.554056379064</v>
      </c>
      <c r="R327" s="54">
        <f t="shared" si="231"/>
        <v>13622.488894295951</v>
      </c>
    </row>
    <row r="328" spans="1:18" x14ac:dyDescent="0.25">
      <c r="A328" s="43" t="s">
        <v>220</v>
      </c>
      <c r="C328" s="50">
        <v>569</v>
      </c>
      <c r="D328" s="50">
        <v>941</v>
      </c>
      <c r="E328" s="43">
        <v>1511</v>
      </c>
      <c r="F328" s="50">
        <v>814</v>
      </c>
      <c r="G328" s="50">
        <v>653</v>
      </c>
      <c r="H328" s="50">
        <v>1100</v>
      </c>
      <c r="I328" s="50">
        <f t="shared" si="224"/>
        <v>1127.5</v>
      </c>
      <c r="J328" s="50">
        <f t="shared" si="225"/>
        <v>1160.1975</v>
      </c>
      <c r="K328" s="54">
        <f t="shared" si="226"/>
        <v>1196.1636225</v>
      </c>
      <c r="L328" s="54">
        <f t="shared" si="227"/>
        <v>1235.6370220424999</v>
      </c>
      <c r="M328" s="54">
        <f t="shared" si="228"/>
        <v>1275.17740674786</v>
      </c>
      <c r="N328" s="54">
        <f t="shared" si="229"/>
        <v>1313.4327289502958</v>
      </c>
      <c r="O328" s="54">
        <f t="shared" si="230"/>
        <v>1355.4625762767052</v>
      </c>
      <c r="P328" s="54">
        <f t="shared" si="231"/>
        <v>1401.5483038701132</v>
      </c>
      <c r="Q328" s="54">
        <f t="shared" si="231"/>
        <v>1449.200946201697</v>
      </c>
      <c r="R328" s="54">
        <f t="shared" si="231"/>
        <v>1498.4737783725548</v>
      </c>
    </row>
    <row r="329" spans="1:18" x14ac:dyDescent="0.25">
      <c r="A329" s="52" t="s">
        <v>234</v>
      </c>
      <c r="B329" s="53"/>
      <c r="C329" s="54">
        <v>32216</v>
      </c>
      <c r="D329" s="50">
        <v>29809</v>
      </c>
      <c r="E329" s="50">
        <f>25514+3122.73</f>
        <v>28636.73</v>
      </c>
      <c r="F329" s="50">
        <v>35085</v>
      </c>
      <c r="G329" s="50">
        <v>35569</v>
      </c>
      <c r="H329" s="50">
        <v>35000</v>
      </c>
      <c r="I329" s="54">
        <f t="shared" ref="I329:I330" si="232">H329*1.023</f>
        <v>35805</v>
      </c>
      <c r="J329" s="54">
        <f t="shared" ref="J329:K330" si="233">I329*1.024</f>
        <v>36664.32</v>
      </c>
      <c r="K329" s="54">
        <f t="shared" si="233"/>
        <v>37544.263680000004</v>
      </c>
      <c r="L329" s="54">
        <f t="shared" ref="L329:L330" si="234">K329*1.023</f>
        <v>38407.78174464</v>
      </c>
      <c r="M329" s="54">
        <f t="shared" ref="M329:M330" si="235">L329*1.022</f>
        <v>39252.752943022082</v>
      </c>
      <c r="N329" s="54">
        <f t="shared" ref="N329:N330" si="236">M329*1.023</f>
        <v>40155.566260711588</v>
      </c>
      <c r="O329" s="54">
        <f t="shared" ref="O329:P330" si="237">N329*1.025</f>
        <v>41159.455417229372</v>
      </c>
      <c r="P329" s="54">
        <f t="shared" si="237"/>
        <v>42188.441802660105</v>
      </c>
      <c r="Q329" s="54">
        <f t="shared" ref="Q329:R330" si="238">P329*1.024</f>
        <v>43200.964405923951</v>
      </c>
      <c r="R329" s="54">
        <f t="shared" si="238"/>
        <v>44237.78755166613</v>
      </c>
    </row>
    <row r="330" spans="1:18" x14ac:dyDescent="0.25">
      <c r="A330" s="52" t="s">
        <v>226</v>
      </c>
      <c r="B330" s="53"/>
      <c r="C330" s="54">
        <v>1771</v>
      </c>
      <c r="D330" s="54">
        <v>2432</v>
      </c>
      <c r="E330" s="43">
        <v>2158</v>
      </c>
      <c r="F330" s="54">
        <v>1882</v>
      </c>
      <c r="G330" s="54">
        <v>1901</v>
      </c>
      <c r="H330" s="54">
        <v>2300</v>
      </c>
      <c r="I330" s="54">
        <f t="shared" si="232"/>
        <v>2352.8999999999996</v>
      </c>
      <c r="J330" s="54">
        <f t="shared" si="233"/>
        <v>2409.3695999999995</v>
      </c>
      <c r="K330" s="54">
        <f t="shared" si="233"/>
        <v>2467.1944703999998</v>
      </c>
      <c r="L330" s="54">
        <f t="shared" si="234"/>
        <v>2523.9399432191994</v>
      </c>
      <c r="M330" s="54">
        <f t="shared" si="235"/>
        <v>2579.4666219700221</v>
      </c>
      <c r="N330" s="54">
        <f t="shared" si="236"/>
        <v>2638.7943542753324</v>
      </c>
      <c r="O330" s="54">
        <f t="shared" si="237"/>
        <v>2704.7642131322154</v>
      </c>
      <c r="P330" s="54">
        <f t="shared" si="237"/>
        <v>2772.3833184605205</v>
      </c>
      <c r="Q330" s="54">
        <f t="shared" si="238"/>
        <v>2838.9205181035732</v>
      </c>
      <c r="R330" s="54">
        <f t="shared" si="238"/>
        <v>2907.054610538059</v>
      </c>
    </row>
    <row r="331" spans="1:18" x14ac:dyDescent="0.25"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</row>
    <row r="332" spans="1:18" x14ac:dyDescent="0.25">
      <c r="A332" s="41" t="s">
        <v>230</v>
      </c>
      <c r="B332" s="44"/>
      <c r="C332" s="51">
        <f t="shared" ref="C332:Q332" si="239">SUM(C327:C331)</f>
        <v>44671</v>
      </c>
      <c r="D332" s="51">
        <f t="shared" si="239"/>
        <v>44363</v>
      </c>
      <c r="E332" s="51">
        <f t="shared" si="239"/>
        <v>42627.7</v>
      </c>
      <c r="F332" s="51">
        <f t="shared" ref="F332:G332" si="240">SUM(F327:F331)</f>
        <v>45485</v>
      </c>
      <c r="G332" s="51">
        <f t="shared" si="240"/>
        <v>49386</v>
      </c>
      <c r="H332" s="51">
        <f t="shared" si="239"/>
        <v>48400</v>
      </c>
      <c r="I332" s="51">
        <f t="shared" si="239"/>
        <v>49535.4</v>
      </c>
      <c r="J332" s="51">
        <f t="shared" si="239"/>
        <v>50781.1371</v>
      </c>
      <c r="K332" s="51">
        <f t="shared" si="239"/>
        <v>52081.836522899997</v>
      </c>
      <c r="L332" s="51">
        <f t="shared" si="239"/>
        <v>53400.422546651695</v>
      </c>
      <c r="M332" s="51">
        <f t="shared" si="239"/>
        <v>54699.918851265968</v>
      </c>
      <c r="N332" s="51">
        <f t="shared" si="239"/>
        <v>56048.090879848998</v>
      </c>
      <c r="O332" s="51">
        <f t="shared" si="239"/>
        <v>57542.069263699246</v>
      </c>
      <c r="P332" s="51">
        <f t="shared" si="239"/>
        <v>59103.721641991768</v>
      </c>
      <c r="Q332" s="51">
        <f t="shared" si="239"/>
        <v>60663.639926608281</v>
      </c>
      <c r="R332" s="51">
        <f t="shared" ref="R332" si="241">SUM(R327:R331)</f>
        <v>62265.804834872695</v>
      </c>
    </row>
    <row r="333" spans="1:18" x14ac:dyDescent="0.25"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</row>
    <row r="334" spans="1:18" x14ac:dyDescent="0.25">
      <c r="A334" s="41" t="s">
        <v>235</v>
      </c>
      <c r="B334" s="44"/>
      <c r="C334" s="51">
        <f t="shared" ref="C334:R334" si="242">C332-C323</f>
        <v>44589</v>
      </c>
      <c r="D334" s="51">
        <f t="shared" si="242"/>
        <v>44363</v>
      </c>
      <c r="E334" s="51">
        <f t="shared" si="242"/>
        <v>42627.7</v>
      </c>
      <c r="F334" s="51">
        <f t="shared" si="242"/>
        <v>45485</v>
      </c>
      <c r="G334" s="51">
        <f t="shared" si="242"/>
        <v>49386</v>
      </c>
      <c r="H334" s="51">
        <f t="shared" si="242"/>
        <v>48200</v>
      </c>
      <c r="I334" s="51">
        <f t="shared" si="242"/>
        <v>49330.8</v>
      </c>
      <c r="J334" s="51">
        <f t="shared" si="242"/>
        <v>50571.626700000001</v>
      </c>
      <c r="K334" s="51">
        <f t="shared" si="242"/>
        <v>51867.297873299998</v>
      </c>
      <c r="L334" s="51">
        <f t="shared" si="242"/>
        <v>53180.949508110898</v>
      </c>
      <c r="M334" s="51">
        <f t="shared" si="242"/>
        <v>54475.617405877267</v>
      </c>
      <c r="N334" s="51">
        <f t="shared" si="242"/>
        <v>55818.630501216358</v>
      </c>
      <c r="O334" s="51">
        <f t="shared" si="242"/>
        <v>57306.872375600789</v>
      </c>
      <c r="P334" s="51">
        <f t="shared" si="242"/>
        <v>58862.64483169085</v>
      </c>
      <c r="Q334" s="51">
        <f t="shared" si="242"/>
        <v>60416.777272860141</v>
      </c>
      <c r="R334" s="51">
        <f t="shared" si="242"/>
        <v>62013.017477434601</v>
      </c>
    </row>
    <row r="335" spans="1:18" x14ac:dyDescent="0.25"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</row>
    <row r="336" spans="1:18" x14ac:dyDescent="0.25"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</row>
    <row r="337" spans="1:18" x14ac:dyDescent="0.25">
      <c r="A337" s="41" t="s">
        <v>236</v>
      </c>
      <c r="B337" s="44"/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</row>
    <row r="338" spans="1:18" x14ac:dyDescent="0.25">
      <c r="C338" s="50"/>
      <c r="D338" s="50"/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</row>
    <row r="339" spans="1:18" x14ac:dyDescent="0.25">
      <c r="A339" s="41" t="s">
        <v>202</v>
      </c>
      <c r="B339" s="44"/>
      <c r="C339" s="50"/>
      <c r="D339" s="50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</row>
    <row r="340" spans="1:18" x14ac:dyDescent="0.25">
      <c r="A340" s="52" t="s">
        <v>237</v>
      </c>
      <c r="B340" s="44"/>
      <c r="C340" s="50"/>
      <c r="D340" s="50"/>
      <c r="E340" s="50">
        <v>50000</v>
      </c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</row>
    <row r="341" spans="1:18" x14ac:dyDescent="0.25">
      <c r="A341" s="52" t="s">
        <v>238</v>
      </c>
      <c r="B341" s="53"/>
      <c r="C341" s="59">
        <v>0</v>
      </c>
      <c r="D341" s="54">
        <v>0</v>
      </c>
      <c r="E341" s="54">
        <v>0</v>
      </c>
      <c r="F341" s="54"/>
      <c r="G341" s="54">
        <v>20000</v>
      </c>
      <c r="H341" s="54">
        <v>5000</v>
      </c>
      <c r="I341" s="54">
        <f t="shared" ref="I341" si="243">H341*1.023</f>
        <v>5115</v>
      </c>
      <c r="J341" s="54">
        <f t="shared" ref="J341:K341" si="244">I341*1.024</f>
        <v>5237.76</v>
      </c>
      <c r="K341" s="54">
        <f t="shared" si="244"/>
        <v>5363.4662400000007</v>
      </c>
      <c r="L341" s="54">
        <f t="shared" ref="L341" si="245">K341*1.023</f>
        <v>5486.8259635200002</v>
      </c>
      <c r="M341" s="54">
        <f t="shared" ref="M341" si="246">L341*1.022</f>
        <v>5607.5361347174403</v>
      </c>
      <c r="N341" s="54">
        <f t="shared" ref="N341" si="247">M341*1.023</f>
        <v>5736.5094658159405</v>
      </c>
      <c r="O341" s="54">
        <f t="shared" ref="O341:P341" si="248">N341*1.025</f>
        <v>5879.9222024613382</v>
      </c>
      <c r="P341" s="54">
        <f t="shared" si="248"/>
        <v>6026.920257522871</v>
      </c>
      <c r="Q341" s="54">
        <f t="shared" ref="Q341:R341" si="249">P341*1.024</f>
        <v>6171.56634370342</v>
      </c>
      <c r="R341" s="54">
        <f t="shared" si="249"/>
        <v>6319.6839359523019</v>
      </c>
    </row>
    <row r="342" spans="1:18" x14ac:dyDescent="0.25">
      <c r="A342" s="52" t="s">
        <v>239</v>
      </c>
      <c r="B342" s="53"/>
      <c r="C342" s="59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</row>
    <row r="343" spans="1:18" x14ac:dyDescent="0.25">
      <c r="A343" s="52" t="s">
        <v>240</v>
      </c>
      <c r="B343" s="53"/>
      <c r="C343" s="59"/>
      <c r="D343" s="54"/>
      <c r="E343" s="54"/>
      <c r="F343" s="50">
        <v>4500</v>
      </c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</row>
    <row r="344" spans="1:18" x14ac:dyDescent="0.25"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</row>
    <row r="345" spans="1:18" x14ac:dyDescent="0.25">
      <c r="A345" s="41" t="s">
        <v>216</v>
      </c>
      <c r="B345" s="44"/>
      <c r="C345" s="51">
        <f t="shared" ref="C345" si="250">SUM(C341:C344)</f>
        <v>0</v>
      </c>
      <c r="D345" s="51">
        <f t="shared" ref="D345" si="251">SUM(D341:D344)</f>
        <v>0</v>
      </c>
      <c r="E345" s="51">
        <f>SUM(E340:E344)</f>
        <v>50000</v>
      </c>
      <c r="F345" s="51">
        <f t="shared" ref="F345:R345" si="252">SUM(F341:F344)</f>
        <v>4500</v>
      </c>
      <c r="G345" s="51">
        <f t="shared" si="252"/>
        <v>20000</v>
      </c>
      <c r="H345" s="51">
        <f t="shared" si="252"/>
        <v>5000</v>
      </c>
      <c r="I345" s="51">
        <f t="shared" si="252"/>
        <v>5115</v>
      </c>
      <c r="J345" s="51">
        <f t="shared" si="252"/>
        <v>5237.76</v>
      </c>
      <c r="K345" s="51">
        <f t="shared" si="252"/>
        <v>5363.4662400000007</v>
      </c>
      <c r="L345" s="51">
        <f t="shared" si="252"/>
        <v>5486.8259635200002</v>
      </c>
      <c r="M345" s="51">
        <f t="shared" si="252"/>
        <v>5607.5361347174403</v>
      </c>
      <c r="N345" s="51">
        <f t="shared" si="252"/>
        <v>5736.5094658159405</v>
      </c>
      <c r="O345" s="51">
        <f t="shared" si="252"/>
        <v>5879.9222024613382</v>
      </c>
      <c r="P345" s="51">
        <f t="shared" si="252"/>
        <v>6026.920257522871</v>
      </c>
      <c r="Q345" s="51">
        <f t="shared" si="252"/>
        <v>6171.56634370342</v>
      </c>
      <c r="R345" s="51">
        <f t="shared" si="252"/>
        <v>6319.6839359523019</v>
      </c>
    </row>
    <row r="346" spans="1:18" x14ac:dyDescent="0.25">
      <c r="C346" s="50"/>
      <c r="D346" s="50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</row>
    <row r="347" spans="1:18" x14ac:dyDescent="0.25">
      <c r="A347" s="41" t="s">
        <v>165</v>
      </c>
      <c r="B347" s="44"/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</row>
    <row r="348" spans="1:18" x14ac:dyDescent="0.25">
      <c r="C348" s="50"/>
      <c r="D348" s="50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</row>
    <row r="349" spans="1:18" x14ac:dyDescent="0.25">
      <c r="A349" s="43" t="s">
        <v>217</v>
      </c>
      <c r="C349" s="54">
        <v>19757</v>
      </c>
      <c r="D349" s="54">
        <v>20485</v>
      </c>
      <c r="E349" s="50">
        <f>21960-84.19</f>
        <v>21875.81</v>
      </c>
      <c r="F349" s="50">
        <v>21113</v>
      </c>
      <c r="G349" s="50">
        <v>23644</v>
      </c>
      <c r="H349" s="50">
        <v>23300</v>
      </c>
      <c r="I349" s="50">
        <f t="shared" ref="I349" si="253">H349*1.025</f>
        <v>23882.499999999996</v>
      </c>
      <c r="J349" s="50">
        <f t="shared" ref="J349" si="254">I349*1.029</f>
        <v>24575.092499999995</v>
      </c>
      <c r="K349" s="54">
        <f t="shared" ref="K349" si="255">J349*1.031</f>
        <v>25336.920367499992</v>
      </c>
      <c r="L349" s="54">
        <f t="shared" ref="L349" si="256">K349*1.033</f>
        <v>26173.038739627489</v>
      </c>
      <c r="M349" s="54">
        <f t="shared" ref="M349" si="257">L349*1.032</f>
        <v>27010.575979295569</v>
      </c>
      <c r="N349" s="54">
        <f t="shared" ref="N349" si="258">M349*1.03</f>
        <v>27820.893258674438</v>
      </c>
      <c r="O349" s="54">
        <f t="shared" ref="O349" si="259">N349*1.032</f>
        <v>28711.16184295202</v>
      </c>
      <c r="P349" s="54">
        <f t="shared" ref="P349:R349" si="260">O349*1.034</f>
        <v>29687.341345612389</v>
      </c>
      <c r="Q349" s="54">
        <f t="shared" si="260"/>
        <v>30696.710951363209</v>
      </c>
      <c r="R349" s="54">
        <f t="shared" si="260"/>
        <v>31740.399123709558</v>
      </c>
    </row>
    <row r="350" spans="1:18" x14ac:dyDescent="0.25">
      <c r="A350" s="43" t="s">
        <v>219</v>
      </c>
      <c r="C350" s="54">
        <v>1324</v>
      </c>
      <c r="D350" s="54">
        <v>1300</v>
      </c>
      <c r="E350" s="50">
        <v>1126</v>
      </c>
      <c r="F350" s="50">
        <v>1406</v>
      </c>
      <c r="G350" s="50">
        <v>1001</v>
      </c>
      <c r="H350" s="50">
        <v>1100</v>
      </c>
      <c r="I350" s="54">
        <f t="shared" ref="I350" si="261">H350*1.023</f>
        <v>1125.3</v>
      </c>
      <c r="J350" s="54">
        <f t="shared" ref="J350:K350" si="262">I350*1.024</f>
        <v>1152.3072</v>
      </c>
      <c r="K350" s="54">
        <f t="shared" si="262"/>
        <v>1179.9625728000001</v>
      </c>
      <c r="L350" s="54">
        <f t="shared" ref="L350" si="263">K350*1.023</f>
        <v>1207.1017119743999</v>
      </c>
      <c r="M350" s="54">
        <f t="shared" ref="M350" si="264">L350*1.022</f>
        <v>1233.6579496378367</v>
      </c>
      <c r="N350" s="54">
        <f t="shared" ref="N350" si="265">M350*1.023</f>
        <v>1262.0320824795069</v>
      </c>
      <c r="O350" s="54">
        <f t="shared" ref="O350:P350" si="266">N350*1.025</f>
        <v>1293.5828845414944</v>
      </c>
      <c r="P350" s="54">
        <f t="shared" si="266"/>
        <v>1325.9224566550317</v>
      </c>
      <c r="Q350" s="54">
        <f t="shared" ref="Q350:R350" si="267">P350*1.024</f>
        <v>1357.7445956147526</v>
      </c>
      <c r="R350" s="54">
        <f t="shared" si="267"/>
        <v>1390.3304659095068</v>
      </c>
    </row>
    <row r="351" spans="1:18" x14ac:dyDescent="0.25">
      <c r="A351" s="43" t="s">
        <v>220</v>
      </c>
      <c r="C351" s="50">
        <v>2701</v>
      </c>
      <c r="D351" s="50">
        <v>3277</v>
      </c>
      <c r="E351" s="43">
        <v>3596</v>
      </c>
      <c r="F351" s="50">
        <v>2438</v>
      </c>
      <c r="G351" s="50">
        <v>3089</v>
      </c>
      <c r="H351" s="50">
        <v>3400</v>
      </c>
      <c r="I351" s="50">
        <f t="shared" ref="I351" si="268">H351*1.025</f>
        <v>3484.9999999999995</v>
      </c>
      <c r="J351" s="50">
        <f t="shared" ref="J351" si="269">I351*1.029</f>
        <v>3586.0649999999991</v>
      </c>
      <c r="K351" s="54">
        <f t="shared" ref="K351" si="270">J351*1.031</f>
        <v>3697.2330149999989</v>
      </c>
      <c r="L351" s="54">
        <f t="shared" ref="L351" si="271">K351*1.033</f>
        <v>3819.2417044949984</v>
      </c>
      <c r="M351" s="54">
        <f t="shared" ref="M351" si="272">L351*1.032</f>
        <v>3941.4574390388384</v>
      </c>
      <c r="N351" s="54">
        <f t="shared" ref="N351" si="273">M351*1.03</f>
        <v>4059.7011622100035</v>
      </c>
      <c r="O351" s="54">
        <f t="shared" ref="O351" si="274">N351*1.032</f>
        <v>4189.6115994007241</v>
      </c>
      <c r="P351" s="54">
        <f t="shared" ref="P351:R351" si="275">O351*1.034</f>
        <v>4332.0583937803485</v>
      </c>
      <c r="Q351" s="54">
        <f t="shared" si="275"/>
        <v>4479.3483791688805</v>
      </c>
      <c r="R351" s="54">
        <f t="shared" si="275"/>
        <v>4631.6462240606224</v>
      </c>
    </row>
    <row r="352" spans="1:18" x14ac:dyDescent="0.25">
      <c r="A352" s="43" t="s">
        <v>221</v>
      </c>
      <c r="C352" s="57">
        <v>1240</v>
      </c>
      <c r="D352" s="57">
        <v>837</v>
      </c>
      <c r="E352" s="60">
        <v>1590</v>
      </c>
      <c r="F352" s="57">
        <v>1140</v>
      </c>
      <c r="G352" s="57">
        <v>1140</v>
      </c>
      <c r="H352" s="57">
        <v>1170</v>
      </c>
      <c r="I352" s="57">
        <v>1170</v>
      </c>
      <c r="J352" s="57">
        <v>1170</v>
      </c>
      <c r="K352" s="57">
        <v>1250</v>
      </c>
      <c r="L352" s="57">
        <v>1250</v>
      </c>
      <c r="M352" s="57">
        <v>1380</v>
      </c>
      <c r="N352" s="57">
        <v>1330</v>
      </c>
      <c r="O352" s="57">
        <v>1330</v>
      </c>
      <c r="P352" s="57">
        <v>1480</v>
      </c>
      <c r="Q352" s="57">
        <v>1430</v>
      </c>
      <c r="R352" s="57">
        <v>1430</v>
      </c>
    </row>
    <row r="353" spans="1:18" x14ac:dyDescent="0.25">
      <c r="A353" s="52" t="s">
        <v>241</v>
      </c>
      <c r="B353" s="53"/>
      <c r="C353" s="54">
        <v>0</v>
      </c>
      <c r="D353" s="54">
        <v>0</v>
      </c>
      <c r="E353" s="43">
        <v>0</v>
      </c>
      <c r="F353" s="54">
        <v>0</v>
      </c>
      <c r="G353" s="54">
        <v>0</v>
      </c>
      <c r="H353" s="54">
        <v>5000</v>
      </c>
      <c r="I353" s="54">
        <f t="shared" ref="I353:I354" si="276">H353*1.023</f>
        <v>5115</v>
      </c>
      <c r="J353" s="54">
        <f t="shared" ref="J353:K354" si="277">I353*1.024</f>
        <v>5237.76</v>
      </c>
      <c r="K353" s="54">
        <f t="shared" si="277"/>
        <v>5363.4662400000007</v>
      </c>
      <c r="L353" s="54">
        <f t="shared" ref="L353:L354" si="278">K353*1.023</f>
        <v>5486.8259635200002</v>
      </c>
      <c r="M353" s="54">
        <f t="shared" ref="M353:M354" si="279">L353*1.022</f>
        <v>5607.5361347174403</v>
      </c>
      <c r="N353" s="54">
        <f t="shared" ref="N353:N354" si="280">M353*1.023</f>
        <v>5736.5094658159405</v>
      </c>
      <c r="O353" s="54">
        <f t="shared" ref="O353:P354" si="281">N353*1.025</f>
        <v>5879.9222024613382</v>
      </c>
      <c r="P353" s="54">
        <f t="shared" si="281"/>
        <v>6026.920257522871</v>
      </c>
      <c r="Q353" s="54">
        <f t="shared" ref="Q353:R354" si="282">P353*1.024</f>
        <v>6171.56634370342</v>
      </c>
      <c r="R353" s="54">
        <f t="shared" si="282"/>
        <v>6319.6839359523019</v>
      </c>
    </row>
    <row r="354" spans="1:18" x14ac:dyDescent="0.25">
      <c r="A354" s="52" t="s">
        <v>226</v>
      </c>
      <c r="B354" s="53"/>
      <c r="C354" s="54">
        <v>102</v>
      </c>
      <c r="D354" s="54">
        <v>205</v>
      </c>
      <c r="E354" s="43">
        <v>227</v>
      </c>
      <c r="F354" s="54">
        <v>195</v>
      </c>
      <c r="G354" s="54">
        <v>207</v>
      </c>
      <c r="H354" s="54">
        <v>300</v>
      </c>
      <c r="I354" s="54">
        <f t="shared" si="276"/>
        <v>306.89999999999998</v>
      </c>
      <c r="J354" s="54">
        <f t="shared" si="277"/>
        <v>314.26560000000001</v>
      </c>
      <c r="K354" s="54">
        <f t="shared" si="277"/>
        <v>321.80797440000003</v>
      </c>
      <c r="L354" s="54">
        <f t="shared" si="278"/>
        <v>329.2095578112</v>
      </c>
      <c r="M354" s="54">
        <f t="shared" si="279"/>
        <v>336.45216808304639</v>
      </c>
      <c r="N354" s="54">
        <f t="shared" si="280"/>
        <v>344.19056794895641</v>
      </c>
      <c r="O354" s="54">
        <f t="shared" si="281"/>
        <v>352.79533214768031</v>
      </c>
      <c r="P354" s="54">
        <f t="shared" si="281"/>
        <v>361.61521545137231</v>
      </c>
      <c r="Q354" s="54">
        <f t="shared" si="282"/>
        <v>370.29398062220525</v>
      </c>
      <c r="R354" s="54">
        <f t="shared" si="282"/>
        <v>379.18103615713818</v>
      </c>
    </row>
    <row r="355" spans="1:18" x14ac:dyDescent="0.25">
      <c r="A355" s="52" t="s">
        <v>242</v>
      </c>
      <c r="B355" s="53"/>
      <c r="C355" s="54">
        <v>2200</v>
      </c>
      <c r="D355" s="50">
        <v>11636</v>
      </c>
      <c r="E355" s="43">
        <v>0</v>
      </c>
      <c r="F355" s="50"/>
      <c r="G355" s="50">
        <v>0</v>
      </c>
      <c r="H355" s="50"/>
      <c r="I355" s="54"/>
      <c r="J355" s="54"/>
      <c r="K355" s="54"/>
      <c r="L355" s="54"/>
      <c r="M355" s="54"/>
      <c r="N355" s="54"/>
      <c r="O355" s="54"/>
      <c r="P355" s="54"/>
      <c r="Q355" s="54"/>
      <c r="R355" s="54"/>
    </row>
    <row r="356" spans="1:18" x14ac:dyDescent="0.25">
      <c r="A356" s="52" t="s">
        <v>243</v>
      </c>
      <c r="B356" s="53"/>
      <c r="C356" s="54">
        <v>10735</v>
      </c>
      <c r="D356" s="50">
        <v>15476</v>
      </c>
      <c r="E356" s="43">
        <v>0</v>
      </c>
      <c r="F356" s="50">
        <v>0</v>
      </c>
      <c r="G356" s="54">
        <v>0</v>
      </c>
      <c r="H356" s="50">
        <v>20000</v>
      </c>
      <c r="I356" s="54">
        <v>0</v>
      </c>
      <c r="J356" s="54">
        <v>0</v>
      </c>
      <c r="K356" s="54">
        <v>0</v>
      </c>
      <c r="L356" s="54">
        <v>0</v>
      </c>
      <c r="M356" s="54">
        <v>23000</v>
      </c>
      <c r="N356" s="54">
        <v>0</v>
      </c>
      <c r="O356" s="54">
        <v>0</v>
      </c>
      <c r="P356" s="54">
        <v>0</v>
      </c>
      <c r="Q356" s="54">
        <v>0</v>
      </c>
      <c r="R356" s="54">
        <v>26000</v>
      </c>
    </row>
    <row r="357" spans="1:18" x14ac:dyDescent="0.25">
      <c r="A357" s="61" t="s">
        <v>244</v>
      </c>
      <c r="B357" s="62" t="s">
        <v>245</v>
      </c>
      <c r="C357" s="50">
        <v>0</v>
      </c>
      <c r="D357" s="63">
        <v>98804</v>
      </c>
      <c r="E357" s="64">
        <v>12176</v>
      </c>
      <c r="F357" s="50">
        <v>0</v>
      </c>
      <c r="G357" s="54">
        <v>0</v>
      </c>
      <c r="H357" s="50">
        <v>20000</v>
      </c>
      <c r="I357" s="54">
        <v>0</v>
      </c>
      <c r="J357" s="54">
        <v>0</v>
      </c>
      <c r="K357" s="54">
        <v>0</v>
      </c>
      <c r="L357" s="54">
        <v>0</v>
      </c>
      <c r="M357" s="54">
        <v>23000</v>
      </c>
      <c r="N357" s="54">
        <v>0</v>
      </c>
      <c r="O357" s="54">
        <v>0</v>
      </c>
      <c r="P357" s="54">
        <v>0</v>
      </c>
      <c r="Q357" s="54">
        <v>0</v>
      </c>
      <c r="R357" s="54">
        <v>26000</v>
      </c>
    </row>
    <row r="358" spans="1:18" x14ac:dyDescent="0.25">
      <c r="A358" s="61" t="s">
        <v>246</v>
      </c>
      <c r="B358" s="62"/>
      <c r="C358" s="50"/>
      <c r="D358" s="63"/>
      <c r="E358" s="64"/>
      <c r="F358" s="50"/>
      <c r="G358" s="65">
        <v>7935</v>
      </c>
      <c r="H358" s="50"/>
      <c r="I358" s="54"/>
      <c r="J358" s="54"/>
      <c r="K358" s="54"/>
      <c r="L358" s="54"/>
      <c r="M358" s="54"/>
      <c r="N358" s="54"/>
      <c r="O358" s="54"/>
      <c r="P358" s="54"/>
      <c r="Q358" s="54"/>
      <c r="R358" s="54"/>
    </row>
    <row r="359" spans="1:18" x14ac:dyDescent="0.25">
      <c r="A359" s="52" t="s">
        <v>247</v>
      </c>
      <c r="B359" s="53"/>
      <c r="C359" s="50"/>
      <c r="D359" s="54">
        <v>0</v>
      </c>
      <c r="E359" s="43">
        <v>1740</v>
      </c>
      <c r="F359" s="54"/>
      <c r="G359" s="54"/>
      <c r="H359" s="50"/>
      <c r="I359" s="54"/>
      <c r="J359" s="54"/>
      <c r="K359" s="54"/>
      <c r="L359" s="54"/>
      <c r="M359" s="54"/>
      <c r="N359" s="54"/>
      <c r="O359" s="54"/>
      <c r="P359" s="54"/>
      <c r="Q359" s="54"/>
      <c r="R359" s="54"/>
    </row>
    <row r="360" spans="1:18" x14ac:dyDescent="0.25">
      <c r="A360" s="52" t="s">
        <v>248</v>
      </c>
      <c r="B360" s="53"/>
      <c r="C360" s="50"/>
      <c r="D360" s="54"/>
      <c r="E360" s="43">
        <v>4113</v>
      </c>
      <c r="F360" s="54"/>
      <c r="G360" s="54"/>
      <c r="H360" s="50"/>
      <c r="I360" s="54"/>
      <c r="J360" s="54"/>
      <c r="K360" s="54"/>
      <c r="L360" s="54"/>
      <c r="M360" s="54"/>
      <c r="N360" s="54"/>
      <c r="O360" s="54"/>
      <c r="P360" s="54"/>
      <c r="Q360" s="54"/>
      <c r="R360" s="54"/>
    </row>
    <row r="361" spans="1:18" x14ac:dyDescent="0.25">
      <c r="A361" s="52" t="s">
        <v>249</v>
      </c>
      <c r="B361" s="53"/>
      <c r="C361" s="54">
        <v>378</v>
      </c>
      <c r="D361" s="54">
        <v>316</v>
      </c>
      <c r="E361" s="43">
        <v>0</v>
      </c>
      <c r="F361" s="50">
        <v>2187</v>
      </c>
      <c r="G361" s="50">
        <v>0</v>
      </c>
      <c r="H361" s="50">
        <v>0</v>
      </c>
      <c r="I361" s="50">
        <v>0</v>
      </c>
      <c r="J361" s="50">
        <v>0</v>
      </c>
      <c r="K361" s="50">
        <v>0</v>
      </c>
      <c r="L361" s="50">
        <v>0</v>
      </c>
      <c r="M361" s="50">
        <v>0</v>
      </c>
      <c r="N361" s="50">
        <v>0</v>
      </c>
      <c r="O361" s="50">
        <v>0</v>
      </c>
      <c r="P361" s="50">
        <v>0</v>
      </c>
      <c r="Q361" s="50">
        <v>0</v>
      </c>
      <c r="R361" s="50">
        <v>0</v>
      </c>
    </row>
    <row r="362" spans="1:18" x14ac:dyDescent="0.25">
      <c r="A362" s="52" t="s">
        <v>250</v>
      </c>
      <c r="B362" s="53"/>
      <c r="C362" s="54"/>
      <c r="D362" s="54"/>
      <c r="F362" s="50"/>
      <c r="G362" s="50"/>
      <c r="H362" s="50">
        <v>80000</v>
      </c>
      <c r="I362" s="54">
        <v>0</v>
      </c>
      <c r="J362" s="54">
        <v>0</v>
      </c>
      <c r="K362" s="54">
        <v>0</v>
      </c>
      <c r="L362" s="54">
        <v>0</v>
      </c>
      <c r="M362" s="54">
        <v>0</v>
      </c>
      <c r="N362" s="54">
        <v>0</v>
      </c>
      <c r="O362" s="54">
        <v>0</v>
      </c>
      <c r="P362" s="54">
        <v>0</v>
      </c>
      <c r="Q362" s="54">
        <v>0</v>
      </c>
      <c r="R362" s="54">
        <v>0</v>
      </c>
    </row>
    <row r="363" spans="1:18" x14ac:dyDescent="0.25">
      <c r="A363" s="41"/>
      <c r="B363" s="44"/>
      <c r="C363" s="50"/>
      <c r="D363" s="50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</row>
    <row r="364" spans="1:18" x14ac:dyDescent="0.25">
      <c r="A364" s="41" t="s">
        <v>230</v>
      </c>
      <c r="B364" s="44"/>
      <c r="C364" s="51">
        <f t="shared" ref="C364:Q364" si="283">SUM(C349:C363)</f>
        <v>38437</v>
      </c>
      <c r="D364" s="51">
        <f t="shared" si="283"/>
        <v>152336</v>
      </c>
      <c r="E364" s="51">
        <f t="shared" si="283"/>
        <v>46443.81</v>
      </c>
      <c r="F364" s="51">
        <f t="shared" ref="F364:G364" si="284">SUM(F349:F363)</f>
        <v>28479</v>
      </c>
      <c r="G364" s="51">
        <f t="shared" si="284"/>
        <v>37016</v>
      </c>
      <c r="H364" s="51">
        <f t="shared" si="283"/>
        <v>154270</v>
      </c>
      <c r="I364" s="51">
        <f t="shared" si="283"/>
        <v>35084.699999999997</v>
      </c>
      <c r="J364" s="51">
        <f t="shared" si="283"/>
        <v>36035.49029999999</v>
      </c>
      <c r="K364" s="51">
        <f t="shared" si="283"/>
        <v>37149.390169699989</v>
      </c>
      <c r="L364" s="51">
        <f t="shared" si="283"/>
        <v>38265.417677428086</v>
      </c>
      <c r="M364" s="51">
        <f t="shared" si="283"/>
        <v>85509.679670772719</v>
      </c>
      <c r="N364" s="51">
        <f t="shared" si="283"/>
        <v>40553.326537128851</v>
      </c>
      <c r="O364" s="51">
        <f t="shared" si="283"/>
        <v>41757.073861503261</v>
      </c>
      <c r="P364" s="51">
        <f t="shared" si="283"/>
        <v>43213.857669022007</v>
      </c>
      <c r="Q364" s="51">
        <f t="shared" si="283"/>
        <v>44505.664250472466</v>
      </c>
      <c r="R364" s="51">
        <f t="shared" ref="R364" si="285">SUM(R349:R363)</f>
        <v>97891.240785789123</v>
      </c>
    </row>
    <row r="365" spans="1:18" x14ac:dyDescent="0.25">
      <c r="C365" s="50"/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</row>
    <row r="366" spans="1:18" x14ac:dyDescent="0.25">
      <c r="A366" s="41" t="s">
        <v>251</v>
      </c>
      <c r="B366" s="44"/>
      <c r="C366" s="50"/>
      <c r="D366" s="50"/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</row>
    <row r="367" spans="1:18" x14ac:dyDescent="0.25">
      <c r="C367" s="50"/>
      <c r="D367" s="50"/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</row>
    <row r="368" spans="1:18" x14ac:dyDescent="0.25">
      <c r="A368" s="61" t="s">
        <v>252</v>
      </c>
      <c r="B368" s="62" t="s">
        <v>245</v>
      </c>
      <c r="C368" s="54">
        <v>10735</v>
      </c>
      <c r="D368" s="63">
        <v>98804</v>
      </c>
      <c r="E368" s="63">
        <v>12176</v>
      </c>
      <c r="F368" s="50"/>
      <c r="G368" s="50">
        <v>0</v>
      </c>
      <c r="H368" s="50"/>
      <c r="I368" s="54"/>
      <c r="J368" s="54"/>
      <c r="K368" s="54"/>
      <c r="L368" s="54"/>
      <c r="M368" s="54"/>
      <c r="N368" s="54"/>
      <c r="O368" s="54"/>
      <c r="P368" s="54"/>
      <c r="Q368" s="54"/>
      <c r="R368" s="54"/>
    </row>
    <row r="369" spans="1:18" x14ac:dyDescent="0.25">
      <c r="A369" s="61" t="s">
        <v>253</v>
      </c>
      <c r="B369" s="62" t="s">
        <v>245</v>
      </c>
      <c r="C369" s="54"/>
      <c r="D369" s="63">
        <v>50000</v>
      </c>
      <c r="E369" s="50"/>
      <c r="F369" s="50"/>
      <c r="G369" s="50">
        <v>0</v>
      </c>
      <c r="H369" s="50"/>
      <c r="I369" s="54"/>
      <c r="J369" s="54"/>
      <c r="K369" s="54"/>
      <c r="L369" s="54"/>
      <c r="M369" s="54"/>
      <c r="N369" s="54"/>
      <c r="O369" s="54"/>
      <c r="P369" s="54"/>
      <c r="Q369" s="54"/>
      <c r="R369" s="54"/>
    </row>
    <row r="370" spans="1:18" x14ac:dyDescent="0.25"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</row>
    <row r="371" spans="1:18" x14ac:dyDescent="0.25">
      <c r="A371" s="41" t="s">
        <v>254</v>
      </c>
      <c r="B371" s="44"/>
      <c r="C371" s="51">
        <f>SUM(C368:C370)</f>
        <v>10735</v>
      </c>
      <c r="D371" s="51">
        <f>SUM(D368:D370)</f>
        <v>148804</v>
      </c>
      <c r="E371" s="51">
        <f>SUM(E368:E370)</f>
        <v>12176</v>
      </c>
      <c r="F371" s="51">
        <v>0</v>
      </c>
      <c r="G371" s="51">
        <v>0</v>
      </c>
      <c r="H371" s="51">
        <v>0</v>
      </c>
      <c r="I371" s="51">
        <v>0</v>
      </c>
      <c r="J371" s="51">
        <v>0</v>
      </c>
      <c r="K371" s="51">
        <v>0</v>
      </c>
      <c r="L371" s="51">
        <v>0</v>
      </c>
      <c r="M371" s="51">
        <v>0</v>
      </c>
      <c r="N371" s="51">
        <v>0</v>
      </c>
      <c r="O371" s="51">
        <v>0</v>
      </c>
      <c r="P371" s="51">
        <v>0</v>
      </c>
      <c r="Q371" s="51">
        <f>SUM(Q368:Q370)</f>
        <v>0</v>
      </c>
      <c r="R371" s="51">
        <f>SUM(R368:R370)</f>
        <v>0</v>
      </c>
    </row>
    <row r="372" spans="1:18" x14ac:dyDescent="0.25">
      <c r="C372" s="50"/>
      <c r="D372" s="50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</row>
    <row r="373" spans="1:18" x14ac:dyDescent="0.25">
      <c r="A373" s="41" t="s">
        <v>255</v>
      </c>
      <c r="B373" s="44"/>
      <c r="C373" s="51">
        <f t="shared" ref="C373:R373" si="286">C364-C345-C371</f>
        <v>27702</v>
      </c>
      <c r="D373" s="51">
        <f t="shared" si="286"/>
        <v>3532</v>
      </c>
      <c r="E373" s="51">
        <f t="shared" si="286"/>
        <v>-15732.190000000002</v>
      </c>
      <c r="F373" s="51">
        <f t="shared" si="286"/>
        <v>23979</v>
      </c>
      <c r="G373" s="51">
        <f t="shared" si="286"/>
        <v>17016</v>
      </c>
      <c r="H373" s="51">
        <f t="shared" si="286"/>
        <v>149270</v>
      </c>
      <c r="I373" s="51">
        <f t="shared" si="286"/>
        <v>29969.699999999997</v>
      </c>
      <c r="J373" s="51">
        <f t="shared" si="286"/>
        <v>30797.730299999988</v>
      </c>
      <c r="K373" s="51">
        <f t="shared" si="286"/>
        <v>31785.923929699988</v>
      </c>
      <c r="L373" s="51">
        <f t="shared" si="286"/>
        <v>32778.591713908085</v>
      </c>
      <c r="M373" s="51">
        <f t="shared" si="286"/>
        <v>79902.143536055286</v>
      </c>
      <c r="N373" s="51">
        <f t="shared" si="286"/>
        <v>34816.817071312908</v>
      </c>
      <c r="O373" s="51">
        <f t="shared" si="286"/>
        <v>35877.15165904192</v>
      </c>
      <c r="P373" s="51">
        <f t="shared" si="286"/>
        <v>37186.937411499137</v>
      </c>
      <c r="Q373" s="51">
        <f t="shared" si="286"/>
        <v>38334.09790676905</v>
      </c>
      <c r="R373" s="51">
        <f t="shared" si="286"/>
        <v>91571.556849836823</v>
      </c>
    </row>
    <row r="374" spans="1:18" x14ac:dyDescent="0.25"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</row>
    <row r="375" spans="1:18" x14ac:dyDescent="0.25">
      <c r="A375" s="41" t="s">
        <v>256</v>
      </c>
      <c r="B375" s="44"/>
      <c r="C375" s="51">
        <f t="shared" ref="C375:R375" si="287">C314+C334+C373</f>
        <v>657959</v>
      </c>
      <c r="D375" s="51">
        <f t="shared" si="287"/>
        <v>675239</v>
      </c>
      <c r="E375" s="51">
        <f t="shared" si="287"/>
        <v>891017.15000000014</v>
      </c>
      <c r="F375" s="51">
        <f t="shared" si="287"/>
        <v>1245691</v>
      </c>
      <c r="G375" s="51">
        <f t="shared" si="287"/>
        <v>894446</v>
      </c>
      <c r="H375" s="51">
        <f t="shared" si="287"/>
        <v>928540</v>
      </c>
      <c r="I375" s="51">
        <f t="shared" si="287"/>
        <v>797571.2</v>
      </c>
      <c r="J375" s="51">
        <f t="shared" si="287"/>
        <v>820564.7962999997</v>
      </c>
      <c r="K375" s="51">
        <f t="shared" si="287"/>
        <v>845416.93614370003</v>
      </c>
      <c r="L375" s="51">
        <f t="shared" si="287"/>
        <v>871792.75061672984</v>
      </c>
      <c r="M375" s="51">
        <f t="shared" si="287"/>
        <v>945574.70350509998</v>
      </c>
      <c r="N375" s="51">
        <f t="shared" si="287"/>
        <v>924645.07350527414</v>
      </c>
      <c r="O375" s="51">
        <f t="shared" si="287"/>
        <v>952961.3454170496</v>
      </c>
      <c r="P375" s="51">
        <f t="shared" si="287"/>
        <v>985380.89583085361</v>
      </c>
      <c r="Q375" s="51">
        <f t="shared" si="287"/>
        <v>1016681.3799406197</v>
      </c>
      <c r="R375" s="51">
        <f t="shared" si="287"/>
        <v>1101223.4016377539</v>
      </c>
    </row>
    <row r="376" spans="1:18" x14ac:dyDescent="0.25"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</row>
    <row r="377" spans="1:18" x14ac:dyDescent="0.25"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</row>
    <row r="378" spans="1:18" x14ac:dyDescent="0.25">
      <c r="A378" s="48" t="s">
        <v>160</v>
      </c>
      <c r="B378" s="44"/>
      <c r="C378" s="50"/>
      <c r="D378" s="50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</row>
    <row r="379" spans="1:18" x14ac:dyDescent="0.25"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</row>
    <row r="380" spans="1:18" x14ac:dyDescent="0.25">
      <c r="A380" s="41" t="s">
        <v>257</v>
      </c>
      <c r="C380" s="50"/>
      <c r="D380" s="50"/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</row>
    <row r="381" spans="1:18" x14ac:dyDescent="0.25"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</row>
    <row r="382" spans="1:18" x14ac:dyDescent="0.25">
      <c r="A382" s="41" t="s">
        <v>202</v>
      </c>
      <c r="B382" s="44"/>
      <c r="C382" s="50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</row>
    <row r="383" spans="1:18" x14ac:dyDescent="0.25">
      <c r="C383" s="50"/>
      <c r="D383" s="50"/>
      <c r="E383" s="50"/>
      <c r="F383" s="50"/>
      <c r="G383" s="50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</row>
    <row r="384" spans="1:18" x14ac:dyDescent="0.25">
      <c r="A384" s="43" t="s">
        <v>258</v>
      </c>
      <c r="C384" s="54">
        <v>17847</v>
      </c>
      <c r="D384" s="54">
        <v>18275</v>
      </c>
      <c r="E384" s="43">
        <v>18732</v>
      </c>
      <c r="F384" s="54">
        <v>19182</v>
      </c>
      <c r="G384" s="54">
        <v>19633</v>
      </c>
      <c r="H384" s="54">
        <v>19633</v>
      </c>
      <c r="I384" s="54">
        <v>19633</v>
      </c>
      <c r="J384" s="54">
        <f t="shared" ref="J384:K384" si="288">I384*1.024</f>
        <v>20104.191999999999</v>
      </c>
      <c r="K384" s="54">
        <f t="shared" si="288"/>
        <v>20586.692608000001</v>
      </c>
      <c r="L384" s="54">
        <f t="shared" ref="L384:L392" si="289">K384*1.023</f>
        <v>21060.186537983998</v>
      </c>
      <c r="M384" s="54">
        <f t="shared" ref="M384:M392" si="290">L384*1.022</f>
        <v>21523.510641819648</v>
      </c>
      <c r="N384" s="54">
        <f t="shared" ref="N384:N392" si="291">M384*1.023</f>
        <v>22018.551386581497</v>
      </c>
      <c r="O384" s="54">
        <f t="shared" ref="O384:P384" si="292">N384*1.025</f>
        <v>22569.015171246032</v>
      </c>
      <c r="P384" s="54">
        <f t="shared" si="292"/>
        <v>23133.240550527182</v>
      </c>
      <c r="Q384" s="54">
        <f t="shared" ref="Q384:R392" si="293">P384*1.024</f>
        <v>23688.438323739836</v>
      </c>
      <c r="R384" s="54">
        <f t="shared" si="293"/>
        <v>24256.960843509594</v>
      </c>
    </row>
    <row r="385" spans="1:18" x14ac:dyDescent="0.25">
      <c r="A385" s="52" t="s">
        <v>259</v>
      </c>
      <c r="B385" s="53"/>
      <c r="C385" s="54">
        <v>65045</v>
      </c>
      <c r="D385" s="54">
        <f>93115+334</f>
        <v>93449</v>
      </c>
      <c r="E385" s="50">
        <f>99550+409.09+327.27+23.42</f>
        <v>100309.78</v>
      </c>
      <c r="F385" s="50">
        <f>106292+258</f>
        <v>106550</v>
      </c>
      <c r="G385" s="50">
        <v>115920</v>
      </c>
      <c r="H385" s="50">
        <v>110240</v>
      </c>
      <c r="I385" s="54">
        <v>112780</v>
      </c>
      <c r="J385" s="54">
        <v>115530.72</v>
      </c>
      <c r="K385" s="54">
        <v>118306.25727999999</v>
      </c>
      <c r="L385" s="54">
        <v>121000.17119744</v>
      </c>
      <c r="M385" s="54">
        <v>123635.79496378367</v>
      </c>
      <c r="N385" s="54">
        <v>126513.20824795069</v>
      </c>
      <c r="O385" s="54">
        <v>129708.28845414944</v>
      </c>
      <c r="P385" s="54">
        <v>132952.2456655032</v>
      </c>
      <c r="Q385" s="54">
        <v>136114.45956147526</v>
      </c>
      <c r="R385" s="54">
        <v>139373.04659095066</v>
      </c>
    </row>
    <row r="386" spans="1:18" x14ac:dyDescent="0.25">
      <c r="A386" s="52" t="s">
        <v>260</v>
      </c>
      <c r="B386" s="53"/>
      <c r="C386" s="54">
        <v>0</v>
      </c>
      <c r="D386" s="54">
        <v>0</v>
      </c>
      <c r="E386" s="43">
        <v>0</v>
      </c>
      <c r="F386" s="50">
        <v>0</v>
      </c>
      <c r="G386" s="50">
        <v>0</v>
      </c>
      <c r="H386" s="50">
        <v>0</v>
      </c>
      <c r="I386" s="54">
        <f t="shared" ref="I386:I392" si="294">H386*1.023</f>
        <v>0</v>
      </c>
      <c r="J386" s="54">
        <f t="shared" ref="J386:K392" si="295">I386*1.024</f>
        <v>0</v>
      </c>
      <c r="K386" s="54">
        <f t="shared" si="295"/>
        <v>0</v>
      </c>
      <c r="L386" s="54">
        <f t="shared" si="289"/>
        <v>0</v>
      </c>
      <c r="M386" s="54">
        <f t="shared" si="290"/>
        <v>0</v>
      </c>
      <c r="N386" s="54">
        <f t="shared" si="291"/>
        <v>0</v>
      </c>
      <c r="O386" s="54">
        <f t="shared" ref="O386:P392" si="296">N386*1.025</f>
        <v>0</v>
      </c>
      <c r="P386" s="54">
        <f t="shared" si="296"/>
        <v>0</v>
      </c>
      <c r="Q386" s="54">
        <f t="shared" si="293"/>
        <v>0</v>
      </c>
      <c r="R386" s="54">
        <f t="shared" si="293"/>
        <v>0</v>
      </c>
    </row>
    <row r="387" spans="1:18" x14ac:dyDescent="0.25">
      <c r="A387" s="52" t="s">
        <v>261</v>
      </c>
      <c r="B387" s="53"/>
      <c r="C387" s="54">
        <f>56984+152</f>
        <v>57136</v>
      </c>
      <c r="D387" s="54">
        <v>65290</v>
      </c>
      <c r="E387" s="50">
        <f>64021-799</f>
        <v>63222</v>
      </c>
      <c r="F387" s="50">
        <v>66703</v>
      </c>
      <c r="G387" s="50">
        <v>59118</v>
      </c>
      <c r="H387" s="50">
        <v>70500</v>
      </c>
      <c r="I387" s="54">
        <f t="shared" si="294"/>
        <v>72121.5</v>
      </c>
      <c r="J387" s="54">
        <f t="shared" si="295"/>
        <v>73852.415999999997</v>
      </c>
      <c r="K387" s="54">
        <f t="shared" si="295"/>
        <v>75624.873984000005</v>
      </c>
      <c r="L387" s="54">
        <f t="shared" si="289"/>
        <v>77364.246085631996</v>
      </c>
      <c r="M387" s="54">
        <f t="shared" si="290"/>
        <v>79066.259499515902</v>
      </c>
      <c r="N387" s="54">
        <f t="shared" si="291"/>
        <v>80884.783468004767</v>
      </c>
      <c r="O387" s="54">
        <f t="shared" si="296"/>
        <v>82906.903054704875</v>
      </c>
      <c r="P387" s="54">
        <f t="shared" si="296"/>
        <v>84979.575631072483</v>
      </c>
      <c r="Q387" s="54">
        <f t="shared" si="293"/>
        <v>87019.085446218218</v>
      </c>
      <c r="R387" s="54">
        <f t="shared" si="293"/>
        <v>89107.54349692745</v>
      </c>
    </row>
    <row r="388" spans="1:18" x14ac:dyDescent="0.25">
      <c r="A388" s="52" t="s">
        <v>262</v>
      </c>
      <c r="B388" s="53"/>
      <c r="C388" s="54">
        <v>0</v>
      </c>
      <c r="D388" s="54">
        <f>C388*1.024</f>
        <v>0</v>
      </c>
      <c r="E388" s="43">
        <v>0</v>
      </c>
      <c r="F388" s="54">
        <v>0</v>
      </c>
      <c r="G388" s="54">
        <v>0</v>
      </c>
      <c r="H388" s="54">
        <v>0</v>
      </c>
      <c r="I388" s="54">
        <f t="shared" si="294"/>
        <v>0</v>
      </c>
      <c r="J388" s="54">
        <f t="shared" si="295"/>
        <v>0</v>
      </c>
      <c r="K388" s="54">
        <f t="shared" si="295"/>
        <v>0</v>
      </c>
      <c r="L388" s="54">
        <f t="shared" si="289"/>
        <v>0</v>
      </c>
      <c r="M388" s="54">
        <f t="shared" si="290"/>
        <v>0</v>
      </c>
      <c r="N388" s="54">
        <f t="shared" si="291"/>
        <v>0</v>
      </c>
      <c r="O388" s="54">
        <f t="shared" si="296"/>
        <v>0</v>
      </c>
      <c r="P388" s="54">
        <f t="shared" si="296"/>
        <v>0</v>
      </c>
      <c r="Q388" s="54">
        <f t="shared" si="293"/>
        <v>0</v>
      </c>
      <c r="R388" s="54">
        <f t="shared" si="293"/>
        <v>0</v>
      </c>
    </row>
    <row r="389" spans="1:18" x14ac:dyDescent="0.25">
      <c r="A389" s="52" t="s">
        <v>263</v>
      </c>
      <c r="B389" s="53"/>
      <c r="C389" s="54">
        <f>5352-152</f>
        <v>5200</v>
      </c>
      <c r="D389" s="54">
        <v>5004</v>
      </c>
      <c r="E389" s="43">
        <v>7204</v>
      </c>
      <c r="F389" s="54">
        <v>4650</v>
      </c>
      <c r="G389" s="54">
        <v>4420</v>
      </c>
      <c r="H389" s="54">
        <v>4500</v>
      </c>
      <c r="I389" s="54">
        <f t="shared" si="294"/>
        <v>4603.5</v>
      </c>
      <c r="J389" s="54">
        <f t="shared" si="295"/>
        <v>4713.9840000000004</v>
      </c>
      <c r="K389" s="54">
        <f t="shared" si="295"/>
        <v>4827.1196160000009</v>
      </c>
      <c r="L389" s="54">
        <f t="shared" si="289"/>
        <v>4938.1433671680006</v>
      </c>
      <c r="M389" s="54">
        <f t="shared" si="290"/>
        <v>5046.7825212456964</v>
      </c>
      <c r="N389" s="54">
        <f t="shared" si="291"/>
        <v>5162.8585192343471</v>
      </c>
      <c r="O389" s="54">
        <f t="shared" si="296"/>
        <v>5291.9299822152052</v>
      </c>
      <c r="P389" s="54">
        <f t="shared" si="296"/>
        <v>5424.2282317705849</v>
      </c>
      <c r="Q389" s="54">
        <f t="shared" si="293"/>
        <v>5554.4097093330793</v>
      </c>
      <c r="R389" s="54">
        <f t="shared" si="293"/>
        <v>5687.715542357073</v>
      </c>
    </row>
    <row r="390" spans="1:18" x14ac:dyDescent="0.25">
      <c r="A390" s="52" t="s">
        <v>264</v>
      </c>
      <c r="B390" s="53"/>
      <c r="C390" s="54">
        <v>4096</v>
      </c>
      <c r="D390" s="54">
        <v>5163</v>
      </c>
      <c r="E390" s="50">
        <v>5283</v>
      </c>
      <c r="F390" s="54">
        <v>5135</v>
      </c>
      <c r="G390" s="54">
        <v>4810</v>
      </c>
      <c r="H390" s="54">
        <v>5000</v>
      </c>
      <c r="I390" s="54">
        <f t="shared" si="294"/>
        <v>5115</v>
      </c>
      <c r="J390" s="54">
        <f t="shared" si="295"/>
        <v>5237.76</v>
      </c>
      <c r="K390" s="54">
        <f t="shared" si="295"/>
        <v>5363.4662400000007</v>
      </c>
      <c r="L390" s="54">
        <f t="shared" si="289"/>
        <v>5486.8259635200002</v>
      </c>
      <c r="M390" s="54">
        <f t="shared" si="290"/>
        <v>5607.5361347174403</v>
      </c>
      <c r="N390" s="54">
        <f t="shared" si="291"/>
        <v>5736.5094658159405</v>
      </c>
      <c r="O390" s="54">
        <f t="shared" si="296"/>
        <v>5879.9222024613382</v>
      </c>
      <c r="P390" s="54">
        <f t="shared" si="296"/>
        <v>6026.920257522871</v>
      </c>
      <c r="Q390" s="54">
        <f t="shared" si="293"/>
        <v>6171.56634370342</v>
      </c>
      <c r="R390" s="54">
        <f t="shared" si="293"/>
        <v>6319.6839359523019</v>
      </c>
    </row>
    <row r="391" spans="1:18" x14ac:dyDescent="0.25">
      <c r="A391" s="59" t="s">
        <v>265</v>
      </c>
      <c r="B391" s="66"/>
      <c r="C391" s="54">
        <v>0</v>
      </c>
      <c r="D391" s="54">
        <v>1095</v>
      </c>
      <c r="E391" s="43">
        <v>0</v>
      </c>
      <c r="F391" s="54">
        <v>0</v>
      </c>
      <c r="G391" s="54">
        <v>0</v>
      </c>
      <c r="H391" s="54">
        <v>0</v>
      </c>
      <c r="I391" s="54">
        <f t="shared" si="294"/>
        <v>0</v>
      </c>
      <c r="J391" s="54">
        <f t="shared" si="295"/>
        <v>0</v>
      </c>
      <c r="K391" s="54">
        <f t="shared" si="295"/>
        <v>0</v>
      </c>
      <c r="L391" s="54">
        <f t="shared" si="289"/>
        <v>0</v>
      </c>
      <c r="M391" s="54">
        <f t="shared" si="290"/>
        <v>0</v>
      </c>
      <c r="N391" s="54">
        <f t="shared" si="291"/>
        <v>0</v>
      </c>
      <c r="O391" s="54">
        <f t="shared" si="296"/>
        <v>0</v>
      </c>
      <c r="P391" s="54">
        <f t="shared" si="296"/>
        <v>0</v>
      </c>
      <c r="Q391" s="54">
        <f t="shared" si="293"/>
        <v>0</v>
      </c>
      <c r="R391" s="54">
        <f t="shared" si="293"/>
        <v>0</v>
      </c>
    </row>
    <row r="392" spans="1:18" x14ac:dyDescent="0.25">
      <c r="A392" s="52" t="s">
        <v>266</v>
      </c>
      <c r="B392" s="53"/>
      <c r="C392" s="54">
        <v>745</v>
      </c>
      <c r="D392" s="54">
        <v>624</v>
      </c>
      <c r="E392" s="50">
        <f>1259+50+86.25</f>
        <v>1395.25</v>
      </c>
      <c r="F392" s="54">
        <v>570</v>
      </c>
      <c r="G392" s="54">
        <v>674</v>
      </c>
      <c r="H392" s="54">
        <v>1000</v>
      </c>
      <c r="I392" s="54">
        <f t="shared" si="294"/>
        <v>1022.9999999999999</v>
      </c>
      <c r="J392" s="54">
        <f t="shared" si="295"/>
        <v>1047.5519999999999</v>
      </c>
      <c r="K392" s="54">
        <f t="shared" si="295"/>
        <v>1072.693248</v>
      </c>
      <c r="L392" s="54">
        <f t="shared" si="289"/>
        <v>1097.365192704</v>
      </c>
      <c r="M392" s="54">
        <f t="shared" si="290"/>
        <v>1121.5072269434881</v>
      </c>
      <c r="N392" s="54">
        <f t="shared" si="291"/>
        <v>1147.3018931631882</v>
      </c>
      <c r="O392" s="54">
        <f t="shared" si="296"/>
        <v>1175.9844404922678</v>
      </c>
      <c r="P392" s="54">
        <f t="shared" si="296"/>
        <v>1205.3840515045745</v>
      </c>
      <c r="Q392" s="54">
        <f t="shared" si="293"/>
        <v>1234.3132687406842</v>
      </c>
      <c r="R392" s="54">
        <f t="shared" si="293"/>
        <v>1263.9367871904606</v>
      </c>
    </row>
    <row r="393" spans="1:18" x14ac:dyDescent="0.25">
      <c r="A393" s="52" t="s">
        <v>267</v>
      </c>
      <c r="B393" s="53"/>
      <c r="C393" s="54"/>
      <c r="D393" s="54">
        <v>14780</v>
      </c>
      <c r="E393" s="43">
        <v>0</v>
      </c>
      <c r="F393" s="59">
        <v>21827</v>
      </c>
      <c r="G393" s="50">
        <v>0</v>
      </c>
      <c r="H393" s="50">
        <v>33000</v>
      </c>
      <c r="I393" s="50">
        <v>0</v>
      </c>
      <c r="J393" s="50">
        <v>34600</v>
      </c>
      <c r="K393" s="50">
        <v>0</v>
      </c>
      <c r="L393" s="50">
        <v>36200</v>
      </c>
      <c r="M393" s="50">
        <v>0</v>
      </c>
      <c r="N393" s="50">
        <v>37800</v>
      </c>
      <c r="O393" s="50">
        <v>0</v>
      </c>
      <c r="P393" s="50">
        <v>38800</v>
      </c>
      <c r="Q393" s="50">
        <v>0</v>
      </c>
      <c r="R393" s="50">
        <v>40800</v>
      </c>
    </row>
    <row r="394" spans="1:18" x14ac:dyDescent="0.25">
      <c r="A394" s="52" t="s">
        <v>268</v>
      </c>
      <c r="B394" s="53"/>
      <c r="C394" s="54">
        <v>0</v>
      </c>
      <c r="D394" s="54">
        <f>C394*1.024</f>
        <v>0</v>
      </c>
      <c r="E394" s="43">
        <v>0</v>
      </c>
      <c r="F394" s="54">
        <v>0</v>
      </c>
      <c r="G394" s="54">
        <v>0</v>
      </c>
      <c r="H394" s="54">
        <v>0</v>
      </c>
      <c r="I394" s="54">
        <f t="shared" ref="I394:I396" si="297">H394*1.02</f>
        <v>0</v>
      </c>
      <c r="J394" s="54">
        <f t="shared" ref="J394:J396" si="298">I394*1.021</f>
        <v>0</v>
      </c>
      <c r="K394" s="54">
        <f t="shared" ref="K394:K396" si="299">J394*1.023</f>
        <v>0</v>
      </c>
      <c r="L394" s="54">
        <f t="shared" ref="L394:L396" si="300">K394*1.024</f>
        <v>0</v>
      </c>
      <c r="M394" s="54">
        <f t="shared" ref="M394:M396" si="301">L394*1.023</f>
        <v>0</v>
      </c>
      <c r="N394" s="54">
        <f t="shared" ref="N394:N396" si="302">M394*1.021</f>
        <v>0</v>
      </c>
      <c r="O394" s="54">
        <f t="shared" ref="O394:O396" si="303">N394*1.022</f>
        <v>0</v>
      </c>
      <c r="P394" s="54">
        <f t="shared" ref="P394:R396" si="304">O394*1.025</f>
        <v>0</v>
      </c>
      <c r="Q394" s="54">
        <f t="shared" si="304"/>
        <v>0</v>
      </c>
      <c r="R394" s="54">
        <f t="shared" si="304"/>
        <v>0</v>
      </c>
    </row>
    <row r="395" spans="1:18" x14ac:dyDescent="0.25">
      <c r="A395" s="52" t="s">
        <v>269</v>
      </c>
      <c r="B395" s="53"/>
      <c r="C395" s="54">
        <v>11711</v>
      </c>
      <c r="D395" s="54">
        <v>0</v>
      </c>
      <c r="E395" s="43">
        <v>0</v>
      </c>
      <c r="F395" s="54">
        <v>0</v>
      </c>
      <c r="G395" s="54">
        <v>0</v>
      </c>
      <c r="H395" s="54">
        <v>0</v>
      </c>
      <c r="I395" s="54">
        <f t="shared" si="297"/>
        <v>0</v>
      </c>
      <c r="J395" s="54">
        <f t="shared" si="298"/>
        <v>0</v>
      </c>
      <c r="K395" s="54">
        <f t="shared" si="299"/>
        <v>0</v>
      </c>
      <c r="L395" s="54">
        <f t="shared" si="300"/>
        <v>0</v>
      </c>
      <c r="M395" s="54">
        <f t="shared" si="301"/>
        <v>0</v>
      </c>
      <c r="N395" s="54">
        <f t="shared" si="302"/>
        <v>0</v>
      </c>
      <c r="O395" s="54">
        <f t="shared" si="303"/>
        <v>0</v>
      </c>
      <c r="P395" s="54">
        <f t="shared" si="304"/>
        <v>0</v>
      </c>
      <c r="Q395" s="54">
        <f t="shared" si="304"/>
        <v>0</v>
      </c>
      <c r="R395" s="54">
        <f t="shared" si="304"/>
        <v>0</v>
      </c>
    </row>
    <row r="396" spans="1:18" x14ac:dyDescent="0.25">
      <c r="A396" s="52" t="s">
        <v>270</v>
      </c>
      <c r="B396" s="53"/>
      <c r="C396" s="54">
        <v>54676</v>
      </c>
      <c r="D396" s="54">
        <v>0</v>
      </c>
      <c r="E396" s="43">
        <v>0</v>
      </c>
      <c r="F396" s="54">
        <v>0</v>
      </c>
      <c r="G396" s="54">
        <v>0</v>
      </c>
      <c r="H396" s="54">
        <v>0</v>
      </c>
      <c r="I396" s="54">
        <f t="shared" si="297"/>
        <v>0</v>
      </c>
      <c r="J396" s="54">
        <f t="shared" si="298"/>
        <v>0</v>
      </c>
      <c r="K396" s="54">
        <f t="shared" si="299"/>
        <v>0</v>
      </c>
      <c r="L396" s="54">
        <f t="shared" si="300"/>
        <v>0</v>
      </c>
      <c r="M396" s="54">
        <f t="shared" si="301"/>
        <v>0</v>
      </c>
      <c r="N396" s="54">
        <f t="shared" si="302"/>
        <v>0</v>
      </c>
      <c r="O396" s="54">
        <f t="shared" si="303"/>
        <v>0</v>
      </c>
      <c r="P396" s="54">
        <f t="shared" si="304"/>
        <v>0</v>
      </c>
      <c r="Q396" s="54">
        <f t="shared" si="304"/>
        <v>0</v>
      </c>
      <c r="R396" s="54">
        <f t="shared" si="304"/>
        <v>0</v>
      </c>
    </row>
    <row r="397" spans="1:18" x14ac:dyDescent="0.25">
      <c r="A397" s="52" t="s">
        <v>271</v>
      </c>
      <c r="B397" s="53"/>
      <c r="C397" s="54"/>
      <c r="D397" s="54"/>
      <c r="E397" s="43">
        <v>7800</v>
      </c>
      <c r="F397" s="54">
        <v>8800</v>
      </c>
      <c r="G397" s="50">
        <v>0</v>
      </c>
      <c r="H397" s="50">
        <v>0</v>
      </c>
      <c r="I397" s="50">
        <v>14000</v>
      </c>
      <c r="J397" s="50">
        <v>0</v>
      </c>
      <c r="K397" s="50">
        <v>14700</v>
      </c>
      <c r="L397" s="50">
        <v>0</v>
      </c>
      <c r="M397" s="50">
        <v>15400</v>
      </c>
      <c r="N397" s="50">
        <v>0</v>
      </c>
      <c r="O397" s="50">
        <v>16200</v>
      </c>
      <c r="P397" s="50">
        <v>0</v>
      </c>
      <c r="Q397" s="50">
        <v>17000</v>
      </c>
      <c r="R397" s="50">
        <v>0</v>
      </c>
    </row>
    <row r="398" spans="1:18" x14ac:dyDescent="0.25">
      <c r="C398" s="50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</row>
    <row r="399" spans="1:18" x14ac:dyDescent="0.25">
      <c r="A399" s="41" t="s">
        <v>216</v>
      </c>
      <c r="B399" s="44"/>
      <c r="C399" s="51">
        <f t="shared" ref="C399" si="305">SUM(C384:C398)</f>
        <v>216456</v>
      </c>
      <c r="D399" s="51">
        <f t="shared" ref="D399:R399" si="306">SUM(D384:D398)</f>
        <v>203680</v>
      </c>
      <c r="E399" s="51">
        <f t="shared" si="306"/>
        <v>203946.03</v>
      </c>
      <c r="F399" s="51">
        <f t="shared" si="306"/>
        <v>233417</v>
      </c>
      <c r="G399" s="51">
        <f t="shared" si="306"/>
        <v>204575</v>
      </c>
      <c r="H399" s="51">
        <f t="shared" si="306"/>
        <v>243873</v>
      </c>
      <c r="I399" s="51">
        <f t="shared" si="306"/>
        <v>229276</v>
      </c>
      <c r="J399" s="51">
        <f t="shared" si="306"/>
        <v>255086.62400000001</v>
      </c>
      <c r="K399" s="51">
        <f t="shared" si="306"/>
        <v>240481.10297600002</v>
      </c>
      <c r="L399" s="51">
        <f t="shared" si="306"/>
        <v>267146.93834444799</v>
      </c>
      <c r="M399" s="51">
        <f t="shared" si="306"/>
        <v>251401.39098802584</v>
      </c>
      <c r="N399" s="51">
        <f t="shared" si="306"/>
        <v>279263.21298075037</v>
      </c>
      <c r="O399" s="51">
        <f t="shared" si="306"/>
        <v>263732.04330526915</v>
      </c>
      <c r="P399" s="51">
        <f t="shared" si="306"/>
        <v>292521.5943879009</v>
      </c>
      <c r="Q399" s="51">
        <f t="shared" si="306"/>
        <v>276782.27265321056</v>
      </c>
      <c r="R399" s="51">
        <f t="shared" si="306"/>
        <v>306808.88719688752</v>
      </c>
    </row>
    <row r="400" spans="1:18" x14ac:dyDescent="0.25"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</row>
    <row r="401" spans="1:18" x14ac:dyDescent="0.25">
      <c r="A401" s="41" t="s">
        <v>165</v>
      </c>
      <c r="B401" s="44"/>
      <c r="C401" s="50"/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</row>
    <row r="402" spans="1:18" x14ac:dyDescent="0.25">
      <c r="C402" s="50"/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</row>
    <row r="403" spans="1:18" x14ac:dyDescent="0.25">
      <c r="A403" s="43" t="s">
        <v>217</v>
      </c>
      <c r="C403" s="52">
        <f>248133+833</f>
        <v>248966</v>
      </c>
      <c r="D403" s="54">
        <v>203294</v>
      </c>
      <c r="E403" s="50">
        <f>195514-792.42</f>
        <v>194721.58</v>
      </c>
      <c r="F403" s="43">
        <v>200056</v>
      </c>
      <c r="G403" s="43">
        <v>195053</v>
      </c>
      <c r="H403" s="43">
        <v>235600</v>
      </c>
      <c r="I403" s="50">
        <f>H403*1.025</f>
        <v>241489.99999999997</v>
      </c>
      <c r="J403" s="50">
        <f>I403*1.029</f>
        <v>248493.20999999996</v>
      </c>
      <c r="K403" s="54">
        <f>J403*1.031</f>
        <v>256196.49950999994</v>
      </c>
      <c r="L403" s="54">
        <f>K403*1.033</f>
        <v>264650.98399382993</v>
      </c>
      <c r="M403" s="54">
        <f>L403*1.032</f>
        <v>273119.81548163248</v>
      </c>
      <c r="N403" s="54">
        <f>M403*1.03</f>
        <v>281313.40994608146</v>
      </c>
      <c r="O403" s="54">
        <f>N403*1.032</f>
        <v>290315.43906435609</v>
      </c>
      <c r="P403" s="54">
        <f>O403*1.034</f>
        <v>300186.16399254423</v>
      </c>
      <c r="Q403" s="54">
        <f>P403*1.034</f>
        <v>310392.49356829072</v>
      </c>
      <c r="R403" s="54">
        <f>Q403*1.034</f>
        <v>320945.8383496126</v>
      </c>
    </row>
    <row r="404" spans="1:18" x14ac:dyDescent="0.25">
      <c r="A404" s="43" t="s">
        <v>219</v>
      </c>
      <c r="C404" s="52">
        <v>358</v>
      </c>
      <c r="D404" s="50">
        <v>2765</v>
      </c>
      <c r="E404" s="43">
        <v>1507</v>
      </c>
      <c r="F404" s="50">
        <v>777</v>
      </c>
      <c r="G404" s="50">
        <v>1733</v>
      </c>
      <c r="H404" s="50">
        <v>1500</v>
      </c>
      <c r="I404" s="54">
        <f t="shared" ref="I404" si="307">H404*1.023</f>
        <v>1534.4999999999998</v>
      </c>
      <c r="J404" s="54">
        <f t="shared" ref="J404:K404" si="308">I404*1.024</f>
        <v>1571.3279999999997</v>
      </c>
      <c r="K404" s="54">
        <f t="shared" si="308"/>
        <v>1609.0398719999998</v>
      </c>
      <c r="L404" s="54">
        <f t="shared" ref="L404" si="309">K404*1.023</f>
        <v>1646.0477890559996</v>
      </c>
      <c r="M404" s="54">
        <f t="shared" ref="M404" si="310">L404*1.022</f>
        <v>1682.2608404152315</v>
      </c>
      <c r="N404" s="54">
        <f t="shared" ref="N404" si="311">M404*1.023</f>
        <v>1720.9528397447816</v>
      </c>
      <c r="O404" s="54">
        <f t="shared" ref="O404:P404" si="312">N404*1.025</f>
        <v>1763.9766607384011</v>
      </c>
      <c r="P404" s="54">
        <f t="shared" si="312"/>
        <v>1808.076077256861</v>
      </c>
      <c r="Q404" s="54">
        <f t="shared" ref="Q404:R404" si="313">P404*1.024</f>
        <v>1851.4699031110258</v>
      </c>
      <c r="R404" s="54">
        <f t="shared" si="313"/>
        <v>1895.9051807856904</v>
      </c>
    </row>
    <row r="405" spans="1:18" x14ac:dyDescent="0.25">
      <c r="A405" s="43" t="s">
        <v>220</v>
      </c>
      <c r="C405" s="52">
        <v>20583</v>
      </c>
      <c r="D405" s="50">
        <v>22723</v>
      </c>
      <c r="E405" s="43">
        <v>32042</v>
      </c>
      <c r="F405" s="50">
        <v>30079</v>
      </c>
      <c r="G405" s="50">
        <v>12716</v>
      </c>
      <c r="H405" s="50">
        <v>27800</v>
      </c>
      <c r="I405" s="50">
        <f>H405*1.025</f>
        <v>28494.999999999996</v>
      </c>
      <c r="J405" s="50">
        <f>I405*1.029</f>
        <v>29321.354999999992</v>
      </c>
      <c r="K405" s="54">
        <f>J405*1.031</f>
        <v>30230.31700499999</v>
      </c>
      <c r="L405" s="54">
        <f>K405*1.033</f>
        <v>31227.917466164989</v>
      </c>
      <c r="M405" s="54">
        <f>L405*1.032</f>
        <v>32227.210825082268</v>
      </c>
      <c r="N405" s="54">
        <f>M405*1.03</f>
        <v>33194.027149834736</v>
      </c>
      <c r="O405" s="54">
        <f>N405*1.032</f>
        <v>34256.236018629446</v>
      </c>
      <c r="P405" s="54">
        <f>O405*1.034</f>
        <v>35420.948043262848</v>
      </c>
      <c r="Q405" s="54">
        <f>P405*1.034</f>
        <v>36625.260276733788</v>
      </c>
      <c r="R405" s="54">
        <f>Q405*1.034</f>
        <v>37870.519126142739</v>
      </c>
    </row>
    <row r="406" spans="1:18" x14ac:dyDescent="0.25">
      <c r="A406" t="s">
        <v>221</v>
      </c>
      <c r="C406" s="60">
        <v>0</v>
      </c>
      <c r="D406" s="57">
        <v>1102</v>
      </c>
      <c r="E406" s="60">
        <v>620</v>
      </c>
      <c r="F406" s="57">
        <v>0</v>
      </c>
      <c r="G406" s="57">
        <v>277</v>
      </c>
      <c r="H406" s="60">
        <v>930</v>
      </c>
      <c r="I406" s="60">
        <v>930</v>
      </c>
      <c r="J406" s="60">
        <v>930</v>
      </c>
      <c r="K406" s="60">
        <v>930</v>
      </c>
      <c r="L406" s="60">
        <v>1050</v>
      </c>
      <c r="M406" s="60">
        <v>1050</v>
      </c>
      <c r="N406" s="60">
        <v>1050</v>
      </c>
      <c r="O406" s="60">
        <v>1050</v>
      </c>
      <c r="P406" s="60">
        <v>1050</v>
      </c>
      <c r="Q406" s="60">
        <v>1170</v>
      </c>
      <c r="R406" s="60">
        <v>1170</v>
      </c>
    </row>
    <row r="407" spans="1:18" x14ac:dyDescent="0.25">
      <c r="A407" s="52" t="s">
        <v>226</v>
      </c>
      <c r="B407" s="53"/>
      <c r="C407" s="52">
        <v>3171</v>
      </c>
      <c r="D407" s="50">
        <v>3775</v>
      </c>
      <c r="E407" s="43">
        <v>3156</v>
      </c>
      <c r="F407" s="50">
        <v>2301</v>
      </c>
      <c r="G407" s="50">
        <v>4018</v>
      </c>
      <c r="H407" s="50">
        <v>3600</v>
      </c>
      <c r="I407" s="54">
        <f t="shared" ref="I407:I410" si="314">H407*1.023</f>
        <v>3682.7999999999997</v>
      </c>
      <c r="J407" s="54">
        <f t="shared" ref="J407:K407" si="315">I407*1.024</f>
        <v>3771.1871999999998</v>
      </c>
      <c r="K407" s="54">
        <f t="shared" si="315"/>
        <v>3861.6956928</v>
      </c>
      <c r="L407" s="54">
        <f t="shared" ref="L407:L410" si="316">K407*1.023</f>
        <v>3950.5146937343998</v>
      </c>
      <c r="M407" s="54">
        <f t="shared" ref="M407:M410" si="317">L407*1.022</f>
        <v>4037.4260169965564</v>
      </c>
      <c r="N407" s="54">
        <f t="shared" ref="N407:N410" si="318">M407*1.023</f>
        <v>4130.286815387477</v>
      </c>
      <c r="O407" s="54">
        <f t="shared" ref="O407:P407" si="319">N407*1.025</f>
        <v>4233.5439857721631</v>
      </c>
      <c r="P407" s="54">
        <f t="shared" si="319"/>
        <v>4339.382585416467</v>
      </c>
      <c r="Q407" s="54">
        <f t="shared" ref="Q407:R410" si="320">P407*1.024</f>
        <v>4443.5277674664621</v>
      </c>
      <c r="R407" s="54">
        <f t="shared" si="320"/>
        <v>4550.1724338856575</v>
      </c>
    </row>
    <row r="408" spans="1:18" x14ac:dyDescent="0.25">
      <c r="A408" s="52" t="s">
        <v>272</v>
      </c>
      <c r="B408" s="53"/>
      <c r="C408" s="52">
        <v>0</v>
      </c>
      <c r="D408" s="54"/>
      <c r="E408" s="43">
        <v>0</v>
      </c>
      <c r="F408" s="50"/>
      <c r="G408" s="50">
        <v>0</v>
      </c>
      <c r="H408" s="50"/>
      <c r="I408" s="54"/>
      <c r="J408" s="54"/>
      <c r="K408" s="54"/>
      <c r="L408" s="54"/>
      <c r="M408" s="54"/>
      <c r="N408" s="54"/>
      <c r="O408" s="54"/>
      <c r="P408" s="54"/>
      <c r="Q408" s="54"/>
      <c r="R408" s="54"/>
    </row>
    <row r="409" spans="1:18" x14ac:dyDescent="0.25">
      <c r="A409" s="52" t="s">
        <v>273</v>
      </c>
      <c r="B409" s="53"/>
      <c r="C409" s="52">
        <v>1359</v>
      </c>
      <c r="D409" s="50">
        <v>1076</v>
      </c>
      <c r="E409" s="43">
        <v>1194</v>
      </c>
      <c r="F409" s="50">
        <v>620</v>
      </c>
      <c r="G409" s="50">
        <v>1055</v>
      </c>
      <c r="H409" s="50">
        <v>800</v>
      </c>
      <c r="I409" s="54">
        <f t="shared" si="314"/>
        <v>818.4</v>
      </c>
      <c r="J409" s="54">
        <f t="shared" ref="J409:K410" si="321">I409*1.024</f>
        <v>838.04160000000002</v>
      </c>
      <c r="K409" s="54">
        <f t="shared" si="321"/>
        <v>858.15459840000005</v>
      </c>
      <c r="L409" s="54">
        <f t="shared" si="316"/>
        <v>877.89215416319996</v>
      </c>
      <c r="M409" s="54">
        <f t="shared" si="317"/>
        <v>897.20578155479041</v>
      </c>
      <c r="N409" s="54">
        <f t="shared" si="318"/>
        <v>917.84151453055051</v>
      </c>
      <c r="O409" s="54">
        <f t="shared" ref="O409:P410" si="322">N409*1.025</f>
        <v>940.78755239381417</v>
      </c>
      <c r="P409" s="54">
        <f t="shared" si="322"/>
        <v>964.30724120365949</v>
      </c>
      <c r="Q409" s="54">
        <f t="shared" si="320"/>
        <v>987.45061499254734</v>
      </c>
      <c r="R409" s="54">
        <f t="shared" si="320"/>
        <v>1011.1494297523685</v>
      </c>
    </row>
    <row r="410" spans="1:18" x14ac:dyDescent="0.25">
      <c r="A410" s="52" t="s">
        <v>274</v>
      </c>
      <c r="B410" s="53"/>
      <c r="C410" s="52"/>
      <c r="D410" s="50"/>
      <c r="F410" s="50"/>
      <c r="G410" s="50">
        <v>0</v>
      </c>
      <c r="H410" s="50">
        <v>0</v>
      </c>
      <c r="I410" s="54">
        <f t="shared" si="314"/>
        <v>0</v>
      </c>
      <c r="J410" s="54">
        <f t="shared" si="321"/>
        <v>0</v>
      </c>
      <c r="K410" s="54">
        <f t="shared" si="321"/>
        <v>0</v>
      </c>
      <c r="L410" s="54">
        <f t="shared" si="316"/>
        <v>0</v>
      </c>
      <c r="M410" s="54">
        <f t="shared" si="317"/>
        <v>0</v>
      </c>
      <c r="N410" s="54">
        <f t="shared" si="318"/>
        <v>0</v>
      </c>
      <c r="O410" s="54">
        <f t="shared" si="322"/>
        <v>0</v>
      </c>
      <c r="P410" s="54">
        <f t="shared" si="322"/>
        <v>0</v>
      </c>
      <c r="Q410" s="54">
        <f t="shared" si="320"/>
        <v>0</v>
      </c>
      <c r="R410" s="54">
        <f t="shared" si="320"/>
        <v>0</v>
      </c>
    </row>
    <row r="411" spans="1:18" x14ac:dyDescent="0.25">
      <c r="A411" s="52" t="s">
        <v>275</v>
      </c>
      <c r="B411" s="53"/>
      <c r="C411" s="52"/>
      <c r="D411" s="50"/>
      <c r="F411" s="50"/>
      <c r="G411" s="50">
        <v>0</v>
      </c>
      <c r="H411" s="50">
        <v>0</v>
      </c>
      <c r="I411" s="54">
        <v>0</v>
      </c>
      <c r="J411" s="54">
        <v>0</v>
      </c>
      <c r="K411" s="54">
        <v>0</v>
      </c>
      <c r="L411" s="54">
        <v>0</v>
      </c>
      <c r="M411" s="54">
        <v>0</v>
      </c>
      <c r="N411" s="54">
        <v>0</v>
      </c>
      <c r="O411" s="54">
        <v>0</v>
      </c>
      <c r="P411" s="54">
        <v>0</v>
      </c>
      <c r="Q411" s="54">
        <v>0</v>
      </c>
      <c r="R411" s="54">
        <v>0</v>
      </c>
    </row>
    <row r="412" spans="1:18" x14ac:dyDescent="0.25">
      <c r="A412" s="52" t="s">
        <v>276</v>
      </c>
      <c r="B412" s="53"/>
      <c r="C412" s="67">
        <v>57820</v>
      </c>
      <c r="D412" s="54">
        <v>83759</v>
      </c>
      <c r="E412" s="50">
        <f>91212+56.59+7048.3+88.64</f>
        <v>98405.53</v>
      </c>
      <c r="F412" s="54">
        <f>95802-1430</f>
        <v>94372</v>
      </c>
      <c r="G412" s="54">
        <v>138521</v>
      </c>
      <c r="H412" s="54">
        <v>105800</v>
      </c>
      <c r="I412" s="54">
        <v>108252.59999999999</v>
      </c>
      <c r="J412" s="54">
        <v>110899.86239999998</v>
      </c>
      <c r="K412" s="54">
        <v>113632.33661759998</v>
      </c>
      <c r="L412" s="54">
        <v>116350.27282140478</v>
      </c>
      <c r="M412" s="54">
        <v>119017.81623630848</v>
      </c>
      <c r="N412" s="54">
        <v>121833.12775677396</v>
      </c>
      <c r="O412" s="54">
        <v>124959.19475013463</v>
      </c>
      <c r="P412" s="54">
        <v>128189.64004306101</v>
      </c>
      <c r="Q412" s="54">
        <v>131388.50834697767</v>
      </c>
      <c r="R412" s="54">
        <v>134668.3082662464</v>
      </c>
    </row>
    <row r="413" spans="1:18" x14ac:dyDescent="0.25">
      <c r="A413" s="52" t="s">
        <v>277</v>
      </c>
      <c r="B413" s="53"/>
      <c r="C413" s="52">
        <v>4677</v>
      </c>
      <c r="D413" s="54">
        <v>4666</v>
      </c>
      <c r="E413" s="43">
        <v>4977</v>
      </c>
      <c r="F413" s="54">
        <v>5821</v>
      </c>
      <c r="G413" s="54">
        <v>6039</v>
      </c>
      <c r="H413" s="54">
        <v>6800</v>
      </c>
      <c r="I413" s="54">
        <v>6957.7999999999993</v>
      </c>
      <c r="J413" s="54">
        <v>7128.3746999999994</v>
      </c>
      <c r="K413" s="54">
        <v>7304.6238452999996</v>
      </c>
      <c r="L413" s="54">
        <v>7480.2421440668986</v>
      </c>
      <c r="M413" s="54">
        <v>7652.6706159220957</v>
      </c>
      <c r="N413" s="54">
        <v>7834.3623758092717</v>
      </c>
      <c r="O413" s="54">
        <v>8036.0721809971001</v>
      </c>
      <c r="P413" s="54">
        <v>8244.7370893679763</v>
      </c>
      <c r="Q413" s="54">
        <v>8451.5297232647081</v>
      </c>
      <c r="R413" s="54">
        <v>8663.5886244625272</v>
      </c>
    </row>
    <row r="414" spans="1:18" x14ac:dyDescent="0.25">
      <c r="A414" s="52" t="s">
        <v>278</v>
      </c>
      <c r="B414" s="53"/>
      <c r="C414" s="52">
        <v>0</v>
      </c>
      <c r="D414" s="54">
        <v>33</v>
      </c>
      <c r="E414" s="43">
        <v>45</v>
      </c>
      <c r="F414" s="54">
        <v>0</v>
      </c>
      <c r="G414" s="54">
        <v>0</v>
      </c>
      <c r="H414" s="54">
        <v>100</v>
      </c>
      <c r="I414" s="54">
        <f t="shared" ref="I414" si="323">H414*1.023</f>
        <v>102.3</v>
      </c>
      <c r="J414" s="54">
        <f t="shared" ref="J414:K414" si="324">I414*1.024</f>
        <v>104.7552</v>
      </c>
      <c r="K414" s="54">
        <f t="shared" si="324"/>
        <v>107.26932480000001</v>
      </c>
      <c r="L414" s="54">
        <f t="shared" ref="L414" si="325">K414*1.023</f>
        <v>109.7365192704</v>
      </c>
      <c r="M414" s="54">
        <f t="shared" ref="M414" si="326">L414*1.022</f>
        <v>112.1507226943488</v>
      </c>
      <c r="N414" s="54">
        <f t="shared" ref="N414" si="327">M414*1.023</f>
        <v>114.73018931631881</v>
      </c>
      <c r="O414" s="54">
        <f t="shared" ref="O414:P414" si="328">N414*1.025</f>
        <v>117.59844404922677</v>
      </c>
      <c r="P414" s="54">
        <f t="shared" si="328"/>
        <v>120.53840515045744</v>
      </c>
      <c r="Q414" s="54">
        <f t="shared" ref="Q414:R414" si="329">P414*1.024</f>
        <v>123.43132687406842</v>
      </c>
      <c r="R414" s="54">
        <f t="shared" si="329"/>
        <v>126.39367871904606</v>
      </c>
    </row>
    <row r="415" spans="1:18" x14ac:dyDescent="0.25">
      <c r="A415" s="52" t="s">
        <v>261</v>
      </c>
      <c r="B415" s="53"/>
      <c r="C415" s="52">
        <v>61269</v>
      </c>
      <c r="D415" s="54">
        <v>69907</v>
      </c>
      <c r="E415" s="50">
        <f>72582-552.2+168.39</f>
        <v>72198.19</v>
      </c>
      <c r="F415" s="54">
        <v>91751</v>
      </c>
      <c r="G415" s="54">
        <v>67153</v>
      </c>
      <c r="H415" s="54">
        <v>75700</v>
      </c>
      <c r="I415" s="54">
        <v>77458.899999999994</v>
      </c>
      <c r="J415" s="54">
        <v>79363.526100000003</v>
      </c>
      <c r="K415" s="54">
        <v>81333.960093900008</v>
      </c>
      <c r="L415" s="54">
        <v>83301.421687334703</v>
      </c>
      <c r="M415" s="54">
        <v>85234.027232603141</v>
      </c>
      <c r="N415" s="54">
        <v>87266.631270262456</v>
      </c>
      <c r="O415" s="54">
        <v>89522.685105667741</v>
      </c>
      <c r="P415" s="54">
        <v>91859.454553636489</v>
      </c>
      <c r="Q415" s="54">
        <v>94177.479462055082</v>
      </c>
      <c r="R415" s="54">
        <v>96554.992500246168</v>
      </c>
    </row>
    <row r="416" spans="1:18" x14ac:dyDescent="0.25">
      <c r="A416" s="52" t="s">
        <v>262</v>
      </c>
      <c r="B416" s="53"/>
      <c r="C416" s="67">
        <v>1796</v>
      </c>
      <c r="D416" s="54">
        <v>1198</v>
      </c>
      <c r="E416" s="50">
        <f>2935-65+200-2775.37</f>
        <v>294.63000000000011</v>
      </c>
      <c r="F416" s="54">
        <v>633</v>
      </c>
      <c r="G416" s="54">
        <v>118</v>
      </c>
      <c r="H416" s="54">
        <v>1000</v>
      </c>
      <c r="I416" s="54">
        <v>1023.5999999999999</v>
      </c>
      <c r="J416" s="54">
        <v>1049.7039</v>
      </c>
      <c r="K416" s="54">
        <v>1077.1117161</v>
      </c>
      <c r="L416" s="54">
        <v>1105.1475499953001</v>
      </c>
      <c r="M416" s="54">
        <v>1132.8307152462214</v>
      </c>
      <c r="N416" s="54">
        <v>1161.3202512915848</v>
      </c>
      <c r="O416" s="54">
        <v>1192.8607200564161</v>
      </c>
      <c r="P416" s="54">
        <v>1226.009282563233</v>
      </c>
      <c r="Q416" s="54">
        <v>1259.2559098098509</v>
      </c>
      <c r="R416" s="54">
        <v>1293.430417862201</v>
      </c>
    </row>
    <row r="417" spans="1:18" x14ac:dyDescent="0.25">
      <c r="A417" s="52" t="s">
        <v>279</v>
      </c>
      <c r="B417" s="53"/>
      <c r="C417" s="52">
        <v>13662</v>
      </c>
      <c r="D417" s="50">
        <v>15010</v>
      </c>
      <c r="E417" s="50">
        <f>21966-2145.45+87.32</f>
        <v>19907.87</v>
      </c>
      <c r="F417" s="50">
        <v>19074</v>
      </c>
      <c r="G417" s="50">
        <v>16243</v>
      </c>
      <c r="H417" s="50">
        <v>19800</v>
      </c>
      <c r="I417" s="50">
        <v>20263.399999999998</v>
      </c>
      <c r="J417" s="50">
        <v>20770.221599999997</v>
      </c>
      <c r="K417" s="50">
        <v>21298.239218399998</v>
      </c>
      <c r="L417" s="50">
        <v>21831.595579423196</v>
      </c>
      <c r="M417" s="50">
        <v>22356.822937517507</v>
      </c>
      <c r="N417" s="50">
        <v>22903.488926343078</v>
      </c>
      <c r="O417" s="50">
        <v>23509.508982602209</v>
      </c>
      <c r="P417" s="50">
        <v>24141.607300572679</v>
      </c>
      <c r="Q417" s="50">
        <v>24771.971268654426</v>
      </c>
      <c r="R417" s="68">
        <v>25419.196795327654</v>
      </c>
    </row>
    <row r="418" spans="1:18" x14ac:dyDescent="0.25">
      <c r="A418" s="52" t="s">
        <v>265</v>
      </c>
      <c r="B418" s="53"/>
      <c r="C418" s="67">
        <v>6461</v>
      </c>
      <c r="D418" s="50">
        <v>15326</v>
      </c>
      <c r="E418" s="50">
        <f>250+2775.37+812.75</f>
        <v>3838.12</v>
      </c>
      <c r="F418" s="50">
        <v>3974</v>
      </c>
      <c r="G418" s="50">
        <v>5854</v>
      </c>
      <c r="H418" s="50">
        <v>4400</v>
      </c>
      <c r="I418" s="50">
        <v>4503</v>
      </c>
      <c r="J418" s="50">
        <v>4615.6844999999994</v>
      </c>
      <c r="K418" s="50">
        <v>4733.1056954999995</v>
      </c>
      <c r="L418" s="50">
        <v>4851.7539197714996</v>
      </c>
      <c r="M418" s="50">
        <v>4968.6022634595465</v>
      </c>
      <c r="N418" s="50">
        <v>5090.1834043032177</v>
      </c>
      <c r="O418" s="50">
        <v>5224.960376858422</v>
      </c>
      <c r="P418" s="50">
        <v>5365.5655197961014</v>
      </c>
      <c r="Q418" s="50">
        <v>5505.8063056665096</v>
      </c>
      <c r="R418" s="50">
        <v>5649.802755653247</v>
      </c>
    </row>
    <row r="419" spans="1:18" x14ac:dyDescent="0.25">
      <c r="A419" s="52" t="s">
        <v>267</v>
      </c>
      <c r="B419" s="53"/>
      <c r="C419" s="67"/>
      <c r="D419" s="50">
        <v>16227</v>
      </c>
      <c r="E419" s="43">
        <v>2493</v>
      </c>
      <c r="F419" s="50">
        <v>35446</v>
      </c>
      <c r="G419" s="50">
        <v>0</v>
      </c>
      <c r="H419" s="50">
        <v>33000</v>
      </c>
      <c r="I419" s="50">
        <v>0</v>
      </c>
      <c r="J419" s="50">
        <v>34600</v>
      </c>
      <c r="K419" s="50">
        <v>0</v>
      </c>
      <c r="L419" s="50">
        <v>36200</v>
      </c>
      <c r="M419" s="50">
        <v>0</v>
      </c>
      <c r="N419" s="50">
        <v>37800</v>
      </c>
      <c r="O419" s="50">
        <v>0</v>
      </c>
      <c r="P419" s="50">
        <v>38800</v>
      </c>
      <c r="Q419" s="50">
        <v>0</v>
      </c>
      <c r="R419" s="50">
        <v>40800</v>
      </c>
    </row>
    <row r="420" spans="1:18" x14ac:dyDescent="0.25">
      <c r="A420" s="52" t="s">
        <v>280</v>
      </c>
      <c r="B420" s="53"/>
      <c r="C420" s="59">
        <v>402</v>
      </c>
      <c r="D420" s="54">
        <v>1640</v>
      </c>
      <c r="E420" s="50">
        <v>459</v>
      </c>
      <c r="F420" s="54">
        <v>1082</v>
      </c>
      <c r="G420" s="54">
        <v>1138</v>
      </c>
      <c r="H420" s="54">
        <v>1800</v>
      </c>
      <c r="I420" s="54">
        <f t="shared" ref="I420:I421" si="330">H420*1.023</f>
        <v>1841.3999999999999</v>
      </c>
      <c r="J420" s="54">
        <f t="shared" ref="J420:K421" si="331">I420*1.024</f>
        <v>1885.5935999999999</v>
      </c>
      <c r="K420" s="54">
        <f t="shared" si="331"/>
        <v>1930.8478464</v>
      </c>
      <c r="L420" s="54">
        <f t="shared" ref="L420:L421" si="332">K420*1.023</f>
        <v>1975.2573468671999</v>
      </c>
      <c r="M420" s="54">
        <f t="shared" ref="M420:M421" si="333">L420*1.022</f>
        <v>2018.7130084982782</v>
      </c>
      <c r="N420" s="54">
        <f t="shared" ref="N420:N421" si="334">M420*1.023</f>
        <v>2065.1434076937385</v>
      </c>
      <c r="O420" s="54">
        <f t="shared" ref="O420:P421" si="335">N420*1.025</f>
        <v>2116.7719928860815</v>
      </c>
      <c r="P420" s="54">
        <f t="shared" si="335"/>
        <v>2169.6912927082335</v>
      </c>
      <c r="Q420" s="54">
        <f t="shared" ref="Q420:R421" si="336">P420*1.024</f>
        <v>2221.7638837332311</v>
      </c>
      <c r="R420" s="54">
        <f t="shared" si="336"/>
        <v>2275.0862169428287</v>
      </c>
    </row>
    <row r="421" spans="1:18" x14ac:dyDescent="0.25">
      <c r="A421" s="52" t="s">
        <v>281</v>
      </c>
      <c r="B421" s="53"/>
      <c r="C421" s="59">
        <v>1218</v>
      </c>
      <c r="D421" s="54">
        <v>953</v>
      </c>
      <c r="E421" s="50">
        <f>1927+40.3</f>
        <v>1967.3</v>
      </c>
      <c r="F421" s="54">
        <v>1584</v>
      </c>
      <c r="G421" s="54">
        <v>1210</v>
      </c>
      <c r="H421" s="54">
        <v>2000</v>
      </c>
      <c r="I421" s="54">
        <f t="shared" si="330"/>
        <v>2045.9999999999998</v>
      </c>
      <c r="J421" s="54">
        <f t="shared" si="331"/>
        <v>2095.1039999999998</v>
      </c>
      <c r="K421" s="54">
        <f t="shared" si="331"/>
        <v>2145.3864960000001</v>
      </c>
      <c r="L421" s="54">
        <f t="shared" si="332"/>
        <v>2194.7303854080001</v>
      </c>
      <c r="M421" s="54">
        <f t="shared" si="333"/>
        <v>2243.0144538869763</v>
      </c>
      <c r="N421" s="54">
        <f t="shared" si="334"/>
        <v>2294.6037863263764</v>
      </c>
      <c r="O421" s="54">
        <f t="shared" si="335"/>
        <v>2351.9688809845356</v>
      </c>
      <c r="P421" s="54">
        <f t="shared" si="335"/>
        <v>2410.7681030091489</v>
      </c>
      <c r="Q421" s="54">
        <f t="shared" si="336"/>
        <v>2468.6265374813684</v>
      </c>
      <c r="R421" s="54">
        <f t="shared" si="336"/>
        <v>2527.8735743809211</v>
      </c>
    </row>
    <row r="422" spans="1:18" x14ac:dyDescent="0.25">
      <c r="A422" s="52" t="s">
        <v>264</v>
      </c>
      <c r="B422" s="53"/>
      <c r="C422" s="59">
        <v>18541</v>
      </c>
      <c r="D422" s="50">
        <v>20305</v>
      </c>
      <c r="E422" s="50">
        <f>23069-40.3+280.66</f>
        <v>23309.360000000001</v>
      </c>
      <c r="F422" s="50">
        <v>25335</v>
      </c>
      <c r="G422" s="50">
        <v>21851</v>
      </c>
      <c r="H422" s="50">
        <v>23700</v>
      </c>
      <c r="I422" s="50">
        <v>24251.099999999995</v>
      </c>
      <c r="J422" s="50">
        <v>24848.501399999994</v>
      </c>
      <c r="K422" s="50">
        <v>25467.014658599994</v>
      </c>
      <c r="L422" s="50">
        <v>26085.378639997794</v>
      </c>
      <c r="M422" s="50">
        <v>26692.956161587994</v>
      </c>
      <c r="N422" s="50">
        <v>27331.238449251523</v>
      </c>
      <c r="O422" s="50">
        <v>28039.594035308222</v>
      </c>
      <c r="P422" s="50">
        <v>28773.854331244987</v>
      </c>
      <c r="Q422" s="50">
        <v>29502.650879845871</v>
      </c>
      <c r="R422" s="50">
        <v>30250.238163131311</v>
      </c>
    </row>
    <row r="423" spans="1:18" x14ac:dyDescent="0.25">
      <c r="A423" s="52" t="s">
        <v>268</v>
      </c>
      <c r="B423" s="53"/>
      <c r="C423" s="59">
        <v>13073</v>
      </c>
      <c r="D423" s="50">
        <v>11899</v>
      </c>
      <c r="E423" s="50">
        <f>11387+8.57</f>
        <v>11395.57</v>
      </c>
      <c r="F423" s="50">
        <v>10585</v>
      </c>
      <c r="G423" s="50">
        <v>6637</v>
      </c>
      <c r="H423" s="50">
        <v>8000</v>
      </c>
      <c r="I423" s="50">
        <v>8184.9999999999991</v>
      </c>
      <c r="J423" s="50">
        <v>8384.0024999999987</v>
      </c>
      <c r="K423" s="50">
        <v>8588.9100975000001</v>
      </c>
      <c r="L423" s="50">
        <v>8791.8921371174984</v>
      </c>
      <c r="M423" s="50">
        <v>8990.9302960524583</v>
      </c>
      <c r="N423" s="50">
        <v>9201.7790755194965</v>
      </c>
      <c r="O423" s="50">
        <v>9436.0026565450535</v>
      </c>
      <c r="P423" s="50">
        <v>9677.4477971343567</v>
      </c>
      <c r="Q423" s="50">
        <v>9916.0772183740828</v>
      </c>
      <c r="R423" s="50">
        <v>10160.650348643248</v>
      </c>
    </row>
    <row r="424" spans="1:18" x14ac:dyDescent="0.25">
      <c r="A424" s="52" t="s">
        <v>269</v>
      </c>
      <c r="B424" s="53"/>
      <c r="C424" s="59">
        <v>11303</v>
      </c>
      <c r="D424" s="50">
        <v>0</v>
      </c>
      <c r="E424" s="43">
        <v>0</v>
      </c>
      <c r="F424" s="50">
        <v>0</v>
      </c>
      <c r="G424" s="50">
        <v>0</v>
      </c>
      <c r="H424" s="50">
        <v>0</v>
      </c>
      <c r="I424" s="50">
        <v>0</v>
      </c>
      <c r="J424" s="50">
        <v>0</v>
      </c>
      <c r="K424" s="50">
        <v>0</v>
      </c>
      <c r="L424" s="50">
        <v>0</v>
      </c>
      <c r="M424" s="50">
        <v>0</v>
      </c>
      <c r="N424" s="50">
        <v>0</v>
      </c>
      <c r="O424" s="50">
        <v>0</v>
      </c>
      <c r="P424" s="50">
        <v>0</v>
      </c>
      <c r="Q424" s="50">
        <v>0</v>
      </c>
      <c r="R424" s="50">
        <v>0</v>
      </c>
    </row>
    <row r="425" spans="1:18" x14ac:dyDescent="0.25">
      <c r="A425" s="52" t="s">
        <v>270</v>
      </c>
      <c r="B425" s="53"/>
      <c r="C425" s="52">
        <v>59147</v>
      </c>
      <c r="D425" s="50">
        <v>5000</v>
      </c>
      <c r="E425" s="43">
        <v>5000</v>
      </c>
      <c r="F425" s="67">
        <v>0</v>
      </c>
      <c r="G425" s="67">
        <v>0</v>
      </c>
      <c r="H425" s="67">
        <v>0</v>
      </c>
      <c r="I425" s="50">
        <v>0</v>
      </c>
      <c r="J425" s="50">
        <v>0</v>
      </c>
      <c r="K425" s="50">
        <v>0</v>
      </c>
      <c r="L425" s="50">
        <v>0</v>
      </c>
      <c r="M425" s="50">
        <v>0</v>
      </c>
      <c r="N425" s="50">
        <v>0</v>
      </c>
      <c r="O425" s="50">
        <v>0</v>
      </c>
      <c r="P425" s="50">
        <v>0</v>
      </c>
      <c r="Q425" s="50">
        <v>0</v>
      </c>
      <c r="R425" s="50">
        <v>0</v>
      </c>
    </row>
    <row r="426" spans="1:18" x14ac:dyDescent="0.25">
      <c r="A426" s="52" t="s">
        <v>282</v>
      </c>
      <c r="B426" s="53"/>
      <c r="C426" s="59">
        <v>0</v>
      </c>
      <c r="D426" s="54">
        <v>0</v>
      </c>
      <c r="E426" s="43">
        <v>0</v>
      </c>
      <c r="F426" s="54">
        <v>0</v>
      </c>
      <c r="G426" s="54">
        <v>0</v>
      </c>
      <c r="H426" s="54">
        <v>0</v>
      </c>
      <c r="I426" s="54">
        <v>0</v>
      </c>
      <c r="J426" s="54">
        <v>0</v>
      </c>
      <c r="K426" s="54">
        <v>0</v>
      </c>
      <c r="L426" s="54">
        <v>0</v>
      </c>
      <c r="M426" s="54">
        <v>0</v>
      </c>
      <c r="N426" s="54">
        <v>0</v>
      </c>
      <c r="O426" s="54">
        <v>0</v>
      </c>
      <c r="P426" s="54">
        <v>0</v>
      </c>
      <c r="Q426" s="54">
        <f>P426*1.024</f>
        <v>0</v>
      </c>
      <c r="R426" s="54">
        <f>Q426*1.024</f>
        <v>0</v>
      </c>
    </row>
    <row r="427" spans="1:18" x14ac:dyDescent="0.25">
      <c r="A427" s="52" t="s">
        <v>283</v>
      </c>
      <c r="B427" s="53"/>
      <c r="C427" s="68">
        <v>622</v>
      </c>
      <c r="D427" s="54">
        <v>151</v>
      </c>
      <c r="E427" s="43">
        <v>75</v>
      </c>
      <c r="F427" s="54">
        <v>951</v>
      </c>
      <c r="G427" s="50">
        <v>0</v>
      </c>
      <c r="H427" s="50">
        <v>600</v>
      </c>
      <c r="I427" s="54">
        <f>H427*1.023</f>
        <v>613.79999999999995</v>
      </c>
      <c r="J427" s="54">
        <f t="shared" ref="J427:K427" si="337">I427*1.024</f>
        <v>628.53120000000001</v>
      </c>
      <c r="K427" s="54">
        <f t="shared" si="337"/>
        <v>643.61594880000007</v>
      </c>
      <c r="L427" s="54">
        <f t="shared" ref="L427" si="338">K427*1.023</f>
        <v>658.4191156224</v>
      </c>
      <c r="M427" s="54">
        <f t="shared" ref="M427" si="339">L427*1.022</f>
        <v>672.90433616609278</v>
      </c>
      <c r="N427" s="54">
        <f t="shared" ref="N427" si="340">M427*1.023</f>
        <v>688.38113589791283</v>
      </c>
      <c r="O427" s="54">
        <f t="shared" ref="O427:P427" si="341">N427*1.025</f>
        <v>705.59066429536063</v>
      </c>
      <c r="P427" s="54">
        <f t="shared" si="341"/>
        <v>723.23043090274462</v>
      </c>
      <c r="Q427" s="54">
        <f t="shared" ref="Q427:R427" si="342">P427*1.024</f>
        <v>740.58796124441051</v>
      </c>
      <c r="R427" s="54">
        <f t="shared" si="342"/>
        <v>758.36207231427636</v>
      </c>
    </row>
    <row r="428" spans="1:18" x14ac:dyDescent="0.25">
      <c r="A428" s="52" t="s">
        <v>284</v>
      </c>
      <c r="B428" s="53"/>
      <c r="C428" s="68"/>
      <c r="D428" s="54"/>
      <c r="E428" s="43">
        <v>19654</v>
      </c>
      <c r="F428" s="54">
        <v>28664</v>
      </c>
      <c r="G428" s="50">
        <v>0</v>
      </c>
      <c r="H428" s="50">
        <v>0</v>
      </c>
      <c r="I428" s="50">
        <v>14000</v>
      </c>
      <c r="J428" s="50">
        <v>0</v>
      </c>
      <c r="K428" s="50">
        <v>14700</v>
      </c>
      <c r="L428" s="50">
        <v>0</v>
      </c>
      <c r="M428" s="50">
        <v>15400</v>
      </c>
      <c r="N428" s="50">
        <v>0</v>
      </c>
      <c r="O428" s="50">
        <v>16200</v>
      </c>
      <c r="P428" s="50">
        <v>0</v>
      </c>
      <c r="Q428" s="50">
        <v>17000</v>
      </c>
      <c r="R428" s="50">
        <v>0</v>
      </c>
    </row>
    <row r="429" spans="1:18" x14ac:dyDescent="0.25">
      <c r="A429" s="43" t="s">
        <v>285</v>
      </c>
      <c r="C429" s="59">
        <v>0</v>
      </c>
      <c r="D429" s="50"/>
      <c r="E429" s="43">
        <v>0</v>
      </c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</row>
    <row r="430" spans="1:18" x14ac:dyDescent="0.25">
      <c r="A430" s="52" t="s">
        <v>286</v>
      </c>
      <c r="B430" s="53"/>
      <c r="C430" s="59">
        <v>10000</v>
      </c>
      <c r="D430" s="54">
        <v>9225</v>
      </c>
      <c r="E430" s="43">
        <v>10011</v>
      </c>
      <c r="F430" s="50">
        <v>16093</v>
      </c>
      <c r="G430" s="50">
        <v>9564</v>
      </c>
      <c r="H430" s="50">
        <v>15000</v>
      </c>
      <c r="I430" s="54">
        <f>H430*1.023</f>
        <v>15344.999999999998</v>
      </c>
      <c r="J430" s="54">
        <f t="shared" ref="J430:K430" si="343">I430*1.024</f>
        <v>15713.279999999999</v>
      </c>
      <c r="K430" s="54">
        <f t="shared" si="343"/>
        <v>16090.398719999999</v>
      </c>
      <c r="L430" s="54">
        <f t="shared" ref="L430" si="344">K430*1.023</f>
        <v>16460.477890559996</v>
      </c>
      <c r="M430" s="54">
        <f t="shared" ref="M430" si="345">L430*1.022</f>
        <v>16822.608404152317</v>
      </c>
      <c r="N430" s="54">
        <f t="shared" ref="N430" si="346">M430*1.023</f>
        <v>17209.528397447819</v>
      </c>
      <c r="O430" s="54">
        <f t="shared" ref="O430:P430" si="347">N430*1.025</f>
        <v>17639.766607384012</v>
      </c>
      <c r="P430" s="54">
        <f t="shared" si="347"/>
        <v>18080.76077256861</v>
      </c>
      <c r="Q430" s="54">
        <f t="shared" ref="Q430:R430" si="348">P430*1.024</f>
        <v>18514.699031110256</v>
      </c>
      <c r="R430" s="54">
        <f t="shared" si="348"/>
        <v>18959.051807856904</v>
      </c>
    </row>
    <row r="431" spans="1:18" x14ac:dyDescent="0.25">
      <c r="A431" s="52"/>
      <c r="B431" s="53"/>
      <c r="C431" s="50"/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</row>
    <row r="432" spans="1:18" x14ac:dyDescent="0.25">
      <c r="A432" s="41" t="s">
        <v>230</v>
      </c>
      <c r="B432" s="44"/>
      <c r="C432" s="51">
        <f t="shared" ref="C432:Q432" si="349">SUM(C403:C430)</f>
        <v>534428</v>
      </c>
      <c r="D432" s="51">
        <f t="shared" si="349"/>
        <v>490034</v>
      </c>
      <c r="E432" s="51">
        <f t="shared" si="349"/>
        <v>507271.14999999997</v>
      </c>
      <c r="F432" s="51">
        <f t="shared" si="349"/>
        <v>569198</v>
      </c>
      <c r="G432" s="51">
        <f t="shared" si="349"/>
        <v>489180</v>
      </c>
      <c r="H432" s="51">
        <f>SUM(H403:H430)</f>
        <v>567930</v>
      </c>
      <c r="I432" s="51">
        <f t="shared" si="349"/>
        <v>561794.6</v>
      </c>
      <c r="J432" s="51">
        <f t="shared" si="349"/>
        <v>597012.26289999986</v>
      </c>
      <c r="K432" s="51">
        <f t="shared" si="349"/>
        <v>592738.52695709991</v>
      </c>
      <c r="L432" s="51">
        <f t="shared" si="349"/>
        <v>630799.68183378829</v>
      </c>
      <c r="M432" s="51">
        <f t="shared" si="349"/>
        <v>626329.96632977703</v>
      </c>
      <c r="N432" s="51">
        <f t="shared" si="349"/>
        <v>665121.03669181583</v>
      </c>
      <c r="O432" s="51">
        <f t="shared" si="349"/>
        <v>661612.55867965892</v>
      </c>
      <c r="P432" s="51">
        <f t="shared" si="349"/>
        <v>703552.1828614003</v>
      </c>
      <c r="Q432" s="51">
        <f t="shared" si="349"/>
        <v>701512.58998568589</v>
      </c>
      <c r="R432" s="51">
        <f t="shared" ref="R432" si="350">SUM(R403:R430)</f>
        <v>745550.55974196584</v>
      </c>
    </row>
    <row r="433" spans="1:18" x14ac:dyDescent="0.25">
      <c r="C433" s="50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</row>
    <row r="434" spans="1:18" x14ac:dyDescent="0.25">
      <c r="A434" s="41" t="s">
        <v>287</v>
      </c>
      <c r="B434" s="44"/>
      <c r="C434" s="51">
        <f t="shared" ref="C434:R434" si="351">C432-C399</f>
        <v>317972</v>
      </c>
      <c r="D434" s="51">
        <f t="shared" si="351"/>
        <v>286354</v>
      </c>
      <c r="E434" s="51">
        <f t="shared" si="351"/>
        <v>303325.12</v>
      </c>
      <c r="F434" s="51">
        <f t="shared" si="351"/>
        <v>335781</v>
      </c>
      <c r="G434" s="51">
        <f t="shared" si="351"/>
        <v>284605</v>
      </c>
      <c r="H434" s="51">
        <f t="shared" si="351"/>
        <v>324057</v>
      </c>
      <c r="I434" s="51">
        <f t="shared" si="351"/>
        <v>332518.59999999998</v>
      </c>
      <c r="J434" s="51">
        <f t="shared" si="351"/>
        <v>341925.63889999985</v>
      </c>
      <c r="K434" s="51">
        <f t="shared" si="351"/>
        <v>352257.42398109986</v>
      </c>
      <c r="L434" s="51">
        <f t="shared" si="351"/>
        <v>363652.7434893403</v>
      </c>
      <c r="M434" s="51">
        <f t="shared" si="351"/>
        <v>374928.57534175122</v>
      </c>
      <c r="N434" s="51">
        <f t="shared" si="351"/>
        <v>385857.82371106546</v>
      </c>
      <c r="O434" s="51">
        <f t="shared" si="351"/>
        <v>397880.51537438977</v>
      </c>
      <c r="P434" s="51">
        <f t="shared" si="351"/>
        <v>411030.5884734994</v>
      </c>
      <c r="Q434" s="51">
        <f t="shared" si="351"/>
        <v>424730.31733247533</v>
      </c>
      <c r="R434" s="51">
        <f t="shared" si="351"/>
        <v>438741.67254507833</v>
      </c>
    </row>
    <row r="435" spans="1:18" x14ac:dyDescent="0.25">
      <c r="C435" s="50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</row>
    <row r="436" spans="1:18" x14ac:dyDescent="0.25">
      <c r="C436" s="50"/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</row>
    <row r="437" spans="1:18" x14ac:dyDescent="0.25">
      <c r="A437" s="41" t="s">
        <v>288</v>
      </c>
      <c r="B437" s="44"/>
      <c r="C437" s="50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</row>
    <row r="438" spans="1:18" x14ac:dyDescent="0.25">
      <c r="A438" s="41"/>
      <c r="B438" s="44"/>
      <c r="C438" s="50"/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</row>
    <row r="439" spans="1:18" x14ac:dyDescent="0.25">
      <c r="A439" s="41" t="s">
        <v>202</v>
      </c>
      <c r="B439" s="44"/>
      <c r="C439" s="50"/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</row>
    <row r="440" spans="1:18" x14ac:dyDescent="0.25">
      <c r="C440" s="50"/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</row>
    <row r="441" spans="1:18" x14ac:dyDescent="0.25">
      <c r="A441" s="52" t="s">
        <v>289</v>
      </c>
      <c r="B441" s="53"/>
      <c r="C441" s="52">
        <v>27820</v>
      </c>
      <c r="D441" s="54">
        <v>26759</v>
      </c>
      <c r="E441" s="43">
        <v>28703</v>
      </c>
      <c r="F441" s="54">
        <v>26597</v>
      </c>
      <c r="G441" s="54">
        <v>27994</v>
      </c>
      <c r="H441" s="54">
        <v>27800</v>
      </c>
      <c r="I441" s="54">
        <f>H441*1.023</f>
        <v>28439.399999999998</v>
      </c>
      <c r="J441" s="54">
        <f t="shared" ref="J441:K444" si="352">I441*1.024</f>
        <v>29121.945599999999</v>
      </c>
      <c r="K441" s="54">
        <f t="shared" si="352"/>
        <v>29820.8722944</v>
      </c>
      <c r="L441" s="54">
        <f t="shared" ref="L441:L444" si="353">K441*1.023</f>
        <v>30506.752357171197</v>
      </c>
      <c r="M441" s="54">
        <f t="shared" ref="M441:M444" si="354">L441*1.022</f>
        <v>31177.900909028966</v>
      </c>
      <c r="N441" s="54">
        <f t="shared" ref="N441:N444" si="355">M441*1.023</f>
        <v>31894.992629936631</v>
      </c>
      <c r="O441" s="54">
        <f t="shared" ref="O441:P444" si="356">N441*1.025</f>
        <v>32692.367445685042</v>
      </c>
      <c r="P441" s="54">
        <f t="shared" si="356"/>
        <v>33509.676631827162</v>
      </c>
      <c r="Q441" s="54">
        <f t="shared" ref="Q441:R444" si="357">P441*1.024</f>
        <v>34313.908870991014</v>
      </c>
      <c r="R441" s="54">
        <f t="shared" si="357"/>
        <v>35137.442683894798</v>
      </c>
    </row>
    <row r="442" spans="1:18" x14ac:dyDescent="0.25">
      <c r="A442" s="52" t="s">
        <v>290</v>
      </c>
      <c r="B442" s="53"/>
      <c r="C442" s="52">
        <v>2961</v>
      </c>
      <c r="D442" s="54">
        <v>3045</v>
      </c>
      <c r="E442" s="50">
        <f>3640-546.06</f>
        <v>3093.94</v>
      </c>
      <c r="F442" s="54">
        <v>3135</v>
      </c>
      <c r="G442" s="54">
        <v>3210</v>
      </c>
      <c r="H442" s="54">
        <v>3300</v>
      </c>
      <c r="I442" s="54">
        <f t="shared" ref="I442:I444" si="358">H442*1.023</f>
        <v>3375.8999999999996</v>
      </c>
      <c r="J442" s="54">
        <f t="shared" si="352"/>
        <v>3456.9215999999997</v>
      </c>
      <c r="K442" s="54">
        <f t="shared" si="352"/>
        <v>3539.8877183999998</v>
      </c>
      <c r="L442" s="54">
        <f t="shared" si="353"/>
        <v>3621.3051359231995</v>
      </c>
      <c r="M442" s="54">
        <f t="shared" si="354"/>
        <v>3700.9738489135098</v>
      </c>
      <c r="N442" s="54">
        <f t="shared" si="355"/>
        <v>3786.0962474385201</v>
      </c>
      <c r="O442" s="54">
        <f t="shared" si="356"/>
        <v>3880.7486536244828</v>
      </c>
      <c r="P442" s="54">
        <f t="shared" si="356"/>
        <v>3977.7673699650945</v>
      </c>
      <c r="Q442" s="54">
        <f t="shared" si="357"/>
        <v>4073.2337868442569</v>
      </c>
      <c r="R442" s="54">
        <f t="shared" si="357"/>
        <v>4170.9913977285196</v>
      </c>
    </row>
    <row r="443" spans="1:18" x14ac:dyDescent="0.25">
      <c r="A443" s="52" t="s">
        <v>291</v>
      </c>
      <c r="B443" s="53"/>
      <c r="C443" s="52">
        <v>3959</v>
      </c>
      <c r="D443" s="54">
        <v>4070</v>
      </c>
      <c r="E443" s="50">
        <f>4866-729.9</f>
        <v>4136.1000000000004</v>
      </c>
      <c r="F443" s="54">
        <v>4190</v>
      </c>
      <c r="G443" s="54">
        <v>4290</v>
      </c>
      <c r="H443" s="54">
        <v>5000</v>
      </c>
      <c r="I443" s="54">
        <f t="shared" si="358"/>
        <v>5115</v>
      </c>
      <c r="J443" s="54">
        <f t="shared" si="352"/>
        <v>5237.76</v>
      </c>
      <c r="K443" s="54">
        <f t="shared" si="352"/>
        <v>5363.4662400000007</v>
      </c>
      <c r="L443" s="54">
        <f t="shared" si="353"/>
        <v>5486.8259635200002</v>
      </c>
      <c r="M443" s="54">
        <f t="shared" si="354"/>
        <v>5607.5361347174403</v>
      </c>
      <c r="N443" s="54">
        <f t="shared" si="355"/>
        <v>5736.5094658159405</v>
      </c>
      <c r="O443" s="54">
        <f t="shared" si="356"/>
        <v>5879.9222024613382</v>
      </c>
      <c r="P443" s="54">
        <f t="shared" si="356"/>
        <v>6026.920257522871</v>
      </c>
      <c r="Q443" s="54">
        <f t="shared" si="357"/>
        <v>6171.56634370342</v>
      </c>
      <c r="R443" s="54">
        <f t="shared" si="357"/>
        <v>6319.6839359523019</v>
      </c>
    </row>
    <row r="444" spans="1:18" x14ac:dyDescent="0.25">
      <c r="A444" s="52" t="s">
        <v>292</v>
      </c>
      <c r="B444" s="53"/>
      <c r="C444" s="52">
        <v>46300</v>
      </c>
      <c r="D444" s="54">
        <v>48106</v>
      </c>
      <c r="E444" s="43">
        <f>65448-8946</f>
        <v>56502</v>
      </c>
      <c r="F444" s="54">
        <v>53209</v>
      </c>
      <c r="G444" s="54">
        <v>53943</v>
      </c>
      <c r="H444" s="54">
        <v>56000</v>
      </c>
      <c r="I444" s="54">
        <f t="shared" si="358"/>
        <v>57287.999999999993</v>
      </c>
      <c r="J444" s="54">
        <f t="shared" si="352"/>
        <v>58662.911999999997</v>
      </c>
      <c r="K444" s="54">
        <f t="shared" si="352"/>
        <v>60070.821887999999</v>
      </c>
      <c r="L444" s="54">
        <f t="shared" si="353"/>
        <v>61452.450791423995</v>
      </c>
      <c r="M444" s="54">
        <f t="shared" si="354"/>
        <v>62804.404708835325</v>
      </c>
      <c r="N444" s="54">
        <f t="shared" si="355"/>
        <v>64248.906017138535</v>
      </c>
      <c r="O444" s="54">
        <f t="shared" si="356"/>
        <v>65855.128667566998</v>
      </c>
      <c r="P444" s="54">
        <f t="shared" si="356"/>
        <v>67501.506884256174</v>
      </c>
      <c r="Q444" s="54">
        <f t="shared" si="357"/>
        <v>69121.543049478321</v>
      </c>
      <c r="R444" s="54">
        <f t="shared" si="357"/>
        <v>70780.460082665799</v>
      </c>
    </row>
    <row r="445" spans="1:18" x14ac:dyDescent="0.25">
      <c r="A445" s="52" t="s">
        <v>293</v>
      </c>
      <c r="B445" s="53"/>
      <c r="C445" s="52">
        <v>0</v>
      </c>
      <c r="D445" s="54"/>
      <c r="E445" s="43">
        <v>0</v>
      </c>
      <c r="F445" s="54"/>
      <c r="G445" s="54">
        <v>0</v>
      </c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</row>
    <row r="446" spans="1:18" x14ac:dyDescent="0.25">
      <c r="A446" s="52" t="s">
        <v>294</v>
      </c>
      <c r="B446" s="53"/>
      <c r="C446" s="52">
        <v>0</v>
      </c>
      <c r="D446" s="54"/>
      <c r="E446" s="43">
        <v>0</v>
      </c>
      <c r="F446" s="54"/>
      <c r="G446" s="54">
        <v>0</v>
      </c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</row>
    <row r="447" spans="1:18" x14ac:dyDescent="0.25">
      <c r="A447" s="52" t="s">
        <v>295</v>
      </c>
      <c r="B447" s="53"/>
      <c r="C447" s="52">
        <v>0</v>
      </c>
      <c r="D447" s="54">
        <f>C447*1.026</f>
        <v>0</v>
      </c>
      <c r="E447" s="43">
        <v>0</v>
      </c>
      <c r="F447" s="54">
        <v>0</v>
      </c>
      <c r="G447" s="54">
        <v>0</v>
      </c>
      <c r="H447" s="54">
        <v>0</v>
      </c>
      <c r="I447" s="54">
        <f t="shared" ref="I447:I452" si="359">H447*1.023</f>
        <v>0</v>
      </c>
      <c r="J447" s="54">
        <f t="shared" ref="J447:K450" si="360">I447*1.024</f>
        <v>0</v>
      </c>
      <c r="K447" s="54">
        <f t="shared" si="360"/>
        <v>0</v>
      </c>
      <c r="L447" s="54">
        <f t="shared" ref="L447:L450" si="361">K447*1.023</f>
        <v>0</v>
      </c>
      <c r="M447" s="54">
        <f t="shared" ref="M447:M450" si="362">L447*1.022</f>
        <v>0</v>
      </c>
      <c r="N447" s="54">
        <f t="shared" ref="N447:N450" si="363">M447*1.023</f>
        <v>0</v>
      </c>
      <c r="O447" s="54">
        <f t="shared" ref="O447:R452" si="364">N447*1.025</f>
        <v>0</v>
      </c>
      <c r="P447" s="54">
        <f t="shared" si="364"/>
        <v>0</v>
      </c>
      <c r="Q447" s="54">
        <f t="shared" ref="Q447:R450" si="365">P447*1.024</f>
        <v>0</v>
      </c>
      <c r="R447" s="54">
        <f t="shared" si="365"/>
        <v>0</v>
      </c>
    </row>
    <row r="448" spans="1:18" x14ac:dyDescent="0.25">
      <c r="A448" s="52" t="s">
        <v>296</v>
      </c>
      <c r="B448" s="53"/>
      <c r="C448" s="52">
        <v>1025</v>
      </c>
      <c r="D448" s="54">
        <v>1920</v>
      </c>
      <c r="E448" s="43">
        <f>2927-500</f>
        <v>2427</v>
      </c>
      <c r="F448" s="54">
        <v>1082</v>
      </c>
      <c r="G448" s="54">
        <v>700</v>
      </c>
      <c r="H448" s="54">
        <v>2000</v>
      </c>
      <c r="I448" s="54">
        <f t="shared" si="359"/>
        <v>2045.9999999999998</v>
      </c>
      <c r="J448" s="54">
        <f t="shared" si="360"/>
        <v>2095.1039999999998</v>
      </c>
      <c r="K448" s="54">
        <f t="shared" si="360"/>
        <v>2145.3864960000001</v>
      </c>
      <c r="L448" s="54">
        <f t="shared" si="361"/>
        <v>2194.7303854080001</v>
      </c>
      <c r="M448" s="54">
        <f t="shared" si="362"/>
        <v>2243.0144538869763</v>
      </c>
      <c r="N448" s="54">
        <f t="shared" si="363"/>
        <v>2294.6037863263764</v>
      </c>
      <c r="O448" s="54">
        <f t="shared" si="364"/>
        <v>2351.9688809845356</v>
      </c>
      <c r="P448" s="54">
        <f t="shared" si="364"/>
        <v>2410.7681030091489</v>
      </c>
      <c r="Q448" s="54">
        <f t="shared" si="365"/>
        <v>2468.6265374813684</v>
      </c>
      <c r="R448" s="54">
        <f t="shared" si="365"/>
        <v>2527.8735743809211</v>
      </c>
    </row>
    <row r="449" spans="1:18" x14ac:dyDescent="0.25">
      <c r="A449" s="52" t="s">
        <v>297</v>
      </c>
      <c r="B449" s="53"/>
      <c r="C449" s="50">
        <v>550</v>
      </c>
      <c r="D449" s="54">
        <v>800</v>
      </c>
      <c r="E449" s="43">
        <v>500</v>
      </c>
      <c r="F449" s="54">
        <v>1000</v>
      </c>
      <c r="G449" s="54">
        <v>1000</v>
      </c>
      <c r="H449" s="54">
        <v>1000</v>
      </c>
      <c r="I449" s="54">
        <f t="shared" si="359"/>
        <v>1022.9999999999999</v>
      </c>
      <c r="J449" s="54">
        <f t="shared" si="360"/>
        <v>1047.5519999999999</v>
      </c>
      <c r="K449" s="54">
        <f t="shared" si="360"/>
        <v>1072.693248</v>
      </c>
      <c r="L449" s="54">
        <f t="shared" si="361"/>
        <v>1097.365192704</v>
      </c>
      <c r="M449" s="54">
        <f t="shared" si="362"/>
        <v>1121.5072269434881</v>
      </c>
      <c r="N449" s="54">
        <f t="shared" si="363"/>
        <v>1147.3018931631882</v>
      </c>
      <c r="O449" s="54">
        <f t="shared" si="364"/>
        <v>1175.9844404922678</v>
      </c>
      <c r="P449" s="54">
        <f t="shared" si="364"/>
        <v>1205.3840515045745</v>
      </c>
      <c r="Q449" s="54">
        <f t="shared" si="365"/>
        <v>1234.3132687406842</v>
      </c>
      <c r="R449" s="54">
        <f t="shared" si="365"/>
        <v>1263.9367871904606</v>
      </c>
    </row>
    <row r="450" spans="1:18" x14ac:dyDescent="0.25">
      <c r="A450" s="52" t="s">
        <v>298</v>
      </c>
      <c r="B450" s="53"/>
      <c r="C450" s="59">
        <v>0</v>
      </c>
      <c r="D450" s="50">
        <v>0</v>
      </c>
      <c r="E450" s="43">
        <v>0</v>
      </c>
      <c r="F450" s="50">
        <v>0</v>
      </c>
      <c r="G450" s="50">
        <v>0</v>
      </c>
      <c r="H450" s="50">
        <v>0</v>
      </c>
      <c r="I450" s="54">
        <f t="shared" si="359"/>
        <v>0</v>
      </c>
      <c r="J450" s="54">
        <f t="shared" si="360"/>
        <v>0</v>
      </c>
      <c r="K450" s="54">
        <f t="shared" si="360"/>
        <v>0</v>
      </c>
      <c r="L450" s="54">
        <f t="shared" si="361"/>
        <v>0</v>
      </c>
      <c r="M450" s="54">
        <f t="shared" si="362"/>
        <v>0</v>
      </c>
      <c r="N450" s="54">
        <f t="shared" si="363"/>
        <v>0</v>
      </c>
      <c r="O450" s="54">
        <f t="shared" si="364"/>
        <v>0</v>
      </c>
      <c r="P450" s="54">
        <f t="shared" si="364"/>
        <v>0</v>
      </c>
      <c r="Q450" s="54">
        <f t="shared" si="365"/>
        <v>0</v>
      </c>
      <c r="R450" s="54">
        <f t="shared" si="365"/>
        <v>0</v>
      </c>
    </row>
    <row r="451" spans="1:18" x14ac:dyDescent="0.25">
      <c r="A451" s="52" t="s">
        <v>299</v>
      </c>
      <c r="C451" s="59">
        <v>54323</v>
      </c>
      <c r="D451" s="50">
        <v>55643</v>
      </c>
      <c r="E451" s="43">
        <v>57040</v>
      </c>
      <c r="F451" s="50">
        <v>58426</v>
      </c>
      <c r="G451" s="50">
        <v>59822</v>
      </c>
      <c r="H451" s="50">
        <v>0</v>
      </c>
      <c r="I451" s="54">
        <f t="shared" ref="I451" si="366">H451*1.02</f>
        <v>0</v>
      </c>
      <c r="J451" s="54">
        <f t="shared" ref="J451" si="367">I451*1.021</f>
        <v>0</v>
      </c>
      <c r="K451" s="54">
        <f t="shared" ref="K451" si="368">J451*1.023</f>
        <v>0</v>
      </c>
      <c r="L451" s="54">
        <f t="shared" ref="L451" si="369">K451*1.024</f>
        <v>0</v>
      </c>
      <c r="M451" s="54">
        <f t="shared" ref="M451" si="370">L451*1.023</f>
        <v>0</v>
      </c>
      <c r="N451" s="54">
        <f t="shared" ref="N451" si="371">M451*1.021</f>
        <v>0</v>
      </c>
      <c r="O451" s="54">
        <f t="shared" ref="O451" si="372">N451*1.022</f>
        <v>0</v>
      </c>
      <c r="P451" s="54">
        <f t="shared" si="364"/>
        <v>0</v>
      </c>
      <c r="Q451" s="54">
        <f t="shared" si="364"/>
        <v>0</v>
      </c>
      <c r="R451" s="54">
        <f t="shared" si="364"/>
        <v>0</v>
      </c>
    </row>
    <row r="452" spans="1:18" x14ac:dyDescent="0.25">
      <c r="A452" s="52" t="s">
        <v>300</v>
      </c>
      <c r="C452" s="59">
        <v>250</v>
      </c>
      <c r="D452" s="54">
        <v>227</v>
      </c>
      <c r="E452" s="43">
        <v>0</v>
      </c>
      <c r="F452" s="54">
        <v>0</v>
      </c>
      <c r="G452" s="54">
        <v>0</v>
      </c>
      <c r="H452" s="54">
        <v>0</v>
      </c>
      <c r="I452" s="54">
        <f t="shared" si="359"/>
        <v>0</v>
      </c>
      <c r="J452" s="54">
        <f t="shared" ref="J452:K452" si="373">I452*1.024</f>
        <v>0</v>
      </c>
      <c r="K452" s="54">
        <f t="shared" si="373"/>
        <v>0</v>
      </c>
      <c r="L452" s="54">
        <f t="shared" ref="L452" si="374">K452*1.023</f>
        <v>0</v>
      </c>
      <c r="M452" s="54">
        <f t="shared" ref="M452" si="375">L452*1.022</f>
        <v>0</v>
      </c>
      <c r="N452" s="54">
        <f t="shared" ref="N452" si="376">M452*1.023</f>
        <v>0</v>
      </c>
      <c r="O452" s="54">
        <f t="shared" ref="O452" si="377">N452*1.025</f>
        <v>0</v>
      </c>
      <c r="P452" s="54">
        <f t="shared" si="364"/>
        <v>0</v>
      </c>
      <c r="Q452" s="54">
        <f t="shared" ref="Q452:R452" si="378">P452*1.024</f>
        <v>0</v>
      </c>
      <c r="R452" s="54">
        <f t="shared" si="378"/>
        <v>0</v>
      </c>
    </row>
    <row r="453" spans="1:18" x14ac:dyDescent="0.25">
      <c r="A453" s="52"/>
      <c r="C453" s="50"/>
      <c r="D453" s="50"/>
      <c r="E453" s="50"/>
      <c r="F453" s="50"/>
      <c r="G453" s="50"/>
      <c r="H453" s="50"/>
      <c r="I453" s="50"/>
      <c r="J453" s="50"/>
      <c r="K453" s="50"/>
      <c r="L453" s="50"/>
      <c r="M453" s="50"/>
      <c r="N453" s="50"/>
      <c r="O453" s="50"/>
      <c r="P453" s="50"/>
      <c r="Q453" s="50"/>
      <c r="R453" s="50"/>
    </row>
    <row r="454" spans="1:18" x14ac:dyDescent="0.25">
      <c r="A454" s="41" t="s">
        <v>216</v>
      </c>
      <c r="B454" s="44"/>
      <c r="C454" s="51">
        <f t="shared" ref="C454" si="379">SUM(C441:C453)</f>
        <v>137188</v>
      </c>
      <c r="D454" s="51">
        <f t="shared" ref="D454:R454" si="380">SUM(D441:D453)</f>
        <v>140570</v>
      </c>
      <c r="E454" s="51">
        <f t="shared" si="380"/>
        <v>152402.04</v>
      </c>
      <c r="F454" s="51">
        <f t="shared" si="380"/>
        <v>147639</v>
      </c>
      <c r="G454" s="51">
        <f t="shared" si="380"/>
        <v>150959</v>
      </c>
      <c r="H454" s="51">
        <f t="shared" si="380"/>
        <v>95100</v>
      </c>
      <c r="I454" s="51">
        <f t="shared" si="380"/>
        <v>97287.299999999988</v>
      </c>
      <c r="J454" s="51">
        <f t="shared" si="380"/>
        <v>99622.195200000002</v>
      </c>
      <c r="K454" s="51">
        <f t="shared" si="380"/>
        <v>102013.12788480001</v>
      </c>
      <c r="L454" s="51">
        <f t="shared" si="380"/>
        <v>104359.42982615039</v>
      </c>
      <c r="M454" s="51">
        <f t="shared" si="380"/>
        <v>106655.33728232571</v>
      </c>
      <c r="N454" s="51">
        <f t="shared" si="380"/>
        <v>109108.41003981918</v>
      </c>
      <c r="O454" s="51">
        <f t="shared" si="380"/>
        <v>111836.12029081467</v>
      </c>
      <c r="P454" s="51">
        <f t="shared" si="380"/>
        <v>114632.02329808503</v>
      </c>
      <c r="Q454" s="51">
        <f t="shared" si="380"/>
        <v>117383.19185723907</v>
      </c>
      <c r="R454" s="51">
        <f t="shared" si="380"/>
        <v>120200.38846181279</v>
      </c>
    </row>
    <row r="455" spans="1:18" x14ac:dyDescent="0.25">
      <c r="C455" s="50"/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  <c r="P455" s="50"/>
      <c r="Q455" s="50"/>
      <c r="R455" s="50"/>
    </row>
    <row r="456" spans="1:18" x14ac:dyDescent="0.25">
      <c r="A456" s="41" t="s">
        <v>165</v>
      </c>
      <c r="B456" s="44"/>
      <c r="C456" s="50"/>
      <c r="D456" s="50"/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0"/>
      <c r="P456" s="50"/>
      <c r="Q456" s="50"/>
      <c r="R456" s="50"/>
    </row>
    <row r="457" spans="1:18" x14ac:dyDescent="0.25"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  <c r="P457" s="50"/>
      <c r="Q457" s="50"/>
      <c r="R457" s="50"/>
    </row>
    <row r="458" spans="1:18" x14ac:dyDescent="0.25">
      <c r="A458" s="52" t="s">
        <v>301</v>
      </c>
      <c r="B458" s="53"/>
      <c r="C458" s="59">
        <v>34744</v>
      </c>
      <c r="D458" s="50">
        <v>37535</v>
      </c>
      <c r="E458" s="50">
        <f>49991-879-18682</f>
        <v>30430</v>
      </c>
      <c r="F458">
        <v>42315</v>
      </c>
      <c r="G458" s="43">
        <v>28899</v>
      </c>
      <c r="H458" s="43">
        <v>38980</v>
      </c>
      <c r="I458" s="50">
        <v>39939.1</v>
      </c>
      <c r="J458" s="50">
        <v>40972.902799999996</v>
      </c>
      <c r="K458" s="50">
        <v>42051.40825719999</v>
      </c>
      <c r="L458" s="50">
        <v>43148.627727965591</v>
      </c>
      <c r="M458" s="50">
        <v>44237.836503919447</v>
      </c>
      <c r="N458" s="50">
        <v>45366.915129312518</v>
      </c>
      <c r="O458" s="50">
        <v>46605.958004377841</v>
      </c>
      <c r="P458" s="50">
        <v>47899.964091427362</v>
      </c>
      <c r="Q458" s="50">
        <v>49199.50376531409</v>
      </c>
      <c r="R458" s="50">
        <v>50535.975184384937</v>
      </c>
    </row>
    <row r="459" spans="1:18" x14ac:dyDescent="0.25">
      <c r="A459" s="43" t="s">
        <v>302</v>
      </c>
      <c r="C459" s="69">
        <v>1254</v>
      </c>
      <c r="D459" s="70">
        <v>1250</v>
      </c>
      <c r="E459" s="70">
        <v>879</v>
      </c>
      <c r="F459" s="69">
        <v>879</v>
      </c>
      <c r="G459" s="70">
        <v>879</v>
      </c>
      <c r="H459" s="70">
        <v>900</v>
      </c>
      <c r="I459" s="70">
        <v>930</v>
      </c>
      <c r="J459" s="70">
        <v>935</v>
      </c>
      <c r="K459" s="70">
        <v>970</v>
      </c>
      <c r="L459" s="70">
        <v>990</v>
      </c>
      <c r="M459" s="70">
        <v>1020</v>
      </c>
      <c r="N459" s="70">
        <v>1025</v>
      </c>
      <c r="O459" s="70">
        <v>1070</v>
      </c>
      <c r="P459" s="70">
        <v>1090</v>
      </c>
      <c r="Q459" s="70">
        <v>1120</v>
      </c>
      <c r="R459" s="70">
        <v>1120</v>
      </c>
    </row>
    <row r="460" spans="1:18" x14ac:dyDescent="0.25">
      <c r="A460" s="43" t="s">
        <v>303</v>
      </c>
      <c r="C460" s="71">
        <v>17249</v>
      </c>
      <c r="D460" s="71">
        <v>18682</v>
      </c>
      <c r="E460" s="72">
        <v>18682</v>
      </c>
      <c r="F460" s="71">
        <v>18682</v>
      </c>
      <c r="G460" s="73">
        <v>18682</v>
      </c>
      <c r="H460" s="73">
        <v>20530</v>
      </c>
      <c r="I460" s="73">
        <v>21010</v>
      </c>
      <c r="J460" s="73">
        <v>21510</v>
      </c>
      <c r="K460" s="73">
        <v>22030</v>
      </c>
      <c r="L460" s="73">
        <v>22530</v>
      </c>
      <c r="M460" s="73">
        <v>23030</v>
      </c>
      <c r="N460" s="73">
        <v>23560</v>
      </c>
      <c r="O460" s="73">
        <v>24150</v>
      </c>
      <c r="P460" s="73">
        <v>24750</v>
      </c>
      <c r="Q460" s="73">
        <v>25340</v>
      </c>
      <c r="R460" s="73">
        <v>25340</v>
      </c>
    </row>
    <row r="461" spans="1:18" x14ac:dyDescent="0.25">
      <c r="A461" s="52" t="s">
        <v>290</v>
      </c>
      <c r="B461" s="53"/>
      <c r="C461" s="54">
        <v>3972</v>
      </c>
      <c r="D461" s="50">
        <v>3444</v>
      </c>
      <c r="E461" s="50">
        <v>4435</v>
      </c>
      <c r="F461" s="54">
        <v>10113</v>
      </c>
      <c r="G461" s="50">
        <v>2911</v>
      </c>
      <c r="H461" s="50">
        <v>6270</v>
      </c>
      <c r="I461" s="50">
        <v>6432.5499999999993</v>
      </c>
      <c r="J461" s="50">
        <v>6602.6299499999986</v>
      </c>
      <c r="K461" s="50">
        <v>6781.3275025499988</v>
      </c>
      <c r="L461" s="50">
        <v>6964.698460506148</v>
      </c>
      <c r="M461" s="50">
        <v>7148.0431192050546</v>
      </c>
      <c r="N461" s="50">
        <v>7336.0539920714036</v>
      </c>
      <c r="O461" s="50">
        <v>7539.618275799281</v>
      </c>
      <c r="P461" s="50">
        <v>7754.7203674181219</v>
      </c>
      <c r="Q461" s="50">
        <v>7972.6519486050638</v>
      </c>
      <c r="R461" s="54">
        <v>8197.1853715448451</v>
      </c>
    </row>
    <row r="462" spans="1:18" x14ac:dyDescent="0.25">
      <c r="A462" s="43" t="s">
        <v>303</v>
      </c>
      <c r="C462" s="74">
        <v>4755</v>
      </c>
      <c r="D462" s="71">
        <v>4755</v>
      </c>
      <c r="E462" s="72">
        <v>5192</v>
      </c>
      <c r="F462" s="74">
        <v>5192</v>
      </c>
      <c r="G462" s="73">
        <v>5298</v>
      </c>
      <c r="H462" s="73">
        <v>7250</v>
      </c>
      <c r="I462" s="73">
        <v>7420</v>
      </c>
      <c r="J462" s="73">
        <v>7600</v>
      </c>
      <c r="K462" s="73">
        <v>7780</v>
      </c>
      <c r="L462" s="73">
        <v>7960</v>
      </c>
      <c r="M462" s="73">
        <v>8140</v>
      </c>
      <c r="N462" s="73">
        <v>8320</v>
      </c>
      <c r="O462" s="73">
        <v>8530</v>
      </c>
      <c r="P462" s="73">
        <v>8740</v>
      </c>
      <c r="Q462" s="73">
        <v>8950</v>
      </c>
      <c r="R462" s="73">
        <v>8950</v>
      </c>
    </row>
    <row r="463" spans="1:18" x14ac:dyDescent="0.25">
      <c r="A463" s="52" t="s">
        <v>291</v>
      </c>
      <c r="B463" s="53"/>
      <c r="C463" s="59">
        <v>4353</v>
      </c>
      <c r="D463" s="50">
        <v>4697</v>
      </c>
      <c r="E463" s="50">
        <v>8222</v>
      </c>
      <c r="F463" s="50">
        <v>9960</v>
      </c>
      <c r="G463" s="50">
        <v>4660</v>
      </c>
      <c r="H463" s="50">
        <v>8310</v>
      </c>
      <c r="I463" s="50">
        <v>8524.35</v>
      </c>
      <c r="J463" s="50">
        <v>8748.9782500000001</v>
      </c>
      <c r="K463" s="50">
        <v>8982.1169592499991</v>
      </c>
      <c r="L463" s="50">
        <v>9220.4058144752471</v>
      </c>
      <c r="M463" s="50">
        <v>9460.3023332180346</v>
      </c>
      <c r="N463" s="50">
        <v>9708.2074391811184</v>
      </c>
      <c r="O463" s="50">
        <v>9973.6224760101759</v>
      </c>
      <c r="P463" s="50">
        <v>10249.353813931135</v>
      </c>
      <c r="Q463" s="50">
        <v>10528.883943309909</v>
      </c>
      <c r="R463" s="50">
        <v>10816.475007117606</v>
      </c>
    </row>
    <row r="464" spans="1:18" x14ac:dyDescent="0.25">
      <c r="A464" s="43" t="s">
        <v>302</v>
      </c>
      <c r="C464" s="75">
        <v>437</v>
      </c>
      <c r="D464" s="70">
        <v>437</v>
      </c>
      <c r="E464" s="70">
        <v>519</v>
      </c>
      <c r="F464" s="76">
        <v>324</v>
      </c>
      <c r="G464" s="70">
        <v>324</v>
      </c>
      <c r="H464" s="70">
        <v>330</v>
      </c>
      <c r="I464" s="70">
        <v>340</v>
      </c>
      <c r="J464" s="70">
        <v>350</v>
      </c>
      <c r="K464" s="70">
        <v>360</v>
      </c>
      <c r="L464" s="70">
        <v>370</v>
      </c>
      <c r="M464" s="70">
        <v>370</v>
      </c>
      <c r="N464" s="70">
        <v>380</v>
      </c>
      <c r="O464" s="70">
        <v>390</v>
      </c>
      <c r="P464" s="70">
        <v>400</v>
      </c>
      <c r="Q464" s="70">
        <v>410</v>
      </c>
      <c r="R464" s="70">
        <v>410</v>
      </c>
    </row>
    <row r="465" spans="1:18" x14ac:dyDescent="0.25">
      <c r="A465" s="43" t="s">
        <v>304</v>
      </c>
      <c r="C465" s="77">
        <v>4967</v>
      </c>
      <c r="D465" s="71">
        <v>4967</v>
      </c>
      <c r="E465" s="72">
        <v>5718</v>
      </c>
      <c r="F465" s="74">
        <v>5718</v>
      </c>
      <c r="G465" s="73">
        <v>5718</v>
      </c>
      <c r="H465" s="77">
        <v>9000</v>
      </c>
      <c r="I465" s="77">
        <v>9210</v>
      </c>
      <c r="J465" s="77">
        <v>9430</v>
      </c>
      <c r="K465" s="77">
        <v>9650</v>
      </c>
      <c r="L465" s="77">
        <v>9880</v>
      </c>
      <c r="M465" s="77">
        <v>10090</v>
      </c>
      <c r="N465" s="77">
        <v>10330</v>
      </c>
      <c r="O465" s="77">
        <v>10580</v>
      </c>
      <c r="P465" s="77">
        <v>10850</v>
      </c>
      <c r="Q465" s="77">
        <v>11110</v>
      </c>
      <c r="R465" s="77">
        <v>11110</v>
      </c>
    </row>
    <row r="466" spans="1:18" x14ac:dyDescent="0.25">
      <c r="A466" s="43" t="s">
        <v>292</v>
      </c>
      <c r="B466" s="53"/>
      <c r="C466" s="59">
        <v>65160</v>
      </c>
      <c r="D466" s="50">
        <v>45848</v>
      </c>
      <c r="E466" s="50">
        <v>40506</v>
      </c>
      <c r="F466" s="50">
        <v>54431</v>
      </c>
      <c r="G466" s="50">
        <v>37580</v>
      </c>
      <c r="H466" s="50">
        <v>47820</v>
      </c>
      <c r="I466" s="50">
        <v>49091.899999999994</v>
      </c>
      <c r="J466" s="50">
        <v>50425.128900000011</v>
      </c>
      <c r="K466" s="50">
        <v>51812.031596100001</v>
      </c>
      <c r="L466" s="50">
        <v>53219.593644435285</v>
      </c>
      <c r="M466" s="50">
        <v>54624.550037027933</v>
      </c>
      <c r="N466" s="50">
        <v>56091.427752131684</v>
      </c>
      <c r="O466" s="50">
        <v>57694.137032203129</v>
      </c>
      <c r="P466" s="50">
        <v>59363.133431226976</v>
      </c>
      <c r="Q466" s="50">
        <v>61043.926041762083</v>
      </c>
      <c r="R466" s="50">
        <v>62776.330340911241</v>
      </c>
    </row>
    <row r="467" spans="1:18" x14ac:dyDescent="0.25">
      <c r="A467" s="43" t="s">
        <v>302</v>
      </c>
      <c r="B467" s="53"/>
      <c r="C467" s="78">
        <v>295</v>
      </c>
      <c r="D467" s="70">
        <v>295</v>
      </c>
      <c r="E467" s="70">
        <v>295</v>
      </c>
      <c r="F467" s="76">
        <v>295</v>
      </c>
      <c r="G467" s="76">
        <v>295</v>
      </c>
      <c r="H467" s="76">
        <v>300</v>
      </c>
      <c r="I467" s="76">
        <v>310</v>
      </c>
      <c r="J467" s="76">
        <v>315</v>
      </c>
      <c r="K467" s="76">
        <v>330</v>
      </c>
      <c r="L467" s="76">
        <v>330</v>
      </c>
      <c r="M467" s="76">
        <v>340</v>
      </c>
      <c r="N467" s="76">
        <v>345</v>
      </c>
      <c r="O467" s="76">
        <v>360</v>
      </c>
      <c r="P467" s="76">
        <v>370</v>
      </c>
      <c r="Q467" s="76">
        <v>380</v>
      </c>
      <c r="R467" s="76">
        <v>380</v>
      </c>
    </row>
    <row r="468" spans="1:18" x14ac:dyDescent="0.25">
      <c r="A468" s="43" t="s">
        <v>304</v>
      </c>
      <c r="B468" s="53"/>
      <c r="C468" s="77">
        <v>45872</v>
      </c>
      <c r="D468" s="71">
        <v>45871</v>
      </c>
      <c r="E468" s="72">
        <v>45871</v>
      </c>
      <c r="F468" s="73">
        <v>47474</v>
      </c>
      <c r="G468" s="73">
        <v>47559</v>
      </c>
      <c r="H468" s="73">
        <v>39600</v>
      </c>
      <c r="I468" s="73">
        <v>40510</v>
      </c>
      <c r="J468" s="73">
        <v>41480</v>
      </c>
      <c r="K468" s="73">
        <v>42480</v>
      </c>
      <c r="L468" s="73">
        <v>43460</v>
      </c>
      <c r="M468" s="73">
        <v>44410</v>
      </c>
      <c r="N468" s="73">
        <v>45430</v>
      </c>
      <c r="O468" s="73">
        <v>46570</v>
      </c>
      <c r="P468" s="73">
        <v>47730</v>
      </c>
      <c r="Q468" s="73">
        <v>48880</v>
      </c>
      <c r="R468" s="73">
        <v>48880</v>
      </c>
    </row>
    <row r="469" spans="1:18" x14ac:dyDescent="0.25">
      <c r="A469" t="s">
        <v>305</v>
      </c>
      <c r="B469" s="53"/>
      <c r="C469" s="79">
        <v>505</v>
      </c>
      <c r="D469" s="79">
        <v>505</v>
      </c>
      <c r="E469" s="80">
        <v>505</v>
      </c>
      <c r="F469" s="81">
        <v>505</v>
      </c>
      <c r="G469" s="80">
        <v>505</v>
      </c>
      <c r="H469" s="79">
        <v>520</v>
      </c>
      <c r="I469" s="79">
        <v>530</v>
      </c>
      <c r="J469" s="79">
        <v>540</v>
      </c>
      <c r="K469" s="79">
        <v>560</v>
      </c>
      <c r="L469" s="79">
        <v>570</v>
      </c>
      <c r="M469" s="79">
        <v>580</v>
      </c>
      <c r="N469" s="79">
        <v>590</v>
      </c>
      <c r="O469" s="79">
        <v>610</v>
      </c>
      <c r="P469" s="79">
        <v>620</v>
      </c>
      <c r="Q469" s="79">
        <v>640</v>
      </c>
      <c r="R469" s="79">
        <v>640</v>
      </c>
    </row>
    <row r="470" spans="1:18" x14ac:dyDescent="0.25">
      <c r="A470" s="52" t="s">
        <v>295</v>
      </c>
      <c r="B470" s="53"/>
      <c r="C470" s="50">
        <v>0</v>
      </c>
      <c r="D470" s="50"/>
      <c r="E470" s="50"/>
      <c r="F470" s="50"/>
      <c r="G470" s="50">
        <v>0</v>
      </c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</row>
    <row r="471" spans="1:18" x14ac:dyDescent="0.25">
      <c r="A471" s="52" t="s">
        <v>306</v>
      </c>
      <c r="B471" s="53"/>
      <c r="C471" s="59">
        <v>4464</v>
      </c>
      <c r="D471" s="54">
        <v>5149</v>
      </c>
      <c r="E471" s="43">
        <v>5002</v>
      </c>
      <c r="F471" s="54">
        <v>4911</v>
      </c>
      <c r="G471" s="50">
        <v>3184</v>
      </c>
      <c r="H471" s="50">
        <f>5200-200</f>
        <v>5000</v>
      </c>
      <c r="I471" s="54">
        <v>5115</v>
      </c>
      <c r="J471" s="54">
        <v>5237.76</v>
      </c>
      <c r="K471" s="54">
        <v>5363.4662400000007</v>
      </c>
      <c r="L471" s="54">
        <v>5486.8259635200002</v>
      </c>
      <c r="M471" s="54">
        <v>5607.5361347174403</v>
      </c>
      <c r="N471" s="54">
        <v>5736.5094658159405</v>
      </c>
      <c r="O471" s="54">
        <v>5879.9222024613382</v>
      </c>
      <c r="P471" s="54">
        <v>6026.920257522871</v>
      </c>
      <c r="Q471" s="54">
        <v>6171.56634370342</v>
      </c>
      <c r="R471" s="54">
        <v>6319.6839359523019</v>
      </c>
    </row>
    <row r="472" spans="1:18" x14ac:dyDescent="0.25">
      <c r="A472" s="52" t="s">
        <v>307</v>
      </c>
      <c r="B472" s="53"/>
      <c r="C472" s="59"/>
      <c r="D472" s="54"/>
      <c r="F472" s="54">
        <v>2000</v>
      </c>
      <c r="G472" s="54">
        <v>0</v>
      </c>
      <c r="H472" s="54">
        <v>0</v>
      </c>
      <c r="I472" s="54">
        <v>0</v>
      </c>
      <c r="J472" s="54">
        <v>0</v>
      </c>
      <c r="K472" s="54">
        <v>0</v>
      </c>
      <c r="L472" s="54">
        <v>0</v>
      </c>
      <c r="M472" s="54">
        <v>0</v>
      </c>
      <c r="N472" s="54">
        <v>0</v>
      </c>
      <c r="O472" s="54">
        <v>0</v>
      </c>
      <c r="P472" s="54">
        <v>0</v>
      </c>
      <c r="Q472" s="54">
        <v>0</v>
      </c>
      <c r="R472" s="54">
        <v>0</v>
      </c>
    </row>
    <row r="473" spans="1:18" x14ac:dyDescent="0.25">
      <c r="A473" s="52" t="s">
        <v>308</v>
      </c>
      <c r="B473" s="53"/>
      <c r="C473" s="59"/>
      <c r="D473" s="54"/>
      <c r="F473" s="54"/>
      <c r="G473" s="50">
        <v>15541</v>
      </c>
      <c r="H473" s="50">
        <v>5000</v>
      </c>
      <c r="I473" s="54">
        <f>H473*1.023</f>
        <v>5115</v>
      </c>
      <c r="J473" s="54">
        <f t="shared" ref="J473:K474" si="381">I473*1.024</f>
        <v>5237.76</v>
      </c>
      <c r="K473" s="54">
        <f t="shared" si="381"/>
        <v>5363.4662400000007</v>
      </c>
      <c r="L473" s="54">
        <f t="shared" ref="L473:L474" si="382">K473*1.023</f>
        <v>5486.8259635200002</v>
      </c>
      <c r="M473" s="54">
        <f t="shared" ref="M473:M474" si="383">L473*1.022</f>
        <v>5607.5361347174403</v>
      </c>
      <c r="N473" s="54">
        <f t="shared" ref="N473:N474" si="384">M473*1.023</f>
        <v>5736.5094658159405</v>
      </c>
      <c r="O473" s="54">
        <f t="shared" ref="O473:P474" si="385">N473*1.025</f>
        <v>5879.9222024613382</v>
      </c>
      <c r="P473" s="54">
        <f t="shared" si="385"/>
        <v>6026.920257522871</v>
      </c>
      <c r="Q473" s="54">
        <f t="shared" ref="Q473:R474" si="386">P473*1.024</f>
        <v>6171.56634370342</v>
      </c>
      <c r="R473" s="54">
        <f t="shared" si="386"/>
        <v>6319.6839359523019</v>
      </c>
    </row>
    <row r="474" spans="1:18" x14ac:dyDescent="0.25">
      <c r="A474" s="52" t="s">
        <v>309</v>
      </c>
      <c r="B474" s="53"/>
      <c r="C474" s="59">
        <v>717</v>
      </c>
      <c r="D474" s="50">
        <v>2744</v>
      </c>
      <c r="E474" s="43">
        <v>2241</v>
      </c>
      <c r="F474" s="50">
        <v>2176</v>
      </c>
      <c r="G474" s="50">
        <v>756</v>
      </c>
      <c r="H474" s="50">
        <v>2400</v>
      </c>
      <c r="I474" s="54">
        <f>H474*1.023</f>
        <v>2455.1999999999998</v>
      </c>
      <c r="J474" s="54">
        <f t="shared" si="381"/>
        <v>2514.1248000000001</v>
      </c>
      <c r="K474" s="54">
        <f t="shared" si="381"/>
        <v>2574.4637952000003</v>
      </c>
      <c r="L474" s="54">
        <f t="shared" si="382"/>
        <v>2633.6764624896</v>
      </c>
      <c r="M474" s="54">
        <f t="shared" si="383"/>
        <v>2691.6173446643711</v>
      </c>
      <c r="N474" s="54">
        <f t="shared" si="384"/>
        <v>2753.5245435916513</v>
      </c>
      <c r="O474" s="54">
        <f t="shared" si="385"/>
        <v>2822.3626571814425</v>
      </c>
      <c r="P474" s="54">
        <f t="shared" si="385"/>
        <v>2892.9217236109785</v>
      </c>
      <c r="Q474" s="54">
        <f t="shared" si="386"/>
        <v>2962.351844977642</v>
      </c>
      <c r="R474" s="54">
        <f t="shared" si="386"/>
        <v>3033.4482892571054</v>
      </c>
    </row>
    <row r="475" spans="1:18" x14ac:dyDescent="0.25">
      <c r="A475" s="52" t="s">
        <v>310</v>
      </c>
      <c r="C475" s="59">
        <v>45383</v>
      </c>
      <c r="D475" s="50">
        <f>50886-2983</f>
        <v>47903</v>
      </c>
      <c r="E475" s="43">
        <v>48726</v>
      </c>
      <c r="F475" s="43">
        <v>48053</v>
      </c>
      <c r="G475" s="43">
        <v>47977</v>
      </c>
      <c r="H475" s="43">
        <v>48000</v>
      </c>
      <c r="I475" s="50">
        <f>H475*1.025</f>
        <v>49199.999999999993</v>
      </c>
      <c r="J475" s="50">
        <f t="shared" ref="J475:J476" si="387">I475*1.029</f>
        <v>50626.799999999988</v>
      </c>
      <c r="K475" s="54">
        <f t="shared" ref="K475:K476" si="388">J475*1.031</f>
        <v>52196.230799999983</v>
      </c>
      <c r="L475" s="54">
        <f t="shared" ref="L475:L476" si="389">K475*1.033</f>
        <v>53918.706416399975</v>
      </c>
      <c r="M475" s="54">
        <f t="shared" ref="M475:M476" si="390">L475*1.032</f>
        <v>55644.105021724776</v>
      </c>
      <c r="N475" s="54">
        <f t="shared" ref="N475:N476" si="391">M475*1.03</f>
        <v>57313.428172376523</v>
      </c>
      <c r="O475" s="54">
        <f t="shared" ref="O475:O476" si="392">N475*1.032</f>
        <v>59147.45787389257</v>
      </c>
      <c r="P475" s="54">
        <f t="shared" ref="P475:R476" si="393">O475*1.034</f>
        <v>61158.471441604917</v>
      </c>
      <c r="Q475" s="54">
        <f t="shared" si="393"/>
        <v>63237.859470619485</v>
      </c>
      <c r="R475" s="54">
        <f t="shared" si="393"/>
        <v>65387.94669262055</v>
      </c>
    </row>
    <row r="476" spans="1:18" x14ac:dyDescent="0.25">
      <c r="A476" s="43" t="s">
        <v>220</v>
      </c>
      <c r="C476" s="59">
        <v>4063</v>
      </c>
      <c r="D476" s="50">
        <v>2983</v>
      </c>
      <c r="E476" s="43">
        <v>1324</v>
      </c>
      <c r="F476" s="43">
        <v>-11647</v>
      </c>
      <c r="G476" s="43">
        <v>1421</v>
      </c>
      <c r="H476" s="43">
        <v>4600</v>
      </c>
      <c r="I476" s="50">
        <f>H476*1.025</f>
        <v>4715</v>
      </c>
      <c r="J476" s="50">
        <f t="shared" si="387"/>
        <v>4851.7349999999997</v>
      </c>
      <c r="K476" s="54">
        <f t="shared" si="388"/>
        <v>5002.1387849999992</v>
      </c>
      <c r="L476" s="54">
        <f t="shared" si="389"/>
        <v>5167.2093649049984</v>
      </c>
      <c r="M476" s="54">
        <f t="shared" si="390"/>
        <v>5332.5600645819586</v>
      </c>
      <c r="N476" s="54">
        <f t="shared" si="391"/>
        <v>5492.5368665194173</v>
      </c>
      <c r="O476" s="54">
        <f t="shared" si="392"/>
        <v>5668.2980462480391</v>
      </c>
      <c r="P476" s="54">
        <f t="shared" si="393"/>
        <v>5861.0201798204725</v>
      </c>
      <c r="Q476" s="54">
        <f t="shared" si="393"/>
        <v>6060.2948659343692</v>
      </c>
      <c r="R476" s="54">
        <f t="shared" si="393"/>
        <v>6266.3448913761376</v>
      </c>
    </row>
    <row r="477" spans="1:18" x14ac:dyDescent="0.25">
      <c r="A477" s="52" t="s">
        <v>311</v>
      </c>
      <c r="B477" s="53"/>
      <c r="C477" s="59">
        <v>260</v>
      </c>
      <c r="D477" s="67">
        <v>0</v>
      </c>
      <c r="E477" s="43">
        <v>0</v>
      </c>
      <c r="F477" s="67">
        <v>0</v>
      </c>
      <c r="G477" s="67">
        <v>0</v>
      </c>
      <c r="H477" s="67">
        <v>0</v>
      </c>
      <c r="I477" s="54">
        <v>0</v>
      </c>
      <c r="J477" s="54">
        <v>0</v>
      </c>
      <c r="K477" s="54">
        <v>0</v>
      </c>
      <c r="L477" s="54">
        <v>0</v>
      </c>
      <c r="M477" s="54">
        <v>0</v>
      </c>
      <c r="N477" s="54">
        <v>0</v>
      </c>
      <c r="O477" s="54">
        <v>0</v>
      </c>
      <c r="P477" s="54">
        <v>0</v>
      </c>
      <c r="Q477" s="54">
        <v>0</v>
      </c>
      <c r="R477" s="54">
        <v>0</v>
      </c>
    </row>
    <row r="478" spans="1:18" x14ac:dyDescent="0.25">
      <c r="A478" s="59" t="s">
        <v>312</v>
      </c>
      <c r="B478" s="53"/>
      <c r="C478" s="59">
        <v>13000</v>
      </c>
      <c r="D478" s="67">
        <v>7000</v>
      </c>
      <c r="E478" s="43">
        <v>0</v>
      </c>
      <c r="F478" s="67">
        <v>0</v>
      </c>
      <c r="G478" s="67">
        <v>0</v>
      </c>
      <c r="H478" s="67">
        <v>0</v>
      </c>
      <c r="I478" s="54">
        <v>0</v>
      </c>
      <c r="J478" s="54">
        <v>0</v>
      </c>
      <c r="K478" s="54">
        <v>0</v>
      </c>
      <c r="L478" s="54">
        <v>0</v>
      </c>
      <c r="M478" s="54">
        <v>0</v>
      </c>
      <c r="N478" s="54">
        <v>0</v>
      </c>
      <c r="O478" s="54">
        <v>0</v>
      </c>
      <c r="P478" s="54">
        <v>0</v>
      </c>
      <c r="Q478" s="54">
        <v>0</v>
      </c>
      <c r="R478" s="54">
        <v>0</v>
      </c>
    </row>
    <row r="479" spans="1:18" x14ac:dyDescent="0.25">
      <c r="A479" s="52" t="s">
        <v>300</v>
      </c>
      <c r="C479" s="59">
        <v>1061</v>
      </c>
      <c r="D479" s="50">
        <v>905</v>
      </c>
      <c r="E479" s="43">
        <v>1104</v>
      </c>
      <c r="F479" s="50">
        <v>570</v>
      </c>
      <c r="G479" s="50">
        <v>500</v>
      </c>
      <c r="H479" s="50">
        <v>1200</v>
      </c>
      <c r="I479" s="54">
        <f>H479*1.023</f>
        <v>1227.5999999999999</v>
      </c>
      <c r="J479" s="54">
        <f t="shared" ref="J479:K479" si="394">I479*1.024</f>
        <v>1257.0624</v>
      </c>
      <c r="K479" s="54">
        <f t="shared" si="394"/>
        <v>1287.2318976000001</v>
      </c>
      <c r="L479" s="54">
        <f t="shared" ref="L479" si="395">K479*1.023</f>
        <v>1316.8382312448</v>
      </c>
      <c r="M479" s="54">
        <f t="shared" ref="M479" si="396">L479*1.022</f>
        <v>1345.8086723321856</v>
      </c>
      <c r="N479" s="54">
        <f t="shared" ref="N479" si="397">M479*1.023</f>
        <v>1376.7622717958257</v>
      </c>
      <c r="O479" s="54">
        <f t="shared" ref="O479:P479" si="398">N479*1.025</f>
        <v>1411.1813285907213</v>
      </c>
      <c r="P479" s="54">
        <f t="shared" si="398"/>
        <v>1446.4608618054892</v>
      </c>
      <c r="Q479" s="54">
        <f t="shared" ref="Q479:R479" si="399">P479*1.024</f>
        <v>1481.175922488821</v>
      </c>
      <c r="R479" s="54">
        <f t="shared" si="399"/>
        <v>1516.7241446285527</v>
      </c>
    </row>
    <row r="480" spans="1:18" x14ac:dyDescent="0.25">
      <c r="C480" s="50"/>
      <c r="D480" s="50"/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  <c r="P480" s="50"/>
      <c r="Q480" s="50"/>
      <c r="R480" s="50"/>
    </row>
    <row r="481" spans="1:18" x14ac:dyDescent="0.25">
      <c r="A481" s="41" t="s">
        <v>230</v>
      </c>
      <c r="B481" s="44"/>
      <c r="C481" s="51">
        <f>SUM(C458:C480)</f>
        <v>252511</v>
      </c>
      <c r="D481" s="51">
        <f>SUM(D458:D480)</f>
        <v>234970</v>
      </c>
      <c r="E481" s="51">
        <f t="shared" ref="E481:R481" si="400">SUM(E458:E480)</f>
        <v>219651</v>
      </c>
      <c r="F481" s="51">
        <f t="shared" si="400"/>
        <v>241951</v>
      </c>
      <c r="G481" s="51">
        <f t="shared" si="400"/>
        <v>222689</v>
      </c>
      <c r="H481" s="51">
        <f t="shared" si="400"/>
        <v>246010</v>
      </c>
      <c r="I481" s="51">
        <f t="shared" si="400"/>
        <v>252075.7</v>
      </c>
      <c r="J481" s="51">
        <f t="shared" si="400"/>
        <v>258634.88209999999</v>
      </c>
      <c r="K481" s="51">
        <f t="shared" si="400"/>
        <v>265573.88207289996</v>
      </c>
      <c r="L481" s="51">
        <f t="shared" si="400"/>
        <v>272653.40804946166</v>
      </c>
      <c r="M481" s="51">
        <f t="shared" si="400"/>
        <v>279679.89536610869</v>
      </c>
      <c r="N481" s="51">
        <f t="shared" si="400"/>
        <v>286891.87509861204</v>
      </c>
      <c r="O481" s="51">
        <f t="shared" si="400"/>
        <v>294882.48009922588</v>
      </c>
      <c r="P481" s="51">
        <f t="shared" si="400"/>
        <v>303229.88642589119</v>
      </c>
      <c r="Q481" s="51">
        <f t="shared" si="400"/>
        <v>311659.78049041826</v>
      </c>
      <c r="R481" s="51">
        <f t="shared" si="400"/>
        <v>317999.79779374565</v>
      </c>
    </row>
    <row r="482" spans="1:18" x14ac:dyDescent="0.25"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  <c r="P482" s="50"/>
      <c r="Q482" s="50"/>
      <c r="R482" s="50"/>
    </row>
    <row r="483" spans="1:18" x14ac:dyDescent="0.25">
      <c r="A483" s="41" t="s">
        <v>251</v>
      </c>
      <c r="B483" s="44"/>
      <c r="C483" s="50"/>
      <c r="D483" s="50"/>
      <c r="E483" s="50"/>
      <c r="F483" s="50"/>
      <c r="G483" s="50"/>
      <c r="H483" s="50"/>
      <c r="I483" s="50"/>
      <c r="J483" s="50"/>
      <c r="K483" s="50"/>
      <c r="L483" s="50"/>
      <c r="M483" s="50"/>
      <c r="N483" s="50"/>
      <c r="O483" s="50"/>
      <c r="P483" s="50"/>
      <c r="Q483" s="50"/>
      <c r="R483" s="50"/>
    </row>
    <row r="484" spans="1:18" x14ac:dyDescent="0.25">
      <c r="C484" s="50"/>
      <c r="D484" s="50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0"/>
    </row>
    <row r="485" spans="1:18" x14ac:dyDescent="0.25">
      <c r="A485" s="43" t="s">
        <v>313</v>
      </c>
      <c r="B485" s="82" t="s">
        <v>314</v>
      </c>
      <c r="C485" s="50">
        <v>0</v>
      </c>
      <c r="D485" s="54">
        <f>C485*1.025</f>
        <v>0</v>
      </c>
      <c r="E485" s="54">
        <f>D485*1.025</f>
        <v>0</v>
      </c>
      <c r="F485" s="54">
        <v>0</v>
      </c>
      <c r="G485" s="54">
        <v>0</v>
      </c>
      <c r="H485" s="54">
        <v>0</v>
      </c>
      <c r="I485" s="54">
        <v>0</v>
      </c>
      <c r="J485" s="54">
        <v>0</v>
      </c>
      <c r="K485" s="54">
        <v>0</v>
      </c>
      <c r="L485" s="54">
        <v>0</v>
      </c>
      <c r="M485" s="54">
        <v>0</v>
      </c>
      <c r="N485" s="54">
        <v>0</v>
      </c>
      <c r="O485" s="54">
        <v>0</v>
      </c>
      <c r="P485" s="54">
        <v>0</v>
      </c>
      <c r="Q485" s="54">
        <f>P485*1.025</f>
        <v>0</v>
      </c>
      <c r="R485" s="54">
        <f>Q485*1.025</f>
        <v>0</v>
      </c>
    </row>
    <row r="486" spans="1:18" x14ac:dyDescent="0.25">
      <c r="C486" s="50"/>
      <c r="D486" s="50"/>
      <c r="E486" s="50"/>
      <c r="F486" s="50"/>
      <c r="G486" s="50"/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0"/>
    </row>
    <row r="487" spans="1:18" x14ac:dyDescent="0.25">
      <c r="A487" s="41" t="s">
        <v>254</v>
      </c>
      <c r="B487" s="44"/>
      <c r="C487" s="51">
        <f t="shared" ref="C487" si="401">SUM(C485:C486)</f>
        <v>0</v>
      </c>
      <c r="D487" s="51">
        <f t="shared" ref="D487:E487" si="402">SUM(D485:D486)</f>
        <v>0</v>
      </c>
      <c r="E487" s="51">
        <f t="shared" si="402"/>
        <v>0</v>
      </c>
      <c r="F487" s="51">
        <v>0</v>
      </c>
      <c r="G487" s="51">
        <v>0</v>
      </c>
      <c r="H487" s="51">
        <v>0</v>
      </c>
      <c r="I487" s="51">
        <v>0</v>
      </c>
      <c r="J487" s="51">
        <v>0</v>
      </c>
      <c r="K487" s="51">
        <v>0</v>
      </c>
      <c r="L487" s="51">
        <v>0</v>
      </c>
      <c r="M487" s="51">
        <v>0</v>
      </c>
      <c r="N487" s="51">
        <v>0</v>
      </c>
      <c r="O487" s="51">
        <v>0</v>
      </c>
      <c r="P487" s="51">
        <v>0</v>
      </c>
      <c r="Q487" s="51">
        <f>SUM(Q485:Q486)</f>
        <v>0</v>
      </c>
      <c r="R487" s="51">
        <f>SUM(R485:R486)</f>
        <v>0</v>
      </c>
    </row>
    <row r="488" spans="1:18" x14ac:dyDescent="0.25">
      <c r="C488" s="50"/>
      <c r="D488" s="50"/>
      <c r="E488" s="50"/>
      <c r="F488" s="50"/>
      <c r="G488" s="50"/>
      <c r="H488" s="50"/>
      <c r="I488" s="50"/>
      <c r="J488" s="50"/>
      <c r="K488" s="50"/>
      <c r="L488" s="50"/>
      <c r="M488" s="50"/>
      <c r="N488" s="50"/>
      <c r="O488" s="50"/>
      <c r="P488" s="50"/>
      <c r="Q488" s="50"/>
      <c r="R488" s="50"/>
    </row>
    <row r="489" spans="1:18" x14ac:dyDescent="0.25">
      <c r="A489" s="41" t="s">
        <v>171</v>
      </c>
      <c r="B489" s="44"/>
      <c r="C489" s="50"/>
      <c r="D489" s="50"/>
      <c r="E489" s="50"/>
      <c r="F489" s="50"/>
      <c r="G489" s="50"/>
      <c r="H489" s="50"/>
      <c r="I489" s="50"/>
      <c r="J489" s="50"/>
      <c r="K489" s="50"/>
      <c r="L489" s="50"/>
      <c r="M489" s="50"/>
      <c r="N489" s="50"/>
      <c r="O489" s="50"/>
      <c r="P489" s="50"/>
      <c r="Q489" s="50"/>
      <c r="R489" s="50"/>
    </row>
    <row r="490" spans="1:18" x14ac:dyDescent="0.25">
      <c r="A490" s="41"/>
      <c r="B490" s="44"/>
      <c r="C490" s="50"/>
      <c r="D490" s="50"/>
      <c r="E490" s="50"/>
      <c r="F490" s="50"/>
      <c r="G490" s="50"/>
      <c r="H490" s="50"/>
      <c r="I490" s="50"/>
      <c r="J490" s="50"/>
      <c r="K490" s="50"/>
      <c r="L490" s="50"/>
      <c r="M490" s="50"/>
      <c r="N490" s="50"/>
      <c r="O490" s="50"/>
      <c r="P490" s="50"/>
      <c r="Q490" s="50"/>
      <c r="R490" s="50"/>
    </row>
    <row r="491" spans="1:18" x14ac:dyDescent="0.25">
      <c r="A491" s="41" t="s">
        <v>315</v>
      </c>
      <c r="B491" s="44"/>
      <c r="C491" s="50"/>
      <c r="D491" s="50"/>
      <c r="E491" s="50"/>
      <c r="F491" s="50"/>
      <c r="G491" s="50"/>
      <c r="H491" s="50"/>
      <c r="I491" s="50"/>
      <c r="J491" s="50"/>
      <c r="K491" s="50"/>
      <c r="L491" s="50"/>
      <c r="M491" s="50"/>
      <c r="N491" s="50"/>
      <c r="O491" s="50"/>
      <c r="P491" s="50"/>
      <c r="Q491" s="50"/>
      <c r="R491" s="50"/>
    </row>
    <row r="492" spans="1:18" x14ac:dyDescent="0.25">
      <c r="A492" s="83" t="s">
        <v>316</v>
      </c>
      <c r="B492" s="84" t="s">
        <v>317</v>
      </c>
      <c r="C492" s="50">
        <v>0</v>
      </c>
      <c r="D492" s="50">
        <v>0</v>
      </c>
      <c r="E492" s="50">
        <v>0</v>
      </c>
      <c r="F492" s="50">
        <v>0</v>
      </c>
      <c r="G492" s="50">
        <v>0</v>
      </c>
      <c r="H492" s="50">
        <v>0</v>
      </c>
      <c r="I492" s="50">
        <v>0</v>
      </c>
      <c r="J492" s="50">
        <v>0</v>
      </c>
      <c r="K492" s="50">
        <v>0</v>
      </c>
      <c r="L492" s="50">
        <v>0</v>
      </c>
      <c r="M492" s="50">
        <v>0</v>
      </c>
      <c r="N492" s="50">
        <v>0</v>
      </c>
      <c r="O492" s="50">
        <v>0</v>
      </c>
      <c r="P492" s="50">
        <v>0</v>
      </c>
      <c r="Q492" s="50">
        <v>0</v>
      </c>
      <c r="R492" s="50">
        <v>0</v>
      </c>
    </row>
    <row r="493" spans="1:18" x14ac:dyDescent="0.25">
      <c r="A493" s="83" t="s">
        <v>318</v>
      </c>
      <c r="B493" s="84" t="s">
        <v>317</v>
      </c>
      <c r="C493" s="50">
        <v>0</v>
      </c>
      <c r="D493" s="50"/>
      <c r="E493" s="85">
        <v>0</v>
      </c>
      <c r="F493" s="50">
        <v>0</v>
      </c>
      <c r="G493" s="50">
        <v>0</v>
      </c>
      <c r="H493" s="50">
        <v>0</v>
      </c>
      <c r="I493" s="50">
        <v>0</v>
      </c>
      <c r="J493" s="50">
        <v>0</v>
      </c>
      <c r="K493" s="50">
        <v>0</v>
      </c>
      <c r="L493" s="50">
        <v>0</v>
      </c>
      <c r="M493" s="50">
        <v>0</v>
      </c>
      <c r="N493" s="50">
        <v>0</v>
      </c>
      <c r="O493" s="50">
        <v>0</v>
      </c>
      <c r="P493" s="50">
        <v>0</v>
      </c>
      <c r="Q493" s="50">
        <v>0</v>
      </c>
      <c r="R493" s="50">
        <v>0</v>
      </c>
    </row>
    <row r="494" spans="1:18" x14ac:dyDescent="0.25">
      <c r="A494" s="83" t="s">
        <v>319</v>
      </c>
      <c r="B494" s="84" t="s">
        <v>317</v>
      </c>
      <c r="C494" s="50">
        <v>0</v>
      </c>
      <c r="D494" s="50"/>
      <c r="E494" s="85">
        <v>5717</v>
      </c>
      <c r="F494" s="50">
        <v>0</v>
      </c>
      <c r="G494" s="50">
        <v>0</v>
      </c>
      <c r="H494" s="50">
        <v>0</v>
      </c>
      <c r="I494" s="50">
        <v>0</v>
      </c>
      <c r="J494" s="50">
        <v>0</v>
      </c>
      <c r="K494" s="50">
        <v>0</v>
      </c>
      <c r="L494" s="50">
        <v>0</v>
      </c>
      <c r="M494" s="50">
        <v>0</v>
      </c>
      <c r="N494" s="50">
        <v>0</v>
      </c>
      <c r="O494" s="50">
        <v>0</v>
      </c>
      <c r="P494" s="50">
        <v>0</v>
      </c>
      <c r="Q494" s="50">
        <v>0</v>
      </c>
      <c r="R494" s="50">
        <v>0</v>
      </c>
    </row>
    <row r="495" spans="1:18" x14ac:dyDescent="0.25">
      <c r="A495" s="83" t="s">
        <v>320</v>
      </c>
      <c r="B495" s="84" t="s">
        <v>317</v>
      </c>
      <c r="C495" s="50">
        <v>0</v>
      </c>
      <c r="D495" s="50">
        <v>0</v>
      </c>
      <c r="E495" s="85">
        <v>0</v>
      </c>
      <c r="F495" s="50">
        <v>0</v>
      </c>
      <c r="G495" s="50">
        <v>0</v>
      </c>
      <c r="H495" s="50">
        <v>0</v>
      </c>
      <c r="I495" s="50">
        <v>0</v>
      </c>
      <c r="J495" s="50">
        <v>0</v>
      </c>
      <c r="K495" s="50">
        <v>0</v>
      </c>
      <c r="L495" s="50">
        <v>0</v>
      </c>
      <c r="M495" s="50">
        <v>0</v>
      </c>
      <c r="N495" s="50">
        <v>0</v>
      </c>
      <c r="O495" s="50">
        <v>0</v>
      </c>
      <c r="P495" s="50">
        <v>0</v>
      </c>
      <c r="Q495" s="50">
        <v>0</v>
      </c>
      <c r="R495" s="50">
        <v>0</v>
      </c>
    </row>
    <row r="496" spans="1:18" s="43" customFormat="1" x14ac:dyDescent="0.25">
      <c r="A496" s="86" t="s">
        <v>321</v>
      </c>
      <c r="B496" s="84" t="s">
        <v>317</v>
      </c>
      <c r="C496" s="50"/>
      <c r="D496" s="50"/>
      <c r="E496" s="85">
        <v>6360</v>
      </c>
      <c r="F496" s="50"/>
      <c r="G496" s="50"/>
      <c r="H496" s="50"/>
      <c r="I496" s="50"/>
      <c r="J496" s="50"/>
      <c r="K496" s="50"/>
      <c r="L496" s="50"/>
      <c r="M496" s="50"/>
      <c r="N496" s="50"/>
      <c r="O496" s="50"/>
      <c r="P496" s="50"/>
      <c r="Q496" s="50"/>
      <c r="R496" s="50"/>
    </row>
    <row r="497" spans="1:18" s="43" customFormat="1" x14ac:dyDescent="0.25">
      <c r="A497" s="87" t="s">
        <v>322</v>
      </c>
      <c r="B497" s="88" t="s">
        <v>323</v>
      </c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89">
        <v>25000</v>
      </c>
      <c r="Q497" s="50"/>
      <c r="R497" s="50"/>
    </row>
    <row r="498" spans="1:18" s="43" customFormat="1" x14ac:dyDescent="0.25">
      <c r="A498" s="87" t="s">
        <v>324</v>
      </c>
      <c r="B498" s="88" t="s">
        <v>323</v>
      </c>
      <c r="C498" s="50"/>
      <c r="D498" s="50"/>
      <c r="E498" s="50"/>
      <c r="F498" s="50"/>
      <c r="G498" s="50"/>
      <c r="H498" s="50"/>
      <c r="I498" s="50"/>
      <c r="J498" s="50"/>
      <c r="K498" s="89">
        <v>20000</v>
      </c>
      <c r="L498" s="50"/>
      <c r="M498" s="50"/>
      <c r="N498" s="50"/>
      <c r="O498" s="50"/>
      <c r="P498" s="89">
        <v>25000</v>
      </c>
      <c r="Q498" s="50"/>
      <c r="R498" s="50"/>
    </row>
    <row r="499" spans="1:18" x14ac:dyDescent="0.25">
      <c r="A499" s="41" t="s">
        <v>325</v>
      </c>
      <c r="B499" s="44"/>
      <c r="C499" s="67"/>
      <c r="D499" s="67"/>
      <c r="E499" s="67"/>
      <c r="F499" s="67"/>
      <c r="G499" s="67"/>
      <c r="H499" s="67"/>
      <c r="I499" s="67"/>
      <c r="J499" s="67"/>
      <c r="K499" s="67"/>
      <c r="L499" s="67"/>
      <c r="M499" s="67"/>
      <c r="N499" s="67"/>
      <c r="O499" s="67"/>
      <c r="P499" s="67"/>
      <c r="Q499" s="67"/>
      <c r="R499" s="67"/>
    </row>
    <row r="500" spans="1:18" x14ac:dyDescent="0.25">
      <c r="A500" s="83" t="s">
        <v>319</v>
      </c>
      <c r="B500" s="84" t="s">
        <v>317</v>
      </c>
      <c r="C500" s="67">
        <v>0</v>
      </c>
      <c r="D500" s="67">
        <v>0</v>
      </c>
      <c r="E500" s="67">
        <v>0</v>
      </c>
      <c r="F500" s="67">
        <v>0</v>
      </c>
      <c r="G500" s="67">
        <v>0</v>
      </c>
      <c r="H500" s="67">
        <v>0</v>
      </c>
      <c r="I500" s="67">
        <v>0</v>
      </c>
      <c r="J500" s="67">
        <v>0</v>
      </c>
      <c r="K500" s="67">
        <v>0</v>
      </c>
      <c r="L500" s="67">
        <v>0</v>
      </c>
      <c r="M500" s="67">
        <v>0</v>
      </c>
      <c r="N500" s="67">
        <v>0</v>
      </c>
      <c r="O500" s="67"/>
      <c r="P500" s="67">
        <v>0</v>
      </c>
      <c r="Q500" s="67">
        <v>0</v>
      </c>
      <c r="R500" s="67">
        <v>0</v>
      </c>
    </row>
    <row r="501" spans="1:18" x14ac:dyDescent="0.25">
      <c r="A501" s="83" t="s">
        <v>326</v>
      </c>
      <c r="B501" s="84" t="s">
        <v>317</v>
      </c>
      <c r="C501" s="67">
        <v>0</v>
      </c>
      <c r="D501" s="90">
        <v>14182</v>
      </c>
      <c r="E501" s="67">
        <v>0</v>
      </c>
      <c r="F501" s="67">
        <v>0</v>
      </c>
      <c r="G501" s="67">
        <v>0</v>
      </c>
      <c r="H501" s="67">
        <v>0</v>
      </c>
      <c r="I501" s="67">
        <v>0</v>
      </c>
      <c r="J501" s="67">
        <v>0</v>
      </c>
      <c r="K501" s="67">
        <v>0</v>
      </c>
      <c r="L501" s="67">
        <v>0</v>
      </c>
      <c r="M501" s="67">
        <v>0</v>
      </c>
      <c r="N501" s="67">
        <v>0</v>
      </c>
      <c r="O501" s="67">
        <v>0</v>
      </c>
      <c r="P501" s="67">
        <v>0</v>
      </c>
      <c r="Q501" s="67">
        <v>0</v>
      </c>
      <c r="R501" s="67">
        <v>0</v>
      </c>
    </row>
    <row r="502" spans="1:18" x14ac:dyDescent="0.25">
      <c r="A502" s="91" t="s">
        <v>327</v>
      </c>
      <c r="B502" s="84" t="s">
        <v>317</v>
      </c>
      <c r="C502" s="90">
        <v>11451</v>
      </c>
      <c r="D502" s="67"/>
      <c r="E502" s="67"/>
      <c r="F502" s="67"/>
      <c r="G502" s="67"/>
      <c r="H502" s="67"/>
      <c r="I502" s="67"/>
      <c r="J502" s="67"/>
      <c r="K502" s="67"/>
      <c r="L502" s="67"/>
      <c r="M502" s="67"/>
      <c r="N502" s="67"/>
      <c r="O502" s="67"/>
      <c r="P502" s="67"/>
      <c r="Q502" s="67"/>
      <c r="R502" s="67"/>
    </row>
    <row r="503" spans="1:18" x14ac:dyDescent="0.25">
      <c r="A503" s="52" t="s">
        <v>328</v>
      </c>
      <c r="C503" s="67">
        <v>11850</v>
      </c>
      <c r="D503" s="67"/>
      <c r="E503" s="67"/>
      <c r="F503" s="67"/>
      <c r="G503" s="67"/>
      <c r="H503" s="67"/>
      <c r="I503" s="67"/>
      <c r="J503" s="67"/>
      <c r="K503" s="67"/>
      <c r="L503" s="67"/>
      <c r="M503" s="67"/>
      <c r="N503" s="67"/>
      <c r="O503" s="67"/>
      <c r="P503" s="67"/>
      <c r="Q503" s="67"/>
      <c r="R503" s="67"/>
    </row>
    <row r="504" spans="1:18" s="43" customFormat="1" x14ac:dyDescent="0.25">
      <c r="A504" s="92" t="s">
        <v>329</v>
      </c>
      <c r="B504" s="88" t="s">
        <v>330</v>
      </c>
      <c r="C504" s="67"/>
      <c r="D504" s="67"/>
      <c r="E504" s="67"/>
      <c r="F504" s="67"/>
      <c r="G504" s="67"/>
      <c r="H504" s="67"/>
      <c r="I504" s="67"/>
      <c r="J504" s="67"/>
      <c r="K504" s="67"/>
      <c r="L504" s="67"/>
      <c r="M504" s="67"/>
      <c r="N504" s="67"/>
      <c r="O504" s="67"/>
      <c r="P504" s="67">
        <v>0</v>
      </c>
      <c r="Q504" s="67">
        <v>0</v>
      </c>
      <c r="R504" s="67">
        <v>0</v>
      </c>
    </row>
    <row r="505" spans="1:18" s="43" customFormat="1" x14ac:dyDescent="0.25">
      <c r="A505" s="93" t="s">
        <v>321</v>
      </c>
      <c r="B505" s="88" t="s">
        <v>330</v>
      </c>
      <c r="C505" s="67"/>
      <c r="D505" s="67">
        <v>6050</v>
      </c>
      <c r="E505" s="67"/>
      <c r="F505" s="67"/>
      <c r="G505" s="67"/>
      <c r="H505" s="67"/>
      <c r="I505" s="67"/>
      <c r="J505" s="67"/>
      <c r="K505" s="67"/>
      <c r="L505" s="67"/>
      <c r="M505" s="67"/>
      <c r="N505" s="67"/>
      <c r="O505" s="67"/>
      <c r="P505" s="67"/>
      <c r="Q505" s="67"/>
      <c r="R505" s="67"/>
    </row>
    <row r="506" spans="1:18" s="43" customFormat="1" x14ac:dyDescent="0.25">
      <c r="A506" s="94" t="s">
        <v>331</v>
      </c>
      <c r="B506" s="42"/>
      <c r="C506" s="67"/>
      <c r="D506" s="67"/>
      <c r="E506" s="67">
        <v>1465</v>
      </c>
      <c r="F506" s="67"/>
      <c r="G506" s="67"/>
      <c r="H506" s="67"/>
      <c r="I506" s="67"/>
      <c r="J506" s="67"/>
      <c r="K506" s="67"/>
      <c r="L506" s="67"/>
      <c r="M506" s="67"/>
      <c r="N506" s="67"/>
      <c r="O506" s="67"/>
      <c r="P506" s="67"/>
      <c r="Q506" s="67"/>
      <c r="R506" s="67"/>
    </row>
    <row r="507" spans="1:18" s="43" customFormat="1" x14ac:dyDescent="0.25">
      <c r="A507" s="87" t="s">
        <v>322</v>
      </c>
      <c r="B507" s="88" t="s">
        <v>323</v>
      </c>
      <c r="C507" s="67"/>
      <c r="D507" s="67"/>
      <c r="E507" s="67"/>
      <c r="F507" s="67"/>
      <c r="G507" s="67"/>
      <c r="H507" s="67"/>
      <c r="I507" s="95">
        <v>25000</v>
      </c>
      <c r="J507" s="67"/>
      <c r="K507" s="67"/>
      <c r="L507" s="67"/>
      <c r="M507" s="67"/>
      <c r="N507" s="95">
        <v>25000</v>
      </c>
      <c r="O507" s="67"/>
      <c r="P507" s="67"/>
      <c r="Q507" s="67"/>
      <c r="R507" s="67"/>
    </row>
    <row r="508" spans="1:18" s="43" customFormat="1" x14ac:dyDescent="0.25">
      <c r="A508" s="87" t="s">
        <v>324</v>
      </c>
      <c r="B508" s="88" t="s">
        <v>323</v>
      </c>
      <c r="C508" s="67"/>
      <c r="D508" s="67"/>
      <c r="E508" s="67"/>
      <c r="F508" s="67"/>
      <c r="G508" s="67"/>
      <c r="H508" s="67"/>
      <c r="I508" s="67"/>
      <c r="J508" s="67"/>
      <c r="K508" s="95">
        <v>30000</v>
      </c>
      <c r="L508" s="67"/>
      <c r="M508" s="67"/>
      <c r="N508" s="95">
        <v>30000</v>
      </c>
      <c r="O508" s="67"/>
      <c r="P508" s="67"/>
      <c r="Q508" s="67"/>
      <c r="R508" s="95">
        <v>30000</v>
      </c>
    </row>
    <row r="509" spans="1:18" x14ac:dyDescent="0.25">
      <c r="A509" s="41" t="s">
        <v>332</v>
      </c>
      <c r="B509" s="44"/>
      <c r="C509" s="50"/>
      <c r="D509" s="50"/>
      <c r="E509" s="50"/>
      <c r="F509" s="50"/>
      <c r="G509" s="50"/>
      <c r="H509" s="50"/>
      <c r="I509" s="50"/>
      <c r="J509" s="50"/>
      <c r="K509" s="50"/>
      <c r="L509" s="50"/>
      <c r="M509" s="50"/>
      <c r="N509" s="50"/>
      <c r="O509" s="50"/>
      <c r="P509" s="50"/>
      <c r="Q509" s="50"/>
      <c r="R509" s="50"/>
    </row>
    <row r="510" spans="1:18" x14ac:dyDescent="0.25">
      <c r="A510" s="83" t="s">
        <v>333</v>
      </c>
      <c r="B510" s="84" t="s">
        <v>317</v>
      </c>
      <c r="C510" s="50">
        <v>0</v>
      </c>
      <c r="D510" s="50">
        <v>0</v>
      </c>
      <c r="E510" s="50">
        <v>0</v>
      </c>
      <c r="F510" s="85">
        <v>0</v>
      </c>
      <c r="G510" s="50">
        <v>1590</v>
      </c>
      <c r="H510" s="50">
        <v>0</v>
      </c>
      <c r="I510" s="50">
        <v>0</v>
      </c>
      <c r="J510" s="50">
        <v>0</v>
      </c>
      <c r="K510" s="50">
        <v>0</v>
      </c>
      <c r="L510" s="50">
        <v>0</v>
      </c>
      <c r="M510" s="50">
        <v>0</v>
      </c>
      <c r="N510" s="50">
        <v>0</v>
      </c>
      <c r="O510" s="50">
        <v>0</v>
      </c>
      <c r="P510" s="50">
        <v>0</v>
      </c>
      <c r="Q510" s="50">
        <v>0</v>
      </c>
      <c r="R510" s="50">
        <v>0</v>
      </c>
    </row>
    <row r="511" spans="1:18" x14ac:dyDescent="0.25">
      <c r="A511" s="83" t="s">
        <v>334</v>
      </c>
      <c r="B511" s="84" t="s">
        <v>317</v>
      </c>
      <c r="C511" s="50">
        <v>0</v>
      </c>
      <c r="D511" s="50">
        <v>0</v>
      </c>
      <c r="E511" s="85">
        <v>4500</v>
      </c>
      <c r="F511" s="50">
        <v>0</v>
      </c>
      <c r="G511" s="50">
        <v>0</v>
      </c>
      <c r="H511" s="50">
        <v>0</v>
      </c>
      <c r="I511" s="50">
        <v>0</v>
      </c>
      <c r="J511" s="50">
        <v>0</v>
      </c>
      <c r="K511" s="50">
        <v>0</v>
      </c>
      <c r="L511" s="50">
        <v>0</v>
      </c>
      <c r="M511" s="50">
        <v>0</v>
      </c>
      <c r="N511" s="50">
        <v>0</v>
      </c>
      <c r="O511" s="50">
        <v>0</v>
      </c>
      <c r="P511" s="50">
        <v>0</v>
      </c>
      <c r="Q511" s="50">
        <v>0</v>
      </c>
      <c r="R511" s="50">
        <v>0</v>
      </c>
    </row>
    <row r="512" spans="1:18" x14ac:dyDescent="0.25">
      <c r="A512" s="91" t="s">
        <v>335</v>
      </c>
      <c r="B512" s="84" t="s">
        <v>317</v>
      </c>
      <c r="C512" s="50">
        <v>0</v>
      </c>
      <c r="D512" s="50">
        <v>0</v>
      </c>
      <c r="E512" s="85">
        <v>2122</v>
      </c>
      <c r="F512" s="50">
        <v>0</v>
      </c>
      <c r="G512" s="50">
        <v>0</v>
      </c>
      <c r="H512" s="50">
        <v>0</v>
      </c>
      <c r="I512" s="50">
        <v>0</v>
      </c>
      <c r="J512" s="50">
        <v>0</v>
      </c>
      <c r="K512" s="50">
        <v>0</v>
      </c>
      <c r="L512" s="50">
        <v>0</v>
      </c>
      <c r="M512" s="50">
        <v>0</v>
      </c>
      <c r="N512" s="67"/>
      <c r="O512" s="50">
        <v>0</v>
      </c>
      <c r="P512" s="50">
        <v>0</v>
      </c>
      <c r="Q512" s="50">
        <v>0</v>
      </c>
      <c r="R512" s="50">
        <v>0</v>
      </c>
    </row>
    <row r="513" spans="1:18" s="43" customFormat="1" x14ac:dyDescent="0.25">
      <c r="A513" s="93" t="s">
        <v>336</v>
      </c>
      <c r="B513" s="88" t="s">
        <v>330</v>
      </c>
      <c r="C513" s="50"/>
      <c r="D513" s="50"/>
      <c r="E513" s="50"/>
      <c r="F513" s="50"/>
      <c r="G513" s="50"/>
      <c r="H513" s="50"/>
      <c r="I513" s="50"/>
      <c r="J513" s="50"/>
      <c r="K513" s="50"/>
      <c r="L513" s="50"/>
      <c r="M513" s="50"/>
      <c r="N513" s="50"/>
      <c r="O513" s="50"/>
      <c r="P513" s="50"/>
      <c r="Q513" s="50"/>
      <c r="R513" s="50"/>
    </row>
    <row r="514" spans="1:18" s="43" customFormat="1" x14ac:dyDescent="0.25">
      <c r="A514" s="93" t="s">
        <v>321</v>
      </c>
      <c r="B514" s="88" t="s">
        <v>330</v>
      </c>
      <c r="C514" s="50"/>
      <c r="D514" s="50"/>
      <c r="E514" s="50"/>
      <c r="F514" s="50"/>
      <c r="G514" s="50"/>
      <c r="H514" s="50"/>
      <c r="I514" s="50"/>
      <c r="J514" s="50"/>
      <c r="K514" s="50"/>
      <c r="L514" s="50"/>
      <c r="M514" s="50"/>
      <c r="N514" s="50"/>
      <c r="O514" s="50"/>
      <c r="P514" s="50"/>
      <c r="Q514" s="50"/>
      <c r="R514" s="50"/>
    </row>
    <row r="515" spans="1:18" s="43" customFormat="1" x14ac:dyDescent="0.25">
      <c r="A515" s="86" t="s">
        <v>337</v>
      </c>
      <c r="B515" s="84" t="s">
        <v>317</v>
      </c>
      <c r="C515" s="85">
        <v>4850</v>
      </c>
      <c r="D515" s="50"/>
      <c r="E515" s="50"/>
      <c r="F515" s="50"/>
      <c r="G515" s="50"/>
      <c r="H515" s="50"/>
      <c r="I515" s="50"/>
      <c r="J515" s="50"/>
      <c r="K515" s="50"/>
      <c r="L515" s="50"/>
      <c r="M515" s="50"/>
      <c r="N515" s="50"/>
      <c r="O515" s="50"/>
      <c r="P515" s="50"/>
      <c r="Q515" s="50"/>
      <c r="R515" s="50"/>
    </row>
    <row r="516" spans="1:18" s="43" customFormat="1" x14ac:dyDescent="0.25">
      <c r="A516" s="93" t="s">
        <v>338</v>
      </c>
      <c r="B516" s="88" t="s">
        <v>330</v>
      </c>
      <c r="C516" s="50"/>
      <c r="D516" s="50"/>
      <c r="E516" s="50"/>
      <c r="F516" s="50"/>
      <c r="G516" s="50"/>
      <c r="H516" s="50"/>
      <c r="I516" s="50"/>
      <c r="J516" s="50"/>
      <c r="K516" s="50"/>
      <c r="L516" s="50"/>
      <c r="M516" s="50"/>
      <c r="N516" s="67"/>
      <c r="O516" s="50"/>
      <c r="P516" s="50"/>
      <c r="Q516" s="50"/>
      <c r="R516" s="50"/>
    </row>
    <row r="517" spans="1:18" s="43" customFormat="1" x14ac:dyDescent="0.25">
      <c r="A517" s="87" t="s">
        <v>322</v>
      </c>
      <c r="B517" s="96" t="s">
        <v>323</v>
      </c>
      <c r="C517" s="50"/>
      <c r="D517" s="50"/>
      <c r="E517" s="50"/>
      <c r="F517" s="50"/>
      <c r="G517" s="50"/>
      <c r="H517" s="50"/>
      <c r="I517" s="50"/>
      <c r="J517" s="50"/>
      <c r="K517" s="50"/>
      <c r="L517" s="89">
        <v>35000</v>
      </c>
      <c r="M517" s="50"/>
      <c r="N517" s="67"/>
      <c r="O517" s="50"/>
      <c r="P517" s="50"/>
      <c r="Q517" s="50"/>
      <c r="R517" s="50"/>
    </row>
    <row r="518" spans="1:18" s="43" customFormat="1" x14ac:dyDescent="0.25">
      <c r="A518" s="87" t="s">
        <v>324</v>
      </c>
      <c r="B518" s="96" t="s">
        <v>323</v>
      </c>
      <c r="C518" s="50"/>
      <c r="D518" s="50"/>
      <c r="E518" s="50"/>
      <c r="F518" s="50"/>
      <c r="G518" s="50"/>
      <c r="H518" s="50"/>
      <c r="I518" s="50"/>
      <c r="J518" s="50"/>
      <c r="K518" s="89">
        <v>25000</v>
      </c>
      <c r="L518" s="50"/>
      <c r="M518" s="50"/>
      <c r="N518" s="67"/>
      <c r="O518" s="50"/>
      <c r="P518" s="50"/>
      <c r="Q518" s="50"/>
      <c r="R518" s="89">
        <v>25000</v>
      </c>
    </row>
    <row r="519" spans="1:18" x14ac:dyDescent="0.25">
      <c r="A519" s="41" t="s">
        <v>339</v>
      </c>
      <c r="B519" s="43"/>
      <c r="C519" s="50"/>
      <c r="D519" s="50"/>
      <c r="E519" s="50"/>
      <c r="F519" s="50"/>
      <c r="G519" s="50"/>
      <c r="H519" s="50"/>
      <c r="I519" s="50"/>
      <c r="J519" s="50"/>
      <c r="K519" s="50"/>
      <c r="L519" s="50"/>
      <c r="M519" s="50"/>
      <c r="N519" s="50"/>
      <c r="O519" s="50"/>
      <c r="P519" s="50"/>
      <c r="Q519" s="50"/>
      <c r="R519" s="50"/>
    </row>
    <row r="520" spans="1:18" x14ac:dyDescent="0.25">
      <c r="A520" s="52" t="s">
        <v>340</v>
      </c>
      <c r="B520" s="43"/>
      <c r="C520" s="50">
        <v>8000</v>
      </c>
      <c r="D520" s="50"/>
      <c r="E520" s="50"/>
      <c r="F520" s="50"/>
      <c r="G520" s="50"/>
      <c r="H520" s="50"/>
      <c r="I520" s="50"/>
      <c r="J520" s="50"/>
      <c r="K520" s="50"/>
      <c r="L520" s="50"/>
      <c r="M520" s="50"/>
      <c r="N520" s="50"/>
      <c r="O520" s="50"/>
      <c r="P520" s="50"/>
      <c r="Q520" s="50"/>
      <c r="R520" s="50"/>
    </row>
    <row r="521" spans="1:18" x14ac:dyDescent="0.25">
      <c r="A521" s="52" t="s">
        <v>341</v>
      </c>
      <c r="B521" s="43"/>
      <c r="C521" s="50">
        <v>9223</v>
      </c>
      <c r="D521" s="50"/>
      <c r="E521" s="50"/>
      <c r="F521" s="50"/>
      <c r="G521" s="50"/>
      <c r="H521" s="50"/>
      <c r="I521" s="50"/>
      <c r="J521" s="50"/>
      <c r="K521" s="50"/>
      <c r="L521" s="50"/>
      <c r="M521" s="50"/>
      <c r="N521" s="50"/>
      <c r="O521" s="50"/>
      <c r="P521" s="50"/>
      <c r="Q521" s="50"/>
      <c r="R521" s="50"/>
    </row>
    <row r="522" spans="1:18" x14ac:dyDescent="0.25">
      <c r="A522" s="52" t="s">
        <v>342</v>
      </c>
      <c r="B522" s="43"/>
      <c r="C522" s="50">
        <v>8500</v>
      </c>
      <c r="D522" s="50"/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  <c r="P522" s="50"/>
      <c r="Q522" s="50"/>
      <c r="R522" s="50"/>
    </row>
    <row r="523" spans="1:18" x14ac:dyDescent="0.25">
      <c r="A523" s="91" t="s">
        <v>343</v>
      </c>
      <c r="B523" s="84" t="s">
        <v>317</v>
      </c>
      <c r="C523" s="50">
        <v>37286</v>
      </c>
      <c r="D523" s="50"/>
      <c r="E523" s="50"/>
      <c r="F523" s="50"/>
      <c r="G523" s="50"/>
      <c r="H523" s="50"/>
      <c r="I523" s="50"/>
      <c r="J523" s="50"/>
      <c r="K523" s="50"/>
      <c r="L523" s="50"/>
      <c r="M523" s="50"/>
      <c r="N523" s="50"/>
      <c r="O523" s="50"/>
      <c r="P523" s="50"/>
      <c r="Q523" s="50"/>
      <c r="R523" s="50"/>
    </row>
    <row r="524" spans="1:18" x14ac:dyDescent="0.25">
      <c r="A524" s="91" t="s">
        <v>344</v>
      </c>
      <c r="B524" s="84" t="s">
        <v>317</v>
      </c>
      <c r="C524" s="50">
        <v>4800</v>
      </c>
      <c r="D524" s="50"/>
      <c r="E524" s="50"/>
      <c r="F524" s="50"/>
      <c r="G524" s="50"/>
      <c r="H524" s="50"/>
      <c r="I524" s="50"/>
      <c r="J524" s="50"/>
      <c r="K524" s="50"/>
      <c r="L524" s="50"/>
      <c r="M524" s="50"/>
      <c r="N524" s="50"/>
      <c r="O524" s="50"/>
      <c r="P524" s="50"/>
      <c r="Q524" s="50"/>
      <c r="R524" s="50"/>
    </row>
    <row r="525" spans="1:18" x14ac:dyDescent="0.25">
      <c r="A525" s="91" t="s">
        <v>345</v>
      </c>
      <c r="B525" s="84" t="s">
        <v>317</v>
      </c>
      <c r="C525" s="50">
        <v>33855</v>
      </c>
      <c r="D525" s="50"/>
      <c r="E525" s="50"/>
      <c r="F525" s="50"/>
      <c r="G525" s="50"/>
      <c r="H525" s="50"/>
      <c r="I525" s="50"/>
      <c r="J525" s="50"/>
      <c r="K525" s="50"/>
      <c r="L525" s="50"/>
      <c r="M525" s="50"/>
      <c r="N525" s="50"/>
      <c r="O525" s="50"/>
      <c r="P525" s="50"/>
      <c r="Q525" s="50"/>
      <c r="R525" s="50"/>
    </row>
    <row r="526" spans="1:18" x14ac:dyDescent="0.25">
      <c r="A526" s="91" t="s">
        <v>346</v>
      </c>
      <c r="B526" s="84" t="s">
        <v>317</v>
      </c>
      <c r="C526" s="50">
        <v>5044</v>
      </c>
      <c r="D526" s="50"/>
      <c r="E526" s="50"/>
      <c r="F526" s="50"/>
      <c r="G526" s="50"/>
      <c r="H526" s="50"/>
      <c r="I526" s="50"/>
      <c r="J526" s="50"/>
      <c r="K526" s="50"/>
      <c r="L526" s="50"/>
      <c r="M526" s="50"/>
      <c r="N526" s="50"/>
      <c r="O526" s="50"/>
      <c r="P526" s="50"/>
      <c r="Q526" s="50"/>
      <c r="R526" s="50"/>
    </row>
    <row r="527" spans="1:18" x14ac:dyDescent="0.25">
      <c r="A527" s="91" t="s">
        <v>347</v>
      </c>
      <c r="B527" s="84" t="s">
        <v>317</v>
      </c>
      <c r="C527" s="50"/>
      <c r="D527" s="50"/>
      <c r="E527" s="50"/>
      <c r="F527" s="85">
        <v>80156</v>
      </c>
      <c r="G527" s="50"/>
      <c r="H527" s="50"/>
      <c r="I527" s="50"/>
      <c r="J527" s="50"/>
      <c r="K527" s="50"/>
      <c r="L527" s="50"/>
      <c r="M527" s="50"/>
      <c r="N527" s="50"/>
      <c r="O527" s="50"/>
      <c r="P527" s="50"/>
      <c r="Q527" s="50"/>
      <c r="R527" s="50"/>
    </row>
    <row r="528" spans="1:18" x14ac:dyDescent="0.25">
      <c r="A528" s="91" t="s">
        <v>348</v>
      </c>
      <c r="B528" s="84" t="s">
        <v>317</v>
      </c>
      <c r="C528" s="50"/>
      <c r="D528" s="50"/>
      <c r="E528" s="50"/>
      <c r="F528" s="85">
        <v>850</v>
      </c>
      <c r="G528" s="50"/>
      <c r="H528" s="50"/>
      <c r="I528" s="50"/>
      <c r="J528" s="50"/>
      <c r="K528" s="50"/>
      <c r="L528" s="50"/>
      <c r="M528" s="50"/>
      <c r="N528" s="50"/>
      <c r="O528" s="50"/>
      <c r="P528" s="50"/>
      <c r="Q528" s="50"/>
      <c r="R528" s="50"/>
    </row>
    <row r="529" spans="1:18" x14ac:dyDescent="0.25">
      <c r="A529" s="91" t="s">
        <v>349</v>
      </c>
      <c r="B529" s="84"/>
      <c r="C529" s="91">
        <v>9448</v>
      </c>
      <c r="D529" s="50"/>
      <c r="E529" s="50"/>
      <c r="F529" s="50"/>
      <c r="G529" s="50"/>
      <c r="H529" s="50"/>
      <c r="I529" s="50"/>
      <c r="J529" s="50"/>
      <c r="K529" s="50"/>
      <c r="L529" s="50"/>
      <c r="M529" s="50"/>
      <c r="N529" s="50"/>
      <c r="O529" s="50"/>
      <c r="P529" s="50"/>
      <c r="Q529" s="50"/>
      <c r="R529" s="50"/>
    </row>
    <row r="530" spans="1:18" s="43" customFormat="1" x14ac:dyDescent="0.25">
      <c r="A530" s="97" t="s">
        <v>350</v>
      </c>
      <c r="B530" s="88" t="s">
        <v>330</v>
      </c>
      <c r="C530" s="50"/>
      <c r="D530" s="50"/>
      <c r="E530" s="50"/>
      <c r="F530" s="50"/>
      <c r="G530" s="50"/>
      <c r="H530" s="50"/>
      <c r="I530" s="50"/>
      <c r="J530" s="50"/>
      <c r="K530" s="50"/>
      <c r="L530" s="50"/>
      <c r="M530" s="50"/>
      <c r="N530" s="50"/>
      <c r="O530" s="50"/>
      <c r="P530" s="50"/>
      <c r="Q530" s="50"/>
      <c r="R530" s="50"/>
    </row>
    <row r="531" spans="1:18" s="43" customFormat="1" x14ac:dyDescent="0.25">
      <c r="A531" s="97" t="s">
        <v>351</v>
      </c>
      <c r="B531" s="88" t="s">
        <v>330</v>
      </c>
      <c r="C531" s="50"/>
      <c r="D531" s="50"/>
      <c r="E531" s="50"/>
      <c r="F531" s="50"/>
      <c r="G531" s="50"/>
      <c r="H531" s="50"/>
      <c r="I531" s="50"/>
      <c r="J531" s="50"/>
      <c r="K531" s="50"/>
      <c r="L531" s="50"/>
      <c r="M531" s="50"/>
      <c r="N531" s="50"/>
      <c r="O531" s="50"/>
      <c r="P531" s="50"/>
      <c r="Q531" s="50"/>
      <c r="R531" s="50"/>
    </row>
    <row r="532" spans="1:18" s="43" customFormat="1" x14ac:dyDescent="0.25">
      <c r="A532" s="97" t="s">
        <v>352</v>
      </c>
      <c r="B532" s="88" t="s">
        <v>330</v>
      </c>
      <c r="C532" s="50"/>
      <c r="D532" s="50"/>
      <c r="E532" s="50"/>
      <c r="F532" s="50"/>
      <c r="G532" s="50"/>
      <c r="H532" s="50"/>
      <c r="I532" s="50"/>
      <c r="J532" s="50"/>
      <c r="K532" s="50"/>
      <c r="L532" s="50"/>
      <c r="M532" s="50"/>
      <c r="N532" s="50"/>
      <c r="O532" s="50"/>
      <c r="P532" s="50"/>
      <c r="Q532" s="50"/>
      <c r="R532" s="50"/>
    </row>
    <row r="533" spans="1:18" s="43" customFormat="1" x14ac:dyDescent="0.25">
      <c r="A533" s="97" t="s">
        <v>353</v>
      </c>
      <c r="B533" s="88" t="s">
        <v>330</v>
      </c>
      <c r="C533" s="50"/>
      <c r="D533" s="50"/>
      <c r="E533" s="50"/>
      <c r="F533" s="50"/>
      <c r="G533" s="50"/>
      <c r="H533" s="50"/>
      <c r="I533" s="50"/>
      <c r="J533" s="50"/>
      <c r="K533" s="50"/>
      <c r="L533" s="50"/>
      <c r="M533" s="50"/>
      <c r="N533" s="50"/>
      <c r="O533" s="50"/>
      <c r="P533" s="50"/>
      <c r="Q533" s="50"/>
      <c r="R533" s="50"/>
    </row>
    <row r="534" spans="1:18" s="43" customFormat="1" x14ac:dyDescent="0.25">
      <c r="A534" s="97" t="s">
        <v>354</v>
      </c>
      <c r="B534" s="88" t="s">
        <v>330</v>
      </c>
      <c r="C534" s="50"/>
      <c r="D534" s="50"/>
      <c r="E534" s="50"/>
      <c r="F534" s="50"/>
      <c r="G534" s="50"/>
      <c r="H534" s="50"/>
      <c r="I534" s="50"/>
      <c r="J534" s="50"/>
      <c r="K534" s="50"/>
      <c r="L534" s="50"/>
      <c r="M534" s="50"/>
      <c r="N534" s="50"/>
      <c r="O534" s="50"/>
      <c r="P534" s="50"/>
      <c r="Q534" s="50"/>
      <c r="R534" s="50"/>
    </row>
    <row r="535" spans="1:18" s="43" customFormat="1" x14ac:dyDescent="0.25">
      <c r="A535" s="87" t="s">
        <v>322</v>
      </c>
      <c r="B535" s="96" t="s">
        <v>323</v>
      </c>
      <c r="C535" s="50"/>
      <c r="D535" s="50"/>
      <c r="E535" s="50"/>
      <c r="F535" s="50"/>
      <c r="G535" s="50"/>
      <c r="H535" s="50"/>
      <c r="I535" s="50"/>
      <c r="J535" s="50"/>
      <c r="K535" s="89">
        <v>50000</v>
      </c>
      <c r="L535" s="50"/>
      <c r="M535" s="50"/>
      <c r="N535" s="50"/>
      <c r="O535" s="50"/>
      <c r="P535" s="50"/>
      <c r="Q535" s="50"/>
      <c r="R535" s="50"/>
    </row>
    <row r="536" spans="1:18" s="43" customFormat="1" x14ac:dyDescent="0.25">
      <c r="A536" s="87" t="s">
        <v>324</v>
      </c>
      <c r="B536" s="96" t="s">
        <v>323</v>
      </c>
      <c r="C536" s="50"/>
      <c r="D536" s="50"/>
      <c r="E536" s="50"/>
      <c r="F536" s="50"/>
      <c r="G536" s="50"/>
      <c r="H536" s="50"/>
      <c r="I536" s="50"/>
      <c r="J536" s="50"/>
      <c r="K536" s="50"/>
      <c r="L536" s="50"/>
      <c r="M536" s="89">
        <v>60000</v>
      </c>
      <c r="N536" s="50"/>
      <c r="O536" s="50"/>
      <c r="P536" s="50"/>
      <c r="Q536" s="50"/>
      <c r="R536" s="89">
        <v>60000</v>
      </c>
    </row>
    <row r="537" spans="1:18" s="43" customFormat="1" x14ac:dyDescent="0.25">
      <c r="A537" s="87" t="s">
        <v>355</v>
      </c>
      <c r="B537" s="96" t="s">
        <v>323</v>
      </c>
      <c r="C537" s="50"/>
      <c r="D537" s="50"/>
      <c r="E537" s="50"/>
      <c r="F537" s="50"/>
      <c r="G537" s="50"/>
      <c r="H537" s="50"/>
      <c r="I537" s="50"/>
      <c r="J537" s="50"/>
      <c r="K537" s="50"/>
      <c r="L537" s="50"/>
      <c r="M537" s="50"/>
      <c r="N537" s="50"/>
      <c r="O537" s="89">
        <v>80000</v>
      </c>
      <c r="P537" s="50"/>
      <c r="Q537" s="50"/>
      <c r="R537" s="50"/>
    </row>
    <row r="538" spans="1:18" x14ac:dyDescent="0.25">
      <c r="A538" s="52" t="s">
        <v>356</v>
      </c>
      <c r="B538" s="53"/>
      <c r="C538" s="59">
        <v>0</v>
      </c>
      <c r="D538" s="50"/>
      <c r="E538" s="50"/>
      <c r="F538" s="50"/>
      <c r="G538" s="50"/>
      <c r="H538" s="50"/>
      <c r="I538" s="50"/>
      <c r="J538" s="50"/>
      <c r="K538" s="50"/>
      <c r="L538" s="50"/>
      <c r="M538" s="50"/>
      <c r="N538" s="50"/>
      <c r="O538" s="50"/>
      <c r="P538" s="50"/>
      <c r="Q538" s="50"/>
      <c r="R538" s="50"/>
    </row>
    <row r="539" spans="1:18" x14ac:dyDescent="0.25">
      <c r="A539" s="52"/>
      <c r="C539" s="50"/>
      <c r="D539" s="50"/>
      <c r="E539" s="50"/>
      <c r="F539" s="50"/>
      <c r="G539" s="50"/>
      <c r="H539" s="50"/>
      <c r="I539" s="50"/>
      <c r="J539" s="50"/>
      <c r="K539" s="50"/>
      <c r="L539" s="50"/>
      <c r="M539" s="50"/>
      <c r="N539" s="50"/>
      <c r="O539" s="50"/>
      <c r="P539" s="50"/>
      <c r="Q539" s="50"/>
      <c r="R539" s="50"/>
    </row>
    <row r="540" spans="1:18" x14ac:dyDescent="0.25">
      <c r="A540" s="41" t="s">
        <v>107</v>
      </c>
      <c r="B540" s="44"/>
      <c r="C540" s="51">
        <f t="shared" ref="C540:R540" si="403">SUM(C491:C539)</f>
        <v>144307</v>
      </c>
      <c r="D540" s="51">
        <f t="shared" si="403"/>
        <v>20232</v>
      </c>
      <c r="E540" s="51">
        <f>SUM(E491:E539)</f>
        <v>20164</v>
      </c>
      <c r="F540" s="51">
        <f t="shared" ref="F540:G540" si="404">SUM(F491:F539)</f>
        <v>81006</v>
      </c>
      <c r="G540" s="51">
        <f t="shared" si="404"/>
        <v>1590</v>
      </c>
      <c r="H540" s="51">
        <f t="shared" si="403"/>
        <v>0</v>
      </c>
      <c r="I540" s="51">
        <f t="shared" si="403"/>
        <v>25000</v>
      </c>
      <c r="J540" s="51">
        <f t="shared" si="403"/>
        <v>0</v>
      </c>
      <c r="K540" s="51">
        <f t="shared" si="403"/>
        <v>125000</v>
      </c>
      <c r="L540" s="51">
        <f t="shared" si="403"/>
        <v>35000</v>
      </c>
      <c r="M540" s="51">
        <f t="shared" si="403"/>
        <v>60000</v>
      </c>
      <c r="N540" s="51">
        <f t="shared" si="403"/>
        <v>55000</v>
      </c>
      <c r="O540" s="51">
        <f t="shared" si="403"/>
        <v>80000</v>
      </c>
      <c r="P540" s="51">
        <f t="shared" si="403"/>
        <v>50000</v>
      </c>
      <c r="Q540" s="51">
        <f t="shared" si="403"/>
        <v>0</v>
      </c>
      <c r="R540" s="51">
        <f t="shared" si="403"/>
        <v>115000</v>
      </c>
    </row>
    <row r="541" spans="1:18" x14ac:dyDescent="0.25">
      <c r="A541" s="41"/>
      <c r="B541" s="44"/>
      <c r="C541" s="50"/>
      <c r="D541" s="50"/>
      <c r="E541" s="50"/>
      <c r="F541" s="50"/>
      <c r="G541" s="50"/>
      <c r="H541" s="50"/>
      <c r="I541" s="50"/>
      <c r="J541" s="50"/>
      <c r="K541" s="50"/>
      <c r="L541" s="50"/>
      <c r="M541" s="50"/>
      <c r="N541" s="50"/>
      <c r="O541" s="50"/>
      <c r="P541" s="50"/>
      <c r="Q541" s="50"/>
      <c r="R541" s="50"/>
    </row>
    <row r="542" spans="1:18" x14ac:dyDescent="0.25">
      <c r="A542" s="41" t="s">
        <v>357</v>
      </c>
      <c r="B542" s="44"/>
      <c r="C542" s="51">
        <f t="shared" ref="C542:R542" si="405">-C454+C481+C540-C487</f>
        <v>259630</v>
      </c>
      <c r="D542" s="51">
        <f t="shared" si="405"/>
        <v>114632</v>
      </c>
      <c r="E542" s="51">
        <f t="shared" si="405"/>
        <v>87412.959999999992</v>
      </c>
      <c r="F542" s="51">
        <f t="shared" si="405"/>
        <v>175318</v>
      </c>
      <c r="G542" s="51">
        <f t="shared" si="405"/>
        <v>73320</v>
      </c>
      <c r="H542" s="51">
        <f t="shared" si="405"/>
        <v>150910</v>
      </c>
      <c r="I542" s="51">
        <f t="shared" si="405"/>
        <v>179788.40000000002</v>
      </c>
      <c r="J542" s="51">
        <f t="shared" si="405"/>
        <v>159012.68689999997</v>
      </c>
      <c r="K542" s="51">
        <f t="shared" si="405"/>
        <v>288560.75418809993</v>
      </c>
      <c r="L542" s="51">
        <f t="shared" si="405"/>
        <v>203293.97822331128</v>
      </c>
      <c r="M542" s="51">
        <f t="shared" si="405"/>
        <v>233024.55808378296</v>
      </c>
      <c r="N542" s="51">
        <f t="shared" si="405"/>
        <v>232783.46505879285</v>
      </c>
      <c r="O542" s="51">
        <f t="shared" si="405"/>
        <v>263046.35980841122</v>
      </c>
      <c r="P542" s="51">
        <f t="shared" si="405"/>
        <v>238597.86312780617</v>
      </c>
      <c r="Q542" s="51">
        <f t="shared" si="405"/>
        <v>194276.5886331792</v>
      </c>
      <c r="R542" s="51">
        <f t="shared" si="405"/>
        <v>312799.40933193284</v>
      </c>
    </row>
    <row r="543" spans="1:18" x14ac:dyDescent="0.25">
      <c r="A543" s="41"/>
      <c r="B543" s="44"/>
      <c r="C543" s="51"/>
      <c r="D543" s="51"/>
      <c r="E543" s="51"/>
      <c r="F543" s="51"/>
      <c r="G543" s="51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R543" s="51"/>
    </row>
    <row r="544" spans="1:18" x14ac:dyDescent="0.25">
      <c r="A544" s="41"/>
      <c r="B544" s="44"/>
      <c r="C544" s="50"/>
      <c r="D544" s="50"/>
      <c r="E544" s="50"/>
      <c r="F544" s="50"/>
      <c r="G544" s="50"/>
      <c r="H544" s="50"/>
      <c r="I544" s="50"/>
      <c r="J544" s="50"/>
      <c r="K544" s="50"/>
      <c r="L544" s="50"/>
      <c r="M544" s="50"/>
      <c r="N544" s="50"/>
      <c r="O544" s="50"/>
      <c r="P544" s="50"/>
      <c r="Q544" s="50"/>
      <c r="R544" s="50"/>
    </row>
    <row r="545" spans="1:18" x14ac:dyDescent="0.25">
      <c r="A545" s="41" t="s">
        <v>358</v>
      </c>
      <c r="B545" s="44"/>
      <c r="C545" s="50"/>
      <c r="D545" s="50"/>
      <c r="E545" s="50"/>
      <c r="F545" s="50"/>
      <c r="G545" s="50"/>
      <c r="H545" s="50"/>
      <c r="I545" s="50"/>
      <c r="J545" s="50"/>
      <c r="K545" s="50"/>
      <c r="L545" s="50"/>
      <c r="M545" s="50"/>
      <c r="N545" s="50"/>
      <c r="O545" s="50"/>
      <c r="P545" s="50"/>
      <c r="Q545" s="50"/>
      <c r="R545" s="50"/>
    </row>
    <row r="546" spans="1:18" x14ac:dyDescent="0.25"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M546" s="50"/>
      <c r="N546" s="50"/>
      <c r="O546" s="50"/>
      <c r="P546" s="50"/>
      <c r="Q546" s="50"/>
      <c r="R546" s="50"/>
    </row>
    <row r="547" spans="1:18" x14ac:dyDescent="0.25">
      <c r="A547" s="41" t="s">
        <v>202</v>
      </c>
      <c r="B547" s="44"/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M547" s="50"/>
      <c r="N547" s="50"/>
      <c r="O547" s="50"/>
      <c r="P547" s="50"/>
      <c r="Q547" s="50"/>
      <c r="R547" s="50"/>
    </row>
    <row r="548" spans="1:18" x14ac:dyDescent="0.25">
      <c r="C548" s="50"/>
      <c r="D548" s="50"/>
      <c r="E548" s="50"/>
      <c r="F548" s="50"/>
      <c r="G548" s="50"/>
      <c r="H548" s="50"/>
      <c r="I548" s="50"/>
      <c r="J548" s="50"/>
      <c r="K548" s="50"/>
      <c r="L548" s="50"/>
      <c r="M548" s="50"/>
      <c r="N548" s="50"/>
      <c r="O548" s="50"/>
      <c r="P548" s="50"/>
      <c r="Q548" s="50"/>
      <c r="R548" s="50"/>
    </row>
    <row r="549" spans="1:18" x14ac:dyDescent="0.25">
      <c r="A549" s="52" t="s">
        <v>359</v>
      </c>
      <c r="B549" s="53"/>
      <c r="C549" s="68">
        <v>1353</v>
      </c>
      <c r="D549" s="54">
        <v>1353</v>
      </c>
      <c r="E549" s="54">
        <v>1230</v>
      </c>
      <c r="F549" s="43">
        <v>1230</v>
      </c>
      <c r="G549" s="43">
        <v>1425</v>
      </c>
      <c r="H549" s="43">
        <v>1400</v>
      </c>
      <c r="I549" s="54">
        <f>H549*1.023</f>
        <v>1432.1999999999998</v>
      </c>
      <c r="J549" s="54">
        <f t="shared" ref="J549:K549" si="406">I549*1.024</f>
        <v>1466.5727999999999</v>
      </c>
      <c r="K549" s="54">
        <f t="shared" si="406"/>
        <v>1501.7705472</v>
      </c>
      <c r="L549" s="54">
        <f t="shared" ref="L549" si="407">K549*1.023</f>
        <v>1536.3112697856</v>
      </c>
      <c r="M549" s="54">
        <f t="shared" ref="M549" si="408">L549*1.022</f>
        <v>1570.1101177208832</v>
      </c>
      <c r="N549" s="54">
        <f t="shared" ref="N549" si="409">M549*1.023</f>
        <v>1606.2226504284633</v>
      </c>
      <c r="O549" s="54">
        <f t="shared" ref="O549:P549" si="410">N549*1.025</f>
        <v>1646.3782166891747</v>
      </c>
      <c r="P549" s="54">
        <f t="shared" si="410"/>
        <v>1687.537672106404</v>
      </c>
      <c r="Q549" s="54">
        <f t="shared" ref="Q549:R549" si="411">P549*1.024</f>
        <v>1728.0385762369576</v>
      </c>
      <c r="R549" s="54">
        <f t="shared" si="411"/>
        <v>1769.5115020666447</v>
      </c>
    </row>
    <row r="550" spans="1:18" x14ac:dyDescent="0.25">
      <c r="A550" s="52" t="s">
        <v>360</v>
      </c>
      <c r="B550" s="53"/>
      <c r="C550" s="59"/>
      <c r="D550" s="50">
        <v>0</v>
      </c>
      <c r="E550" s="50">
        <v>0</v>
      </c>
      <c r="F550" s="50">
        <v>0</v>
      </c>
      <c r="G550" s="50">
        <v>0</v>
      </c>
      <c r="H550" s="50">
        <v>0</v>
      </c>
      <c r="I550" s="50">
        <v>0</v>
      </c>
      <c r="J550" s="50">
        <v>0</v>
      </c>
      <c r="K550" s="50">
        <v>0</v>
      </c>
      <c r="L550" s="50">
        <v>0</v>
      </c>
      <c r="M550" s="50">
        <v>0</v>
      </c>
      <c r="N550" s="50">
        <v>0</v>
      </c>
      <c r="O550" s="50">
        <v>0</v>
      </c>
      <c r="P550" s="50">
        <v>0</v>
      </c>
      <c r="Q550" s="50">
        <v>0</v>
      </c>
      <c r="R550" s="50">
        <v>0</v>
      </c>
    </row>
    <row r="551" spans="1:18" x14ac:dyDescent="0.25">
      <c r="A551" s="52" t="s">
        <v>361</v>
      </c>
      <c r="B551" s="53"/>
      <c r="C551" s="68">
        <v>218</v>
      </c>
      <c r="D551" s="54">
        <v>64</v>
      </c>
      <c r="E551" s="54">
        <v>0</v>
      </c>
      <c r="F551" s="54">
        <v>0</v>
      </c>
      <c r="G551" s="54">
        <v>0</v>
      </c>
      <c r="H551" s="54">
        <v>0</v>
      </c>
      <c r="I551" s="54">
        <v>0</v>
      </c>
      <c r="J551" s="54">
        <v>0</v>
      </c>
      <c r="K551" s="54">
        <v>0</v>
      </c>
      <c r="L551" s="54">
        <v>0</v>
      </c>
      <c r="M551" s="54">
        <v>0</v>
      </c>
      <c r="N551" s="54">
        <v>0</v>
      </c>
      <c r="O551" s="54">
        <v>0</v>
      </c>
      <c r="P551" s="54">
        <v>0</v>
      </c>
      <c r="Q551" s="54">
        <v>0</v>
      </c>
      <c r="R551" s="54">
        <v>0</v>
      </c>
    </row>
    <row r="552" spans="1:18" x14ac:dyDescent="0.25">
      <c r="A552" s="52" t="s">
        <v>362</v>
      </c>
      <c r="B552" s="53"/>
      <c r="C552" s="50">
        <v>0</v>
      </c>
      <c r="D552" s="50">
        <v>0</v>
      </c>
      <c r="E552" s="50">
        <v>0</v>
      </c>
      <c r="F552" s="50">
        <v>0</v>
      </c>
      <c r="G552" s="50">
        <v>0</v>
      </c>
      <c r="H552" s="50">
        <v>0</v>
      </c>
      <c r="I552" s="50">
        <v>0</v>
      </c>
      <c r="J552" s="50">
        <v>0</v>
      </c>
      <c r="K552" s="50">
        <v>0</v>
      </c>
      <c r="L552" s="50">
        <v>0</v>
      </c>
      <c r="M552" s="50">
        <v>0</v>
      </c>
      <c r="N552" s="50">
        <v>0</v>
      </c>
      <c r="O552" s="50">
        <v>0</v>
      </c>
      <c r="P552" s="50">
        <v>0</v>
      </c>
      <c r="Q552" s="50">
        <v>0</v>
      </c>
      <c r="R552" s="50">
        <v>0</v>
      </c>
    </row>
    <row r="553" spans="1:18" x14ac:dyDescent="0.25">
      <c r="A553" s="52" t="s">
        <v>363</v>
      </c>
      <c r="B553" s="53"/>
      <c r="C553" s="50">
        <v>1818</v>
      </c>
      <c r="D553" s="50"/>
      <c r="E553" s="50">
        <v>1700</v>
      </c>
      <c r="F553" s="50">
        <v>1164</v>
      </c>
      <c r="G553" s="50"/>
      <c r="H553" s="50"/>
      <c r="I553" s="50"/>
      <c r="J553" s="50"/>
      <c r="K553" s="50"/>
      <c r="L553" s="50"/>
      <c r="M553" s="50"/>
      <c r="N553" s="50"/>
      <c r="O553" s="50"/>
      <c r="P553" s="50"/>
      <c r="Q553" s="50"/>
      <c r="R553" s="50"/>
    </row>
    <row r="554" spans="1:18" x14ac:dyDescent="0.25">
      <c r="A554" s="98"/>
      <c r="B554" s="53"/>
      <c r="C554" s="50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</row>
    <row r="555" spans="1:18" x14ac:dyDescent="0.25">
      <c r="A555" s="41" t="s">
        <v>216</v>
      </c>
      <c r="B555" s="44"/>
      <c r="C555" s="51">
        <f>SUM(C549:C554)</f>
        <v>3389</v>
      </c>
      <c r="D555" s="51">
        <f t="shared" ref="D555" si="412">SUM(D549:D552)</f>
        <v>1417</v>
      </c>
      <c r="E555" s="51">
        <f>SUM(E549:E553)</f>
        <v>2930</v>
      </c>
      <c r="F555" s="51">
        <f>SUM(F549:F553)</f>
        <v>2394</v>
      </c>
      <c r="G555" s="51">
        <f t="shared" ref="G555:R555" si="413">SUM(G549:G552)</f>
        <v>1425</v>
      </c>
      <c r="H555" s="51">
        <f t="shared" si="413"/>
        <v>1400</v>
      </c>
      <c r="I555" s="51">
        <f t="shared" si="413"/>
        <v>1432.1999999999998</v>
      </c>
      <c r="J555" s="51">
        <f t="shared" si="413"/>
        <v>1466.5727999999999</v>
      </c>
      <c r="K555" s="51">
        <f t="shared" si="413"/>
        <v>1501.7705472</v>
      </c>
      <c r="L555" s="51">
        <f t="shared" si="413"/>
        <v>1536.3112697856</v>
      </c>
      <c r="M555" s="51">
        <f t="shared" si="413"/>
        <v>1570.1101177208832</v>
      </c>
      <c r="N555" s="51">
        <f t="shared" si="413"/>
        <v>1606.2226504284633</v>
      </c>
      <c r="O555" s="51">
        <f t="shared" si="413"/>
        <v>1646.3782166891747</v>
      </c>
      <c r="P555" s="51">
        <f t="shared" si="413"/>
        <v>1687.537672106404</v>
      </c>
      <c r="Q555" s="51">
        <f t="shared" si="413"/>
        <v>1728.0385762369576</v>
      </c>
      <c r="R555" s="51">
        <f t="shared" si="413"/>
        <v>1769.5115020666447</v>
      </c>
    </row>
    <row r="556" spans="1:18" x14ac:dyDescent="0.25">
      <c r="C556" s="50"/>
      <c r="D556" s="50"/>
      <c r="E556" s="50"/>
      <c r="F556" s="50"/>
      <c r="G556" s="50"/>
      <c r="H556" s="50"/>
      <c r="I556" s="50"/>
      <c r="J556" s="50"/>
      <c r="K556" s="50"/>
      <c r="L556" s="50"/>
      <c r="M556" s="50"/>
      <c r="N556" s="50"/>
      <c r="O556" s="50"/>
      <c r="P556" s="50"/>
      <c r="Q556" s="50"/>
      <c r="R556" s="50"/>
    </row>
    <row r="557" spans="1:18" x14ac:dyDescent="0.25">
      <c r="A557" s="41" t="s">
        <v>165</v>
      </c>
      <c r="B557" s="44"/>
      <c r="C557" s="50"/>
      <c r="D557" s="50"/>
      <c r="E557" s="50"/>
      <c r="F557" s="50"/>
      <c r="G557" s="50"/>
      <c r="H557" s="50"/>
      <c r="I557" s="50"/>
      <c r="J557" s="50"/>
      <c r="K557" s="50"/>
      <c r="L557" s="50"/>
      <c r="M557" s="50"/>
      <c r="N557" s="50"/>
      <c r="O557" s="50"/>
      <c r="P557" s="50"/>
      <c r="Q557" s="50"/>
      <c r="R557" s="50"/>
    </row>
    <row r="558" spans="1:18" x14ac:dyDescent="0.25">
      <c r="C558" s="50"/>
      <c r="D558" s="50"/>
      <c r="E558" s="50"/>
      <c r="F558" s="50"/>
      <c r="G558" s="50"/>
      <c r="H558" s="50"/>
      <c r="I558" s="50"/>
      <c r="J558" s="50"/>
      <c r="K558" s="50"/>
      <c r="L558" s="50"/>
      <c r="M558" s="50"/>
      <c r="N558" s="50"/>
      <c r="O558" s="50"/>
      <c r="P558" s="50"/>
      <c r="Q558" s="50"/>
      <c r="R558" s="50"/>
    </row>
    <row r="559" spans="1:18" x14ac:dyDescent="0.25">
      <c r="A559" s="52" t="s">
        <v>364</v>
      </c>
      <c r="B559" s="53"/>
      <c r="C559" s="59">
        <v>4334</v>
      </c>
      <c r="D559" s="50">
        <v>2460</v>
      </c>
      <c r="E559" s="50">
        <v>2460</v>
      </c>
      <c r="F559">
        <v>2182</v>
      </c>
      <c r="G559">
        <v>2850</v>
      </c>
      <c r="H559">
        <v>3000</v>
      </c>
      <c r="I559" s="54">
        <f t="shared" ref="I559:I560" si="414">H559*1.023</f>
        <v>3068.9999999999995</v>
      </c>
      <c r="J559" s="54">
        <f t="shared" ref="J559:K560" si="415">I559*1.024</f>
        <v>3142.6559999999995</v>
      </c>
      <c r="K559" s="54">
        <f t="shared" si="415"/>
        <v>3218.0797439999997</v>
      </c>
      <c r="L559" s="54">
        <f t="shared" ref="L559:L560" si="416">K559*1.023</f>
        <v>3292.0955781119992</v>
      </c>
      <c r="M559" s="54">
        <f t="shared" ref="M559:M560" si="417">L559*1.022</f>
        <v>3364.5216808304631</v>
      </c>
      <c r="N559" s="54">
        <f t="shared" ref="N559:N560" si="418">M559*1.023</f>
        <v>3441.9056794895632</v>
      </c>
      <c r="O559" s="54">
        <f t="shared" ref="O559:P560" si="419">N559*1.025</f>
        <v>3527.9533214768021</v>
      </c>
      <c r="P559" s="54">
        <f t="shared" si="419"/>
        <v>3616.1521545137221</v>
      </c>
      <c r="Q559" s="54">
        <f t="shared" ref="Q559:R560" si="420">P559*1.024</f>
        <v>3702.9398062220516</v>
      </c>
      <c r="R559" s="54">
        <f t="shared" si="420"/>
        <v>3791.8103615713808</v>
      </c>
    </row>
    <row r="560" spans="1:18" x14ac:dyDescent="0.25">
      <c r="A560" s="52" t="s">
        <v>365</v>
      </c>
      <c r="B560" s="53"/>
      <c r="C560" s="59">
        <v>0</v>
      </c>
      <c r="D560" s="54">
        <v>209</v>
      </c>
      <c r="E560" s="54">
        <v>0</v>
      </c>
      <c r="F560" s="54">
        <v>0</v>
      </c>
      <c r="G560" s="54">
        <v>735</v>
      </c>
      <c r="H560" s="54">
        <v>800</v>
      </c>
      <c r="I560" s="54">
        <f t="shared" si="414"/>
        <v>818.4</v>
      </c>
      <c r="J560" s="54">
        <f t="shared" si="415"/>
        <v>838.04160000000002</v>
      </c>
      <c r="K560" s="54">
        <f t="shared" si="415"/>
        <v>858.15459840000005</v>
      </c>
      <c r="L560" s="54">
        <f t="shared" si="416"/>
        <v>877.89215416319996</v>
      </c>
      <c r="M560" s="54">
        <f t="shared" si="417"/>
        <v>897.20578155479041</v>
      </c>
      <c r="N560" s="54">
        <f t="shared" si="418"/>
        <v>917.84151453055051</v>
      </c>
      <c r="O560" s="54">
        <f t="shared" si="419"/>
        <v>940.78755239381417</v>
      </c>
      <c r="P560" s="54">
        <f t="shared" si="419"/>
        <v>964.30724120365949</v>
      </c>
      <c r="Q560" s="54">
        <f t="shared" si="420"/>
        <v>987.45061499254734</v>
      </c>
      <c r="R560" s="54">
        <f t="shared" si="420"/>
        <v>1011.1494297523685</v>
      </c>
    </row>
    <row r="561" spans="1:18" x14ac:dyDescent="0.25">
      <c r="A561" s="43" t="s">
        <v>366</v>
      </c>
      <c r="B561" s="53"/>
      <c r="D561" s="50">
        <v>0</v>
      </c>
      <c r="E561" s="50">
        <v>0</v>
      </c>
      <c r="F561" s="50">
        <v>0</v>
      </c>
      <c r="G561" s="50">
        <v>0</v>
      </c>
      <c r="H561" s="50">
        <v>0</v>
      </c>
      <c r="I561" s="50">
        <v>0</v>
      </c>
      <c r="J561" s="50">
        <v>0</v>
      </c>
      <c r="K561" s="50">
        <v>0</v>
      </c>
      <c r="L561" s="50">
        <v>0</v>
      </c>
      <c r="M561" s="50">
        <v>0</v>
      </c>
      <c r="N561" s="50">
        <v>0</v>
      </c>
      <c r="O561" s="50">
        <v>0</v>
      </c>
      <c r="P561" s="50">
        <v>0</v>
      </c>
      <c r="Q561" s="50">
        <v>0</v>
      </c>
      <c r="R561" s="50">
        <v>0</v>
      </c>
    </row>
    <row r="562" spans="1:18" x14ac:dyDescent="0.25">
      <c r="A562" s="52" t="s">
        <v>362</v>
      </c>
      <c r="B562" s="53"/>
      <c r="C562" s="50">
        <v>0</v>
      </c>
      <c r="D562" s="50">
        <v>0</v>
      </c>
      <c r="E562" s="50">
        <v>0</v>
      </c>
      <c r="F562" s="50">
        <v>0</v>
      </c>
      <c r="G562" s="50">
        <v>0</v>
      </c>
      <c r="H562" s="50">
        <v>0</v>
      </c>
      <c r="I562" s="50">
        <v>0</v>
      </c>
      <c r="J562" s="50">
        <v>0</v>
      </c>
      <c r="K562" s="50">
        <v>0</v>
      </c>
      <c r="L562" s="50">
        <v>0</v>
      </c>
      <c r="M562" s="50">
        <v>0</v>
      </c>
      <c r="N562" s="50">
        <v>0</v>
      </c>
      <c r="O562" s="50">
        <v>0</v>
      </c>
      <c r="P562" s="50">
        <v>0</v>
      </c>
      <c r="Q562" s="50">
        <v>0</v>
      </c>
      <c r="R562" s="50">
        <v>0</v>
      </c>
    </row>
    <row r="563" spans="1:18" x14ac:dyDescent="0.25">
      <c r="A563" s="52" t="s">
        <v>367</v>
      </c>
      <c r="B563" s="53"/>
      <c r="C563" s="50"/>
      <c r="D563" s="50"/>
      <c r="E563" s="50"/>
      <c r="F563" s="50"/>
      <c r="G563" s="50"/>
      <c r="H563" s="50"/>
      <c r="I563" s="50">
        <v>0</v>
      </c>
      <c r="J563" s="50">
        <v>0</v>
      </c>
      <c r="K563" s="50">
        <v>0</v>
      </c>
      <c r="L563" s="50">
        <v>0</v>
      </c>
      <c r="M563" s="50">
        <v>0</v>
      </c>
      <c r="N563" s="50">
        <v>0</v>
      </c>
      <c r="O563" s="50">
        <v>0</v>
      </c>
      <c r="P563" s="50">
        <v>0</v>
      </c>
      <c r="Q563" s="50">
        <v>0</v>
      </c>
      <c r="R563" s="50">
        <v>0</v>
      </c>
    </row>
    <row r="564" spans="1:18" x14ac:dyDescent="0.25">
      <c r="A564" s="52" t="s">
        <v>363</v>
      </c>
      <c r="B564" s="53"/>
      <c r="C564" s="50">
        <v>1233</v>
      </c>
      <c r="D564" s="50"/>
      <c r="E564" s="50">
        <v>840</v>
      </c>
      <c r="F564" s="50">
        <v>1164</v>
      </c>
      <c r="G564" s="50"/>
      <c r="H564" s="50"/>
      <c r="I564" s="50"/>
      <c r="J564" s="50"/>
      <c r="K564" s="50"/>
      <c r="L564" s="50"/>
      <c r="M564" s="50"/>
      <c r="N564" s="50"/>
      <c r="O564" s="50"/>
      <c r="P564" s="50"/>
      <c r="Q564" s="50"/>
      <c r="R564" s="50"/>
    </row>
    <row r="565" spans="1:18" x14ac:dyDescent="0.25">
      <c r="C565" s="50"/>
      <c r="D565" s="50"/>
      <c r="E565" s="50"/>
      <c r="F565" s="50"/>
      <c r="G565" s="50"/>
      <c r="H565" s="50"/>
      <c r="I565" s="50"/>
      <c r="J565" s="50"/>
      <c r="K565" s="50"/>
      <c r="L565" s="50"/>
      <c r="M565" s="50"/>
      <c r="N565" s="50"/>
      <c r="O565" s="50"/>
      <c r="P565" s="50"/>
      <c r="Q565" s="50"/>
      <c r="R565" s="50"/>
    </row>
    <row r="566" spans="1:18" x14ac:dyDescent="0.25">
      <c r="A566" s="41" t="s">
        <v>230</v>
      </c>
      <c r="B566" s="44"/>
      <c r="C566" s="51">
        <f t="shared" ref="C566" si="421">SUM(C559:C565)</f>
        <v>5567</v>
      </c>
      <c r="D566" s="51">
        <f t="shared" ref="D566:R566" si="422">SUM(D559:D565)</f>
        <v>2669</v>
      </c>
      <c r="E566" s="51">
        <f t="shared" si="422"/>
        <v>3300</v>
      </c>
      <c r="F566" s="51">
        <f t="shared" si="422"/>
        <v>3346</v>
      </c>
      <c r="G566" s="51">
        <f t="shared" si="422"/>
        <v>3585</v>
      </c>
      <c r="H566" s="51">
        <f t="shared" si="422"/>
        <v>3800</v>
      </c>
      <c r="I566" s="51">
        <f t="shared" si="422"/>
        <v>3887.3999999999996</v>
      </c>
      <c r="J566" s="51">
        <f t="shared" si="422"/>
        <v>3980.6975999999995</v>
      </c>
      <c r="K566" s="51">
        <f t="shared" si="422"/>
        <v>4076.2343423999996</v>
      </c>
      <c r="L566" s="51">
        <f t="shared" si="422"/>
        <v>4169.9877322751991</v>
      </c>
      <c r="M566" s="51">
        <f t="shared" si="422"/>
        <v>4261.7274623852536</v>
      </c>
      <c r="N566" s="51">
        <f t="shared" si="422"/>
        <v>4359.747194020114</v>
      </c>
      <c r="O566" s="51">
        <f t="shared" si="422"/>
        <v>4468.7408738706163</v>
      </c>
      <c r="P566" s="51">
        <f t="shared" si="422"/>
        <v>4580.459395717382</v>
      </c>
      <c r="Q566" s="51">
        <f t="shared" si="422"/>
        <v>4690.390421214599</v>
      </c>
      <c r="R566" s="51">
        <f t="shared" si="422"/>
        <v>4802.9597913237494</v>
      </c>
    </row>
    <row r="567" spans="1:18" x14ac:dyDescent="0.25">
      <c r="A567" s="41"/>
      <c r="B567" s="44"/>
      <c r="C567" s="51"/>
      <c r="D567" s="51"/>
      <c r="E567" s="51"/>
      <c r="F567" s="51"/>
      <c r="G567" s="51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R567" s="51"/>
    </row>
    <row r="568" spans="1:18" x14ac:dyDescent="0.25">
      <c r="A568" s="41" t="s">
        <v>251</v>
      </c>
      <c r="B568" s="44"/>
      <c r="C568" s="51"/>
      <c r="D568" s="51"/>
      <c r="E568" s="51"/>
      <c r="F568" s="51"/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</row>
    <row r="569" spans="1:18" x14ac:dyDescent="0.25">
      <c r="A569" s="41"/>
      <c r="B569" s="44"/>
      <c r="C569" s="51"/>
      <c r="D569" s="51"/>
      <c r="E569" s="51"/>
      <c r="F569" s="51"/>
      <c r="G569" s="51"/>
      <c r="H569" s="51"/>
      <c r="I569" s="51"/>
      <c r="J569" s="51"/>
      <c r="K569" s="51"/>
      <c r="L569" s="51"/>
      <c r="M569" s="51"/>
      <c r="N569" s="51"/>
      <c r="O569" s="51"/>
      <c r="P569" s="51"/>
      <c r="Q569" s="51"/>
      <c r="R569" s="51"/>
    </row>
    <row r="570" spans="1:18" x14ac:dyDescent="0.25">
      <c r="A570" s="43" t="s">
        <v>368</v>
      </c>
      <c r="C570" s="50">
        <v>0</v>
      </c>
      <c r="D570" s="54">
        <f>C570*1.025</f>
        <v>0</v>
      </c>
      <c r="E570" s="54">
        <f>D570*1.025</f>
        <v>0</v>
      </c>
      <c r="F570" s="54">
        <v>0</v>
      </c>
      <c r="G570" s="54">
        <v>0</v>
      </c>
      <c r="H570" s="54">
        <v>0</v>
      </c>
      <c r="I570" s="54">
        <v>0</v>
      </c>
      <c r="J570" s="54">
        <v>0</v>
      </c>
      <c r="K570" s="54">
        <v>0</v>
      </c>
      <c r="L570" s="54">
        <v>0</v>
      </c>
      <c r="M570" s="54">
        <v>0</v>
      </c>
      <c r="N570" s="54">
        <v>0</v>
      </c>
      <c r="O570" s="54">
        <v>0</v>
      </c>
      <c r="P570" s="54">
        <v>0</v>
      </c>
      <c r="Q570" s="54">
        <f>P570*1.025</f>
        <v>0</v>
      </c>
      <c r="R570" s="54">
        <f>Q570*1.025</f>
        <v>0</v>
      </c>
    </row>
    <row r="571" spans="1:18" x14ac:dyDescent="0.25">
      <c r="C571" s="51"/>
      <c r="D571" s="51"/>
      <c r="E571" s="51"/>
      <c r="F571" s="51"/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</row>
    <row r="572" spans="1:18" x14ac:dyDescent="0.25">
      <c r="A572" s="41" t="s">
        <v>254</v>
      </c>
      <c r="B572" s="44"/>
      <c r="C572" s="51">
        <f t="shared" ref="C572" si="423">SUM(C570:C571)</f>
        <v>0</v>
      </c>
      <c r="D572" s="51">
        <f t="shared" ref="D572:E572" si="424">SUM(D570:D571)</f>
        <v>0</v>
      </c>
      <c r="E572" s="51">
        <f t="shared" si="424"/>
        <v>0</v>
      </c>
      <c r="F572" s="51">
        <v>0</v>
      </c>
      <c r="G572" s="51">
        <v>0</v>
      </c>
      <c r="H572" s="51">
        <v>0</v>
      </c>
      <c r="I572" s="51">
        <v>0</v>
      </c>
      <c r="J572" s="51">
        <v>0</v>
      </c>
      <c r="K572" s="51">
        <v>0</v>
      </c>
      <c r="L572" s="51">
        <v>0</v>
      </c>
      <c r="M572" s="51">
        <v>0</v>
      </c>
      <c r="N572" s="51">
        <v>0</v>
      </c>
      <c r="O572" s="51">
        <v>0</v>
      </c>
      <c r="P572" s="51">
        <v>0</v>
      </c>
      <c r="Q572" s="51">
        <f>SUM(Q570:Q571)</f>
        <v>0</v>
      </c>
      <c r="R572" s="51">
        <f>SUM(R570:R571)</f>
        <v>0</v>
      </c>
    </row>
    <row r="573" spans="1:18" x14ac:dyDescent="0.25">
      <c r="A573" s="41"/>
      <c r="B573" s="44"/>
      <c r="C573" s="51"/>
      <c r="D573" s="51"/>
      <c r="E573" s="51"/>
      <c r="F573" s="51"/>
      <c r="G573" s="51"/>
      <c r="H573" s="51"/>
      <c r="I573" s="51"/>
      <c r="J573" s="51"/>
      <c r="K573" s="51"/>
      <c r="L573" s="51"/>
      <c r="M573" s="51"/>
      <c r="N573" s="51"/>
      <c r="O573" s="51"/>
      <c r="P573" s="51"/>
      <c r="Q573" s="51"/>
      <c r="R573" s="51"/>
    </row>
    <row r="574" spans="1:18" x14ac:dyDescent="0.25">
      <c r="A574" s="41" t="s">
        <v>171</v>
      </c>
      <c r="B574" s="44"/>
      <c r="C574" s="51"/>
      <c r="D574" s="51"/>
      <c r="E574" s="51"/>
      <c r="F574" s="51"/>
      <c r="G574" s="51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</row>
    <row r="575" spans="1:18" x14ac:dyDescent="0.25">
      <c r="A575" s="41"/>
      <c r="B575" s="44"/>
      <c r="C575" s="51"/>
      <c r="D575" s="51"/>
      <c r="E575" s="51"/>
      <c r="F575" s="51"/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</row>
    <row r="576" spans="1:18" x14ac:dyDescent="0.25">
      <c r="A576" s="52" t="s">
        <v>369</v>
      </c>
      <c r="B576" s="53"/>
      <c r="C576" s="50">
        <v>0</v>
      </c>
      <c r="D576" s="54">
        <f>C576*1.025</f>
        <v>0</v>
      </c>
      <c r="E576" s="54">
        <f>D576*1.025</f>
        <v>0</v>
      </c>
      <c r="F576" s="54">
        <v>0</v>
      </c>
      <c r="G576" s="54">
        <v>0</v>
      </c>
      <c r="H576" s="54">
        <v>0</v>
      </c>
      <c r="I576" s="54">
        <v>0</v>
      </c>
      <c r="J576" s="54">
        <v>0</v>
      </c>
      <c r="K576" s="54">
        <v>0</v>
      </c>
      <c r="L576" s="54">
        <v>0</v>
      </c>
      <c r="M576" s="54">
        <v>0</v>
      </c>
      <c r="N576" s="54">
        <v>0</v>
      </c>
      <c r="O576" s="54">
        <v>0</v>
      </c>
      <c r="P576" s="54">
        <v>0</v>
      </c>
      <c r="Q576" s="54">
        <f>P576*1.025</f>
        <v>0</v>
      </c>
      <c r="R576" s="54">
        <f>Q576*1.025</f>
        <v>0</v>
      </c>
    </row>
    <row r="577" spans="1:18" x14ac:dyDescent="0.25">
      <c r="C577" s="51"/>
      <c r="D577" s="51"/>
      <c r="E577" s="51"/>
      <c r="F577" s="51"/>
      <c r="G577" s="51"/>
      <c r="H577" s="51"/>
      <c r="I577" s="51"/>
      <c r="J577" s="51"/>
      <c r="K577" s="51"/>
      <c r="L577" s="51"/>
      <c r="M577" s="51"/>
      <c r="N577" s="51"/>
      <c r="O577" s="51"/>
      <c r="P577" s="51"/>
      <c r="Q577" s="51"/>
      <c r="R577" s="51"/>
    </row>
    <row r="578" spans="1:18" x14ac:dyDescent="0.25">
      <c r="A578" s="41" t="s">
        <v>107</v>
      </c>
      <c r="B578" s="44"/>
      <c r="C578" s="51">
        <f t="shared" ref="C578" si="425">SUM(C576:C577)</f>
        <v>0</v>
      </c>
      <c r="D578" s="51">
        <f t="shared" ref="D578:E578" si="426">SUM(D576:D577)</f>
        <v>0</v>
      </c>
      <c r="E578" s="51">
        <f t="shared" si="426"/>
        <v>0</v>
      </c>
      <c r="F578" s="51">
        <v>0</v>
      </c>
      <c r="G578" s="51">
        <v>0</v>
      </c>
      <c r="H578" s="51">
        <v>0</v>
      </c>
      <c r="I578" s="51">
        <v>0</v>
      </c>
      <c r="J578" s="51">
        <v>0</v>
      </c>
      <c r="K578" s="51">
        <v>0</v>
      </c>
      <c r="L578" s="51">
        <v>0</v>
      </c>
      <c r="M578" s="51">
        <v>0</v>
      </c>
      <c r="N578" s="51">
        <v>0</v>
      </c>
      <c r="O578" s="51">
        <v>0</v>
      </c>
      <c r="P578" s="51">
        <v>0</v>
      </c>
      <c r="Q578" s="51">
        <f>SUM(Q576:Q577)</f>
        <v>0</v>
      </c>
      <c r="R578" s="51">
        <f>SUM(R576:R577)</f>
        <v>0</v>
      </c>
    </row>
    <row r="579" spans="1:18" x14ac:dyDescent="0.25">
      <c r="A579" s="41"/>
      <c r="B579" s="44"/>
      <c r="C579" s="51"/>
      <c r="D579" s="51"/>
      <c r="E579" s="51"/>
      <c r="F579" s="51"/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</row>
    <row r="580" spans="1:18" x14ac:dyDescent="0.25">
      <c r="A580" s="41" t="s">
        <v>370</v>
      </c>
      <c r="B580" s="44"/>
      <c r="C580" s="51">
        <f t="shared" ref="C580:R580" si="427">C578-C572+C566-C555</f>
        <v>2178</v>
      </c>
      <c r="D580" s="51">
        <f t="shared" si="427"/>
        <v>1252</v>
      </c>
      <c r="E580" s="51">
        <f t="shared" si="427"/>
        <v>370</v>
      </c>
      <c r="F580" s="51">
        <f t="shared" si="427"/>
        <v>952</v>
      </c>
      <c r="G580" s="51">
        <f t="shared" si="427"/>
        <v>2160</v>
      </c>
      <c r="H580" s="51">
        <f t="shared" si="427"/>
        <v>2400</v>
      </c>
      <c r="I580" s="51">
        <f t="shared" si="427"/>
        <v>2455.1999999999998</v>
      </c>
      <c r="J580" s="51">
        <f t="shared" si="427"/>
        <v>2514.1247999999996</v>
      </c>
      <c r="K580" s="51">
        <f t="shared" si="427"/>
        <v>2574.4637951999994</v>
      </c>
      <c r="L580" s="51">
        <f t="shared" si="427"/>
        <v>2633.6764624895991</v>
      </c>
      <c r="M580" s="51">
        <f t="shared" si="427"/>
        <v>2691.6173446643706</v>
      </c>
      <c r="N580" s="51">
        <f t="shared" si="427"/>
        <v>2753.5245435916504</v>
      </c>
      <c r="O580" s="51">
        <f t="shared" si="427"/>
        <v>2822.3626571814416</v>
      </c>
      <c r="P580" s="51">
        <f t="shared" si="427"/>
        <v>2892.921723610978</v>
      </c>
      <c r="Q580" s="51">
        <f t="shared" si="427"/>
        <v>2962.3518449776411</v>
      </c>
      <c r="R580" s="51">
        <f t="shared" si="427"/>
        <v>3033.448289257105</v>
      </c>
    </row>
    <row r="581" spans="1:18" x14ac:dyDescent="0.25">
      <c r="A581" s="41"/>
      <c r="B581" s="44"/>
      <c r="C581" s="50"/>
      <c r="D581" s="50"/>
      <c r="E581" s="50"/>
      <c r="F581" s="50"/>
      <c r="G581" s="50"/>
      <c r="H581" s="50"/>
      <c r="I581" s="50"/>
      <c r="J581" s="50"/>
      <c r="K581" s="50"/>
      <c r="L581" s="50"/>
      <c r="M581" s="50"/>
      <c r="N581" s="50"/>
      <c r="O581" s="50"/>
      <c r="P581" s="50"/>
      <c r="Q581" s="50"/>
      <c r="R581" s="50"/>
    </row>
    <row r="582" spans="1:18" x14ac:dyDescent="0.25">
      <c r="C582" s="50"/>
      <c r="D582" s="50"/>
      <c r="E582" s="50"/>
      <c r="F582" s="50"/>
      <c r="G582" s="50"/>
      <c r="H582" s="50"/>
      <c r="I582" s="50"/>
      <c r="J582" s="50"/>
      <c r="K582" s="50"/>
      <c r="L582" s="50"/>
      <c r="M582" s="50"/>
      <c r="N582" s="50"/>
      <c r="O582" s="50"/>
      <c r="P582" s="50"/>
      <c r="Q582" s="50"/>
      <c r="R582" s="50"/>
    </row>
    <row r="583" spans="1:18" x14ac:dyDescent="0.25">
      <c r="A583" s="41" t="s">
        <v>371</v>
      </c>
      <c r="B583" s="44"/>
      <c r="C583" s="50"/>
      <c r="D583" s="50"/>
      <c r="E583" s="50"/>
      <c r="F583" s="50"/>
      <c r="G583" s="50"/>
      <c r="H583" s="50"/>
      <c r="I583" s="50"/>
      <c r="J583" s="50"/>
      <c r="K583" s="50"/>
      <c r="L583" s="50"/>
      <c r="M583" s="50"/>
      <c r="N583" s="50"/>
      <c r="O583" s="50"/>
      <c r="P583" s="50"/>
      <c r="Q583" s="50"/>
      <c r="R583" s="50"/>
    </row>
    <row r="584" spans="1:18" x14ac:dyDescent="0.25">
      <c r="C584" s="50"/>
      <c r="D584" s="50"/>
      <c r="E584" s="50"/>
      <c r="F584" s="50"/>
      <c r="G584" s="50"/>
      <c r="H584" s="50"/>
      <c r="I584" s="50"/>
      <c r="J584" s="50"/>
      <c r="K584" s="50"/>
      <c r="L584" s="50"/>
      <c r="M584" s="50"/>
      <c r="N584" s="50"/>
      <c r="O584" s="50"/>
      <c r="P584" s="50"/>
      <c r="Q584" s="50"/>
      <c r="R584" s="50"/>
    </row>
    <row r="585" spans="1:18" x14ac:dyDescent="0.25">
      <c r="A585" s="41" t="s">
        <v>202</v>
      </c>
      <c r="B585" s="44"/>
      <c r="C585" s="50"/>
      <c r="D585" s="50"/>
      <c r="E585" s="50"/>
      <c r="F585" s="50"/>
      <c r="G585" s="50"/>
      <c r="H585" s="50"/>
      <c r="I585" s="50"/>
      <c r="J585" s="50"/>
      <c r="K585" s="50"/>
      <c r="L585" s="50"/>
      <c r="M585" s="50"/>
      <c r="N585" s="50"/>
      <c r="O585" s="50"/>
      <c r="P585" s="50"/>
      <c r="Q585" s="50"/>
      <c r="R585" s="50"/>
    </row>
    <row r="586" spans="1:18" x14ac:dyDescent="0.25">
      <c r="C586" s="50"/>
      <c r="D586" s="50"/>
      <c r="E586" s="50"/>
      <c r="F586" s="50"/>
      <c r="G586" s="50"/>
      <c r="H586" s="50"/>
      <c r="I586" s="50"/>
      <c r="J586" s="50"/>
      <c r="K586" s="50"/>
      <c r="L586" s="50"/>
      <c r="M586" s="50"/>
      <c r="N586" s="50"/>
      <c r="O586" s="50"/>
      <c r="P586" s="50"/>
      <c r="Q586" s="50"/>
      <c r="R586" s="50"/>
    </row>
    <row r="587" spans="1:18" x14ac:dyDescent="0.25">
      <c r="A587" s="43" t="s">
        <v>372</v>
      </c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  <c r="P587" s="50"/>
      <c r="Q587" s="50"/>
      <c r="R587" s="50"/>
    </row>
    <row r="588" spans="1:18" x14ac:dyDescent="0.25">
      <c r="A588" s="52" t="s">
        <v>373</v>
      </c>
      <c r="B588" s="53"/>
      <c r="C588" s="59">
        <v>38027</v>
      </c>
      <c r="D588" s="54">
        <v>38838</v>
      </c>
      <c r="E588" s="43">
        <v>39630</v>
      </c>
      <c r="F588" s="50">
        <v>80663</v>
      </c>
      <c r="G588" s="50">
        <v>82099</v>
      </c>
      <c r="H588" s="50">
        <v>84100</v>
      </c>
      <c r="I588" s="54">
        <f>H588*1.023</f>
        <v>86034.299999999988</v>
      </c>
      <c r="J588" s="54">
        <f t="shared" ref="J588:K589" si="428">I588*1.024</f>
        <v>88099.123199999987</v>
      </c>
      <c r="K588" s="54">
        <f t="shared" si="428"/>
        <v>90213.502156799994</v>
      </c>
      <c r="L588" s="54">
        <f t="shared" ref="L588:L589" si="429">K588*1.023</f>
        <v>92288.41270640638</v>
      </c>
      <c r="M588" s="54">
        <f t="shared" ref="M588:M589" si="430">L588*1.022</f>
        <v>94318.757785947324</v>
      </c>
      <c r="N588" s="54">
        <f t="shared" ref="N588:N589" si="431">M588*1.023</f>
        <v>96488.089215024098</v>
      </c>
      <c r="O588" s="54">
        <f t="shared" ref="O588:P589" si="432">N588*1.025</f>
        <v>98900.291445399693</v>
      </c>
      <c r="P588" s="54">
        <f t="shared" si="432"/>
        <v>101372.79873153467</v>
      </c>
      <c r="Q588" s="54">
        <f t="shared" ref="Q588:R589" si="433">P588*1.024</f>
        <v>103805.7459010915</v>
      </c>
      <c r="R588" s="54">
        <f t="shared" si="433"/>
        <v>106297.08380271771</v>
      </c>
    </row>
    <row r="589" spans="1:18" x14ac:dyDescent="0.25">
      <c r="A589" s="43" t="s">
        <v>374</v>
      </c>
      <c r="B589" s="53"/>
      <c r="C589" s="59">
        <v>809</v>
      </c>
      <c r="D589" s="54">
        <v>6320</v>
      </c>
      <c r="E589" s="43">
        <v>3219</v>
      </c>
      <c r="F589" s="50">
        <v>3227</v>
      </c>
      <c r="G589" s="50">
        <v>3676</v>
      </c>
      <c r="H589" s="50">
        <v>3800</v>
      </c>
      <c r="I589" s="54">
        <f>H589*1.023</f>
        <v>3887.3999999999996</v>
      </c>
      <c r="J589" s="54">
        <f t="shared" si="428"/>
        <v>3980.6975999999995</v>
      </c>
      <c r="K589" s="54">
        <f t="shared" si="428"/>
        <v>4076.2343423999996</v>
      </c>
      <c r="L589" s="54">
        <f t="shared" si="429"/>
        <v>4169.9877322751991</v>
      </c>
      <c r="M589" s="54">
        <f t="shared" si="430"/>
        <v>4261.7274623852536</v>
      </c>
      <c r="N589" s="54">
        <f t="shared" si="431"/>
        <v>4359.747194020114</v>
      </c>
      <c r="O589" s="54">
        <f t="shared" si="432"/>
        <v>4468.7408738706163</v>
      </c>
      <c r="P589" s="54">
        <f t="shared" si="432"/>
        <v>4580.4593957173811</v>
      </c>
      <c r="Q589" s="54">
        <f t="shared" si="433"/>
        <v>4690.3904212145981</v>
      </c>
      <c r="R589" s="54">
        <f t="shared" si="433"/>
        <v>4802.9597913237485</v>
      </c>
    </row>
    <row r="590" spans="1:18" x14ac:dyDescent="0.25">
      <c r="A590" s="43" t="s">
        <v>375</v>
      </c>
      <c r="C590" s="59"/>
      <c r="D590" s="50"/>
      <c r="F590" s="50"/>
      <c r="G590" s="50">
        <v>0</v>
      </c>
      <c r="H590" s="50"/>
      <c r="I590" s="50"/>
      <c r="J590" s="50"/>
      <c r="K590" s="50"/>
      <c r="L590" s="50"/>
      <c r="M590" s="50"/>
      <c r="N590" s="50"/>
      <c r="O590" s="50"/>
      <c r="P590" s="50"/>
      <c r="Q590" s="50"/>
      <c r="R590" s="50"/>
    </row>
    <row r="591" spans="1:18" x14ac:dyDescent="0.25">
      <c r="A591" s="52" t="s">
        <v>376</v>
      </c>
      <c r="B591" s="53"/>
      <c r="C591" s="59">
        <v>718</v>
      </c>
      <c r="D591" s="43">
        <v>668</v>
      </c>
      <c r="E591" s="43">
        <f>515+46</f>
        <v>561</v>
      </c>
      <c r="F591" s="43">
        <v>517</v>
      </c>
      <c r="G591" s="43">
        <v>455</v>
      </c>
      <c r="H591" s="43">
        <v>480</v>
      </c>
      <c r="I591" s="54">
        <v>500</v>
      </c>
      <c r="J591" s="54">
        <v>600</v>
      </c>
      <c r="K591" s="54">
        <v>620</v>
      </c>
      <c r="L591" s="54">
        <v>580</v>
      </c>
      <c r="M591" s="54">
        <v>540</v>
      </c>
      <c r="N591" s="54">
        <v>620</v>
      </c>
      <c r="O591" s="54">
        <v>700.00000000000011</v>
      </c>
      <c r="P591" s="54">
        <v>720</v>
      </c>
      <c r="Q591" s="54">
        <v>680</v>
      </c>
      <c r="R591" s="54">
        <v>680</v>
      </c>
    </row>
    <row r="592" spans="1:18" x14ac:dyDescent="0.25">
      <c r="A592" s="43" t="s">
        <v>377</v>
      </c>
      <c r="C592" s="59"/>
      <c r="D592" s="50"/>
      <c r="F592" s="50"/>
      <c r="G592" s="50"/>
      <c r="H592" s="50"/>
      <c r="I592" s="50"/>
      <c r="J592" s="50"/>
      <c r="K592" s="50"/>
      <c r="L592" s="50"/>
      <c r="M592" s="50"/>
      <c r="N592" s="50"/>
      <c r="O592" s="50"/>
      <c r="P592" s="50"/>
      <c r="Q592" s="50"/>
      <c r="R592" s="50"/>
    </row>
    <row r="593" spans="1:18" x14ac:dyDescent="0.25">
      <c r="A593" s="52" t="s">
        <v>378</v>
      </c>
      <c r="B593" s="53"/>
      <c r="C593" s="59">
        <v>5251</v>
      </c>
      <c r="D593" s="54">
        <v>5399</v>
      </c>
      <c r="E593" s="43">
        <v>2743</v>
      </c>
      <c r="F593" s="54">
        <v>12164</v>
      </c>
      <c r="G593" s="54">
        <v>8297</v>
      </c>
      <c r="H593" s="54">
        <v>8400</v>
      </c>
      <c r="I593" s="54">
        <f t="shared" ref="I593:I597" si="434">H593*1.023</f>
        <v>8593.1999999999989</v>
      </c>
      <c r="J593" s="54">
        <f t="shared" ref="J593:K594" si="435">I593*1.024</f>
        <v>8799.4367999999995</v>
      </c>
      <c r="K593" s="54">
        <f t="shared" si="435"/>
        <v>9010.6232832000005</v>
      </c>
      <c r="L593" s="54">
        <f t="shared" ref="L593:L594" si="436">K593*1.023</f>
        <v>9217.8676187135989</v>
      </c>
      <c r="M593" s="54">
        <f t="shared" ref="M593:M594" si="437">L593*1.022</f>
        <v>9420.6607063252977</v>
      </c>
      <c r="N593" s="54">
        <f t="shared" ref="N593:N594" si="438">M593*1.023</f>
        <v>9637.3359025707796</v>
      </c>
      <c r="O593" s="54">
        <f t="shared" ref="O593:P594" si="439">N593*1.025</f>
        <v>9878.269300135049</v>
      </c>
      <c r="P593" s="54">
        <f t="shared" si="439"/>
        <v>10125.226032638424</v>
      </c>
      <c r="Q593" s="54">
        <f t="shared" ref="Q593:R594" si="440">P593*1.024</f>
        <v>10368.231457421747</v>
      </c>
      <c r="R593" s="54">
        <f t="shared" si="440"/>
        <v>10617.069012399868</v>
      </c>
    </row>
    <row r="594" spans="1:18" x14ac:dyDescent="0.25">
      <c r="A594" s="52" t="s">
        <v>379</v>
      </c>
      <c r="B594" s="53"/>
      <c r="C594" s="59">
        <v>6960</v>
      </c>
      <c r="D594" s="54">
        <v>7109</v>
      </c>
      <c r="E594" s="43">
        <v>7166</v>
      </c>
      <c r="F594" s="54">
        <v>7190</v>
      </c>
      <c r="G594" s="54">
        <v>7250</v>
      </c>
      <c r="H594" s="54">
        <v>7400</v>
      </c>
      <c r="I594" s="54">
        <f t="shared" si="434"/>
        <v>7570.1999999999989</v>
      </c>
      <c r="J594" s="54">
        <f t="shared" si="435"/>
        <v>7751.8847999999989</v>
      </c>
      <c r="K594" s="54">
        <f t="shared" si="435"/>
        <v>7937.9300351999991</v>
      </c>
      <c r="L594" s="54">
        <f t="shared" si="436"/>
        <v>8120.5024260095988</v>
      </c>
      <c r="M594" s="54">
        <f t="shared" si="437"/>
        <v>8299.15347938181</v>
      </c>
      <c r="N594" s="54">
        <f t="shared" si="438"/>
        <v>8490.0340094075909</v>
      </c>
      <c r="O594" s="54">
        <f t="shared" si="439"/>
        <v>8702.2848596427793</v>
      </c>
      <c r="P594" s="54">
        <f t="shared" si="439"/>
        <v>8919.8419811338481</v>
      </c>
      <c r="Q594" s="54">
        <f t="shared" si="440"/>
        <v>9133.9181886810602</v>
      </c>
      <c r="R594" s="54">
        <f t="shared" si="440"/>
        <v>9353.1322252094051</v>
      </c>
    </row>
    <row r="595" spans="1:18" x14ac:dyDescent="0.25">
      <c r="A595" s="43" t="s">
        <v>380</v>
      </c>
      <c r="C595" s="59"/>
      <c r="D595" s="50"/>
      <c r="F595" s="50"/>
      <c r="G595" s="50"/>
      <c r="H595" s="50"/>
      <c r="I595" s="50"/>
      <c r="J595" s="50"/>
      <c r="K595" s="50"/>
      <c r="L595" s="50"/>
      <c r="M595" s="50"/>
      <c r="N595" s="50"/>
      <c r="O595" s="50"/>
      <c r="P595" s="50"/>
      <c r="Q595" s="50"/>
      <c r="R595" s="50"/>
    </row>
    <row r="596" spans="1:18" x14ac:dyDescent="0.25">
      <c r="A596" s="52" t="s">
        <v>381</v>
      </c>
      <c r="B596" s="53"/>
      <c r="C596" s="59">
        <v>17136</v>
      </c>
      <c r="D596" s="54">
        <v>17530</v>
      </c>
      <c r="E596" s="43">
        <v>17951</v>
      </c>
      <c r="F596" s="54">
        <v>18274</v>
      </c>
      <c r="G596" s="54">
        <v>18548</v>
      </c>
      <c r="H596" s="50">
        <v>18700</v>
      </c>
      <c r="I596" s="54">
        <f t="shared" si="434"/>
        <v>19130.099999999999</v>
      </c>
      <c r="J596" s="54">
        <f t="shared" ref="J596:K597" si="441">I596*1.024</f>
        <v>19589.222399999999</v>
      </c>
      <c r="K596" s="54">
        <f t="shared" si="441"/>
        <v>20059.363737600001</v>
      </c>
      <c r="L596" s="54">
        <f t="shared" ref="L596:L597" si="442">K596*1.023</f>
        <v>20520.729103564798</v>
      </c>
      <c r="M596" s="54">
        <f t="shared" ref="M596:M597" si="443">L596*1.022</f>
        <v>20972.185143843224</v>
      </c>
      <c r="N596" s="54">
        <f t="shared" ref="N596:N597" si="444">M596*1.023</f>
        <v>21454.545402151616</v>
      </c>
      <c r="O596" s="54">
        <f t="shared" ref="O596:P597" si="445">N596*1.025</f>
        <v>21990.909037205405</v>
      </c>
      <c r="P596" s="54">
        <f t="shared" si="445"/>
        <v>22540.681763135537</v>
      </c>
      <c r="Q596" s="54">
        <f t="shared" ref="Q596:R597" si="446">P596*1.024</f>
        <v>23081.658125450791</v>
      </c>
      <c r="R596" s="54">
        <f t="shared" si="446"/>
        <v>23635.617920461609</v>
      </c>
    </row>
    <row r="597" spans="1:18" x14ac:dyDescent="0.25">
      <c r="A597" s="52" t="s">
        <v>382</v>
      </c>
      <c r="B597" s="53"/>
      <c r="C597" s="59">
        <v>2916</v>
      </c>
      <c r="D597" s="50">
        <v>3352</v>
      </c>
      <c r="E597" s="43">
        <v>3376</v>
      </c>
      <c r="F597" s="50">
        <v>2715</v>
      </c>
      <c r="G597" s="50">
        <v>836</v>
      </c>
      <c r="H597" s="50">
        <v>1000</v>
      </c>
      <c r="I597" s="54">
        <f t="shared" si="434"/>
        <v>1022.9999999999999</v>
      </c>
      <c r="J597" s="54">
        <f t="shared" si="441"/>
        <v>1047.5519999999999</v>
      </c>
      <c r="K597" s="54">
        <f t="shared" si="441"/>
        <v>1072.693248</v>
      </c>
      <c r="L597" s="54">
        <f t="shared" si="442"/>
        <v>1097.365192704</v>
      </c>
      <c r="M597" s="54">
        <f t="shared" si="443"/>
        <v>1121.5072269434881</v>
      </c>
      <c r="N597" s="54">
        <f t="shared" si="444"/>
        <v>1147.3018931631882</v>
      </c>
      <c r="O597" s="54">
        <f t="shared" si="445"/>
        <v>1175.9844404922678</v>
      </c>
      <c r="P597" s="54">
        <f t="shared" si="445"/>
        <v>1205.3840515045745</v>
      </c>
      <c r="Q597" s="54">
        <f t="shared" si="446"/>
        <v>1234.3132687406842</v>
      </c>
      <c r="R597" s="54">
        <f t="shared" si="446"/>
        <v>1263.9367871904606</v>
      </c>
    </row>
    <row r="598" spans="1:18" x14ac:dyDescent="0.25">
      <c r="C598" s="50"/>
      <c r="D598" s="50"/>
      <c r="E598" s="50"/>
      <c r="F598" s="50"/>
      <c r="G598" s="50"/>
      <c r="H598" s="50"/>
      <c r="I598" s="50"/>
      <c r="J598" s="50"/>
      <c r="K598" s="50"/>
      <c r="L598" s="50"/>
      <c r="M598" s="50"/>
      <c r="N598" s="50"/>
      <c r="O598" s="50"/>
      <c r="P598" s="50"/>
      <c r="Q598" s="50"/>
      <c r="R598" s="50"/>
    </row>
    <row r="599" spans="1:18" x14ac:dyDescent="0.25">
      <c r="A599" s="41" t="s">
        <v>216</v>
      </c>
      <c r="B599" s="44"/>
      <c r="C599" s="51">
        <f>SUM(C588:C598)</f>
        <v>71817</v>
      </c>
      <c r="D599" s="51">
        <f t="shared" ref="D599:R599" si="447">SUM(D588:D598)</f>
        <v>79216</v>
      </c>
      <c r="E599" s="51">
        <f t="shared" si="447"/>
        <v>74646</v>
      </c>
      <c r="F599" s="51">
        <f t="shared" si="447"/>
        <v>124750</v>
      </c>
      <c r="G599" s="51">
        <f t="shared" si="447"/>
        <v>121161</v>
      </c>
      <c r="H599" s="51">
        <f t="shared" si="447"/>
        <v>123880</v>
      </c>
      <c r="I599" s="51">
        <f t="shared" si="447"/>
        <v>126738.19999999998</v>
      </c>
      <c r="J599" s="51">
        <f t="shared" si="447"/>
        <v>129867.91679999998</v>
      </c>
      <c r="K599" s="51">
        <f t="shared" si="447"/>
        <v>132990.34680319999</v>
      </c>
      <c r="L599" s="51">
        <f t="shared" si="447"/>
        <v>135994.86477967357</v>
      </c>
      <c r="M599" s="51">
        <f t="shared" si="447"/>
        <v>138933.99180482639</v>
      </c>
      <c r="N599" s="51">
        <f t="shared" si="447"/>
        <v>142197.05361633739</v>
      </c>
      <c r="O599" s="51">
        <f t="shared" si="447"/>
        <v>145816.47995674581</v>
      </c>
      <c r="P599" s="51">
        <f t="shared" si="447"/>
        <v>149464.39195566444</v>
      </c>
      <c r="Q599" s="51">
        <f t="shared" si="447"/>
        <v>152994.25736260039</v>
      </c>
      <c r="R599" s="51">
        <f t="shared" si="447"/>
        <v>156649.7995393028</v>
      </c>
    </row>
    <row r="600" spans="1:18" x14ac:dyDescent="0.25">
      <c r="C600" s="50"/>
      <c r="D600" s="50"/>
      <c r="E600" s="50"/>
      <c r="F600" s="50"/>
      <c r="G600" s="50"/>
      <c r="H600" s="50"/>
      <c r="I600" s="50"/>
      <c r="J600" s="50"/>
      <c r="K600" s="50"/>
      <c r="L600" s="50"/>
      <c r="M600" s="50"/>
      <c r="N600" s="50"/>
      <c r="O600" s="50"/>
      <c r="P600" s="50"/>
      <c r="Q600" s="50"/>
      <c r="R600" s="50"/>
    </row>
    <row r="601" spans="1:18" x14ac:dyDescent="0.25">
      <c r="A601" s="41" t="s">
        <v>165</v>
      </c>
      <c r="B601" s="44"/>
      <c r="C601" s="99"/>
      <c r="D601" s="50"/>
      <c r="E601" s="50"/>
      <c r="F601" s="50"/>
      <c r="G601" s="50"/>
      <c r="H601" s="50"/>
      <c r="I601" s="50"/>
      <c r="J601" s="50"/>
      <c r="K601" s="50"/>
      <c r="L601" s="50"/>
      <c r="M601" s="50"/>
      <c r="N601" s="50"/>
      <c r="O601" s="50"/>
      <c r="P601" s="50"/>
      <c r="Q601" s="50"/>
      <c r="R601" s="50"/>
    </row>
    <row r="602" spans="1:18" x14ac:dyDescent="0.25">
      <c r="C602" s="50"/>
      <c r="D602" s="50"/>
      <c r="E602" s="50"/>
      <c r="F602" s="50"/>
      <c r="G602" s="50"/>
      <c r="H602" s="50"/>
      <c r="I602" s="50"/>
      <c r="J602" s="50"/>
      <c r="K602" s="50"/>
      <c r="L602" s="50"/>
      <c r="M602" s="50"/>
      <c r="N602" s="50"/>
      <c r="O602" s="50"/>
      <c r="P602" s="50"/>
      <c r="Q602" s="50"/>
      <c r="R602" s="50"/>
    </row>
    <row r="603" spans="1:18" x14ac:dyDescent="0.25">
      <c r="A603" s="52" t="s">
        <v>372</v>
      </c>
      <c r="B603" s="53"/>
      <c r="C603" s="50"/>
      <c r="D603" s="50"/>
      <c r="E603" s="50"/>
      <c r="F603" s="50"/>
      <c r="G603" s="50"/>
      <c r="H603" s="50"/>
      <c r="I603" s="50"/>
      <c r="J603" s="50"/>
      <c r="K603" s="50"/>
      <c r="L603" s="50"/>
      <c r="M603" s="50"/>
      <c r="N603" s="50"/>
      <c r="O603" s="50"/>
      <c r="P603" s="50"/>
      <c r="Q603" s="50"/>
      <c r="R603" s="50"/>
    </row>
    <row r="604" spans="1:18" x14ac:dyDescent="0.25">
      <c r="A604" s="52" t="s">
        <v>383</v>
      </c>
      <c r="B604" s="53"/>
      <c r="C604" s="68">
        <v>5131</v>
      </c>
      <c r="D604" s="50">
        <v>8414</v>
      </c>
      <c r="E604" s="50">
        <v>6969</v>
      </c>
      <c r="F604" s="50">
        <v>13948</v>
      </c>
      <c r="G604" s="50">
        <v>9556</v>
      </c>
      <c r="H604" s="50">
        <v>11900</v>
      </c>
      <c r="I604" s="50">
        <v>12192.5</v>
      </c>
      <c r="J604" s="50">
        <v>12497.215</v>
      </c>
      <c r="K604" s="50">
        <v>12810.823504999998</v>
      </c>
      <c r="L604" s="50">
        <v>13130.950249464999</v>
      </c>
      <c r="M604" s="50">
        <v>13455.711653567778</v>
      </c>
      <c r="N604" s="50">
        <v>13789.974665336111</v>
      </c>
      <c r="O604" s="50">
        <v>14139.738956934594</v>
      </c>
      <c r="P604" s="50">
        <v>14499.886519868773</v>
      </c>
      <c r="Q604" s="50">
        <v>14866.250550773908</v>
      </c>
      <c r="R604" s="50">
        <v>15241.935290561847</v>
      </c>
    </row>
    <row r="605" spans="1:18" x14ac:dyDescent="0.25">
      <c r="A605" s="43" t="s">
        <v>303</v>
      </c>
      <c r="C605" s="77">
        <v>122</v>
      </c>
      <c r="D605" s="100">
        <v>122</v>
      </c>
      <c r="E605" s="100">
        <v>0</v>
      </c>
      <c r="F605" s="100">
        <v>0</v>
      </c>
      <c r="G605" s="100">
        <v>0</v>
      </c>
      <c r="H605" s="100">
        <v>0</v>
      </c>
      <c r="I605" s="100">
        <v>0</v>
      </c>
      <c r="J605" s="100">
        <v>0</v>
      </c>
      <c r="K605" s="100">
        <v>0</v>
      </c>
      <c r="L605" s="100">
        <v>0</v>
      </c>
      <c r="M605" s="100">
        <v>0</v>
      </c>
      <c r="N605" s="100">
        <v>0</v>
      </c>
      <c r="O605" s="100">
        <v>0</v>
      </c>
      <c r="P605" s="100">
        <v>0</v>
      </c>
      <c r="Q605" s="100">
        <v>0</v>
      </c>
      <c r="R605" s="100">
        <v>0</v>
      </c>
    </row>
    <row r="606" spans="1:18" x14ac:dyDescent="0.25">
      <c r="A606" s="59" t="s">
        <v>384</v>
      </c>
      <c r="C606" s="77"/>
      <c r="D606" s="100"/>
      <c r="E606" s="101">
        <v>269</v>
      </c>
      <c r="F606" s="101">
        <v>269</v>
      </c>
      <c r="G606" s="101">
        <v>269</v>
      </c>
      <c r="H606" s="101">
        <v>280</v>
      </c>
      <c r="I606" s="101">
        <v>290</v>
      </c>
      <c r="J606" s="101">
        <v>290</v>
      </c>
      <c r="K606" s="101">
        <v>300</v>
      </c>
      <c r="L606" s="101">
        <v>310</v>
      </c>
      <c r="M606" s="101">
        <v>310</v>
      </c>
      <c r="N606" s="101">
        <v>320</v>
      </c>
      <c r="O606" s="101">
        <v>330</v>
      </c>
      <c r="P606" s="101">
        <v>340</v>
      </c>
      <c r="Q606" s="101">
        <v>340</v>
      </c>
      <c r="R606" s="101">
        <v>340</v>
      </c>
    </row>
    <row r="607" spans="1:18" x14ac:dyDescent="0.25">
      <c r="A607" s="52" t="s">
        <v>385</v>
      </c>
      <c r="B607" s="53"/>
      <c r="C607" s="59">
        <v>5830</v>
      </c>
      <c r="D607" s="50">
        <v>8391</v>
      </c>
      <c r="E607" s="50">
        <v>9338</v>
      </c>
      <c r="F607" s="50">
        <v>20523</v>
      </c>
      <c r="G607" s="50">
        <v>10765</v>
      </c>
      <c r="H607" s="50">
        <v>16470</v>
      </c>
      <c r="I607" s="54">
        <v>16904.949999999997</v>
      </c>
      <c r="J607" s="54">
        <v>17349.432950000002</v>
      </c>
      <c r="K607" s="54">
        <v>17806.30977955</v>
      </c>
      <c r="L607" s="54">
        <v>18268.342836167139</v>
      </c>
      <c r="M607" s="54">
        <v>18735.390462529234</v>
      </c>
      <c r="N607" s="54">
        <v>19223.248402235491</v>
      </c>
      <c r="O607" s="54">
        <v>19740.998122095269</v>
      </c>
      <c r="P607" s="54">
        <v>20273.550010441759</v>
      </c>
      <c r="Q607" s="54">
        <v>20812.80881599593</v>
      </c>
      <c r="R607" s="54">
        <v>21367.39260834951</v>
      </c>
    </row>
    <row r="608" spans="1:18" x14ac:dyDescent="0.25">
      <c r="A608" s="43" t="s">
        <v>303</v>
      </c>
      <c r="C608" s="77">
        <v>16615</v>
      </c>
      <c r="D608" s="74">
        <v>16615</v>
      </c>
      <c r="E608" s="74">
        <v>16615</v>
      </c>
      <c r="F608" s="102">
        <v>16615</v>
      </c>
      <c r="G608" s="71">
        <v>16615</v>
      </c>
      <c r="H608" s="73">
        <v>17300</v>
      </c>
      <c r="I608" s="73">
        <v>17670</v>
      </c>
      <c r="J608" s="73">
        <v>18080</v>
      </c>
      <c r="K608" s="73">
        <v>18500</v>
      </c>
      <c r="L608" s="73">
        <v>18930</v>
      </c>
      <c r="M608" s="73">
        <v>19330</v>
      </c>
      <c r="N608" s="73">
        <v>19760</v>
      </c>
      <c r="O608" s="73">
        <v>20250</v>
      </c>
      <c r="P608" s="73">
        <v>20750</v>
      </c>
      <c r="Q608" s="73">
        <v>20750</v>
      </c>
      <c r="R608" s="73">
        <v>20750</v>
      </c>
    </row>
    <row r="609" spans="1:18" x14ac:dyDescent="0.25">
      <c r="A609" s="59" t="s">
        <v>384</v>
      </c>
      <c r="C609" s="77"/>
      <c r="D609" s="81">
        <v>173</v>
      </c>
      <c r="E609" s="81">
        <v>412</v>
      </c>
      <c r="F609" s="81">
        <v>412</v>
      </c>
      <c r="G609" s="81">
        <v>412</v>
      </c>
      <c r="H609" s="81">
        <v>430</v>
      </c>
      <c r="I609" s="81">
        <v>440</v>
      </c>
      <c r="J609" s="101">
        <v>450</v>
      </c>
      <c r="K609" s="101">
        <v>460</v>
      </c>
      <c r="L609" s="101">
        <v>470</v>
      </c>
      <c r="M609" s="101">
        <v>480</v>
      </c>
      <c r="N609" s="101">
        <v>490</v>
      </c>
      <c r="O609" s="101">
        <v>500</v>
      </c>
      <c r="P609" s="101">
        <v>520</v>
      </c>
      <c r="Q609" s="101">
        <v>520</v>
      </c>
      <c r="R609" s="101">
        <v>520</v>
      </c>
    </row>
    <row r="610" spans="1:18" x14ac:dyDescent="0.25">
      <c r="A610" s="59"/>
      <c r="C610" s="77"/>
      <c r="D610" s="81"/>
      <c r="E610" s="81"/>
      <c r="F610" s="81"/>
      <c r="G610" s="81">
        <v>0</v>
      </c>
      <c r="H610" s="81"/>
      <c r="I610" s="81"/>
      <c r="J610" s="81"/>
      <c r="K610" s="101"/>
      <c r="L610" s="101"/>
      <c r="M610" s="101"/>
      <c r="N610" s="101"/>
      <c r="O610" s="101"/>
      <c r="P610" s="101"/>
      <c r="Q610" s="101"/>
      <c r="R610" s="101"/>
    </row>
    <row r="611" spans="1:18" x14ac:dyDescent="0.25">
      <c r="A611" s="43" t="s">
        <v>375</v>
      </c>
      <c r="C611" s="59"/>
      <c r="D611" s="50"/>
      <c r="E611" s="81"/>
      <c r="F611" s="81"/>
      <c r="G611" s="81">
        <v>0</v>
      </c>
      <c r="H611" s="81"/>
      <c r="I611" s="81"/>
      <c r="J611" s="81"/>
      <c r="K611" s="81"/>
      <c r="L611" s="81"/>
      <c r="M611" s="81"/>
      <c r="N611" s="81"/>
      <c r="O611" s="81"/>
      <c r="P611" s="81"/>
      <c r="Q611" s="81"/>
      <c r="R611" s="81"/>
    </row>
    <row r="612" spans="1:18" x14ac:dyDescent="0.25">
      <c r="A612" s="52" t="s">
        <v>386</v>
      </c>
      <c r="B612" s="53"/>
      <c r="C612" s="59">
        <v>15000</v>
      </c>
      <c r="D612" s="54">
        <v>15000</v>
      </c>
      <c r="E612" s="54">
        <v>15000</v>
      </c>
      <c r="F612" s="54">
        <v>15000</v>
      </c>
      <c r="G612" s="54">
        <v>15000</v>
      </c>
      <c r="H612" s="54">
        <v>15000</v>
      </c>
      <c r="I612" s="54">
        <f>H612*1.023</f>
        <v>15344.999999999998</v>
      </c>
      <c r="J612" s="54">
        <f t="shared" ref="J612:K612" si="448">I612*1.024</f>
        <v>15713.279999999999</v>
      </c>
      <c r="K612" s="54">
        <f t="shared" si="448"/>
        <v>16090.398719999999</v>
      </c>
      <c r="L612" s="54">
        <f t="shared" ref="L612" si="449">K612*1.023</f>
        <v>16460.477890559996</v>
      </c>
      <c r="M612" s="54">
        <f t="shared" ref="M612" si="450">L612*1.022</f>
        <v>16822.608404152317</v>
      </c>
      <c r="N612" s="54">
        <f t="shared" ref="N612" si="451">M612*1.023</f>
        <v>17209.528397447819</v>
      </c>
      <c r="O612" s="54">
        <f t="shared" ref="O612:P612" si="452">N612*1.025</f>
        <v>17639.766607384012</v>
      </c>
      <c r="P612" s="54">
        <f t="shared" si="452"/>
        <v>18080.76077256861</v>
      </c>
      <c r="Q612" s="54">
        <f t="shared" ref="Q612:R612" si="453">P612*1.024</f>
        <v>18514.699031110256</v>
      </c>
      <c r="R612" s="54">
        <f t="shared" si="453"/>
        <v>18959.051807856904</v>
      </c>
    </row>
    <row r="613" spans="1:18" x14ac:dyDescent="0.25">
      <c r="A613" s="43" t="s">
        <v>377</v>
      </c>
      <c r="C613" s="59"/>
      <c r="D613" s="50"/>
      <c r="E613" s="50"/>
      <c r="F613" s="50"/>
      <c r="G613" s="50"/>
      <c r="H613" s="50"/>
      <c r="I613" s="50"/>
      <c r="J613" s="50"/>
      <c r="K613" s="50"/>
      <c r="L613" s="50"/>
      <c r="M613" s="50"/>
      <c r="N613" s="50"/>
      <c r="O613" s="50"/>
      <c r="P613" s="50"/>
      <c r="Q613" s="50"/>
      <c r="R613" s="50"/>
    </row>
    <row r="614" spans="1:18" x14ac:dyDescent="0.25">
      <c r="A614" s="52" t="s">
        <v>387</v>
      </c>
      <c r="B614" s="53"/>
      <c r="C614" s="59">
        <v>3256</v>
      </c>
      <c r="D614" s="50">
        <v>2031</v>
      </c>
      <c r="E614" s="50">
        <v>5787</v>
      </c>
      <c r="F614" s="50">
        <v>4423</v>
      </c>
      <c r="G614" s="50">
        <v>2417</v>
      </c>
      <c r="H614" s="50">
        <v>5200</v>
      </c>
      <c r="I614" s="50">
        <v>5352.7999999999993</v>
      </c>
      <c r="J614" s="50">
        <v>5508.0977999999996</v>
      </c>
      <c r="K614" s="50">
        <v>5669.265007199996</v>
      </c>
      <c r="L614" s="50">
        <v>5832.3791925156002</v>
      </c>
      <c r="M614" s="50">
        <v>5996.0780671356442</v>
      </c>
      <c r="N614" s="50">
        <v>6168.5132419916554</v>
      </c>
      <c r="O614" s="50">
        <v>6356.4799552819713</v>
      </c>
      <c r="P614" s="50">
        <v>6551.7591423815538</v>
      </c>
      <c r="Q614" s="50">
        <v>6748.966693819184</v>
      </c>
      <c r="R614" s="50">
        <v>6952.8239484637561</v>
      </c>
    </row>
    <row r="615" spans="1:18" x14ac:dyDescent="0.25">
      <c r="A615" s="43" t="s">
        <v>302</v>
      </c>
      <c r="B615" s="103"/>
      <c r="C615" s="52">
        <v>0</v>
      </c>
      <c r="D615" s="50"/>
      <c r="E615" s="50"/>
      <c r="F615" s="50"/>
      <c r="G615" s="50">
        <v>0</v>
      </c>
      <c r="H615" s="50"/>
      <c r="I615" s="50"/>
      <c r="J615" s="50"/>
      <c r="K615" s="50"/>
      <c r="L615" s="50"/>
      <c r="M615" s="50"/>
      <c r="N615" s="50"/>
      <c r="O615" s="50"/>
      <c r="P615" s="50"/>
      <c r="Q615" s="50"/>
      <c r="R615" s="50"/>
    </row>
    <row r="616" spans="1:18" x14ac:dyDescent="0.25">
      <c r="A616" s="43" t="s">
        <v>388</v>
      </c>
      <c r="C616" s="74">
        <v>10872</v>
      </c>
      <c r="D616" s="74">
        <v>13069</v>
      </c>
      <c r="E616" s="72">
        <v>13069</v>
      </c>
      <c r="F616" s="74">
        <v>13069</v>
      </c>
      <c r="G616" s="73">
        <v>13069</v>
      </c>
      <c r="H616" s="73">
        <v>13610</v>
      </c>
      <c r="I616" s="73">
        <v>13900</v>
      </c>
      <c r="J616" s="73">
        <v>14220</v>
      </c>
      <c r="K616" s="73">
        <v>14560</v>
      </c>
      <c r="L616" s="73">
        <v>14890</v>
      </c>
      <c r="M616" s="73">
        <v>15200</v>
      </c>
      <c r="N616" s="73">
        <v>15540</v>
      </c>
      <c r="O616" s="73">
        <v>15930</v>
      </c>
      <c r="P616" s="73">
        <v>16330</v>
      </c>
      <c r="Q616" s="73">
        <v>16330</v>
      </c>
      <c r="R616" s="73">
        <v>16330</v>
      </c>
    </row>
    <row r="617" spans="1:18" x14ac:dyDescent="0.25">
      <c r="A617" s="52" t="s">
        <v>389</v>
      </c>
      <c r="C617" s="81">
        <v>666</v>
      </c>
      <c r="D617" s="81">
        <v>1323</v>
      </c>
      <c r="E617" s="81">
        <v>1358</v>
      </c>
      <c r="F617" s="81">
        <v>1358</v>
      </c>
      <c r="G617" s="79">
        <v>1358</v>
      </c>
      <c r="H617" s="101">
        <v>1410</v>
      </c>
      <c r="I617" s="101">
        <v>1450</v>
      </c>
      <c r="J617" s="101">
        <v>1470</v>
      </c>
      <c r="K617" s="101">
        <v>1510</v>
      </c>
      <c r="L617" s="101">
        <v>1550</v>
      </c>
      <c r="M617" s="101">
        <v>1580</v>
      </c>
      <c r="N617" s="101">
        <v>1610</v>
      </c>
      <c r="O617" s="101">
        <v>1650</v>
      </c>
      <c r="P617" s="101">
        <v>1700</v>
      </c>
      <c r="Q617" s="101">
        <v>1700</v>
      </c>
      <c r="R617" s="101">
        <v>1700</v>
      </c>
    </row>
    <row r="618" spans="1:18" x14ac:dyDescent="0.25">
      <c r="A618" s="52" t="s">
        <v>390</v>
      </c>
      <c r="B618" s="53"/>
      <c r="C618" s="59">
        <v>0</v>
      </c>
      <c r="D618" s="54">
        <v>0</v>
      </c>
      <c r="E618" s="54">
        <v>0</v>
      </c>
      <c r="F618" s="50">
        <v>0</v>
      </c>
      <c r="G618" s="50">
        <v>0</v>
      </c>
      <c r="H618" s="50">
        <f>300-300</f>
        <v>0</v>
      </c>
      <c r="I618" s="54">
        <f>H618*1.02</f>
        <v>0</v>
      </c>
      <c r="J618" s="54">
        <f t="shared" ref="J618" si="454">I618*1.021</f>
        <v>0</v>
      </c>
      <c r="K618" s="54">
        <f t="shared" ref="K618" si="455">J618*1.023</f>
        <v>0</v>
      </c>
      <c r="L618" s="54">
        <f t="shared" ref="L618" si="456">K618*1.024</f>
        <v>0</v>
      </c>
      <c r="M618" s="54">
        <f t="shared" ref="M618" si="457">L618*1.023</f>
        <v>0</v>
      </c>
      <c r="N618" s="54">
        <f t="shared" ref="N618" si="458">M618*1.021</f>
        <v>0</v>
      </c>
      <c r="O618" s="54">
        <f t="shared" ref="O618" si="459">N618*1.022</f>
        <v>0</v>
      </c>
      <c r="P618" s="54">
        <f t="shared" ref="P618:R618" si="460">O618*1.025</f>
        <v>0</v>
      </c>
      <c r="Q618" s="54">
        <f t="shared" si="460"/>
        <v>0</v>
      </c>
      <c r="R618" s="54">
        <f t="shared" si="460"/>
        <v>0</v>
      </c>
    </row>
    <row r="619" spans="1:18" x14ac:dyDescent="0.25">
      <c r="A619" s="52" t="s">
        <v>379</v>
      </c>
      <c r="B619" s="53"/>
      <c r="C619" s="59">
        <v>6379</v>
      </c>
      <c r="D619" s="50">
        <v>6447</v>
      </c>
      <c r="E619" s="50">
        <v>5259</v>
      </c>
      <c r="F619" s="54">
        <v>8140</v>
      </c>
      <c r="G619" s="50">
        <v>7728</v>
      </c>
      <c r="H619" s="54">
        <v>7080</v>
      </c>
      <c r="I619" s="50">
        <v>7287.5999999999985</v>
      </c>
      <c r="J619" s="50">
        <v>7498.7142999999996</v>
      </c>
      <c r="K619" s="50">
        <v>7718.2617857000005</v>
      </c>
      <c r="L619" s="50">
        <v>7942.9910699460997</v>
      </c>
      <c r="M619" s="50">
        <v>8170.3761715402507</v>
      </c>
      <c r="N619" s="50">
        <v>8407.0449162029763</v>
      </c>
      <c r="O619" s="50">
        <v>8661.0761155320652</v>
      </c>
      <c r="P619" s="50">
        <v>8925.5020723955531</v>
      </c>
      <c r="Q619" s="50">
        <v>9194.6933712053724</v>
      </c>
      <c r="R619" s="50">
        <v>9472.8769154541296</v>
      </c>
    </row>
    <row r="620" spans="1:18" x14ac:dyDescent="0.25">
      <c r="A620" s="43" t="s">
        <v>391</v>
      </c>
      <c r="C620" s="102">
        <v>9281</v>
      </c>
      <c r="D620" s="74">
        <v>10657</v>
      </c>
      <c r="E620" s="74">
        <v>10657</v>
      </c>
      <c r="F620" s="102">
        <v>10657</v>
      </c>
      <c r="G620" s="73">
        <v>10657</v>
      </c>
      <c r="H620" s="73">
        <v>11100</v>
      </c>
      <c r="I620" s="73">
        <v>11330</v>
      </c>
      <c r="J620" s="73">
        <v>11590</v>
      </c>
      <c r="K620" s="73">
        <v>11870</v>
      </c>
      <c r="L620" s="73">
        <v>12140</v>
      </c>
      <c r="M620" s="73">
        <v>12400</v>
      </c>
      <c r="N620" s="73">
        <v>12670</v>
      </c>
      <c r="O620" s="73">
        <v>12990</v>
      </c>
      <c r="P620" s="73">
        <v>13310</v>
      </c>
      <c r="Q620" s="73">
        <v>13310</v>
      </c>
      <c r="R620" s="73">
        <v>13310</v>
      </c>
    </row>
    <row r="621" spans="1:18" x14ac:dyDescent="0.25">
      <c r="A621" s="52" t="s">
        <v>389</v>
      </c>
      <c r="C621" s="80">
        <v>65</v>
      </c>
      <c r="D621" s="80">
        <v>65</v>
      </c>
      <c r="E621" s="81">
        <v>246</v>
      </c>
      <c r="F621" s="81">
        <v>246</v>
      </c>
      <c r="G621" s="79">
        <v>246</v>
      </c>
      <c r="H621" s="101">
        <v>260</v>
      </c>
      <c r="I621" s="101">
        <v>260</v>
      </c>
      <c r="J621" s="101">
        <v>270</v>
      </c>
      <c r="K621" s="101">
        <v>270</v>
      </c>
      <c r="L621" s="101">
        <v>280</v>
      </c>
      <c r="M621" s="101">
        <v>290</v>
      </c>
      <c r="N621" s="101">
        <v>290</v>
      </c>
      <c r="O621" s="101">
        <v>300</v>
      </c>
      <c r="P621" s="101">
        <v>310</v>
      </c>
      <c r="Q621" s="101">
        <v>310</v>
      </c>
      <c r="R621" s="101">
        <v>310</v>
      </c>
    </row>
    <row r="622" spans="1:18" x14ac:dyDescent="0.25">
      <c r="A622" s="43" t="s">
        <v>380</v>
      </c>
      <c r="C622" s="59"/>
      <c r="D622" s="50"/>
      <c r="E622" s="50"/>
      <c r="F622" s="50"/>
      <c r="G622" s="50">
        <v>0</v>
      </c>
      <c r="H622" s="50"/>
      <c r="I622" s="50"/>
      <c r="J622" s="50"/>
      <c r="K622" s="50"/>
      <c r="L622" s="50"/>
      <c r="M622" s="50"/>
      <c r="N622" s="50"/>
      <c r="O622" s="50"/>
      <c r="P622" s="50"/>
      <c r="Q622" s="50"/>
      <c r="R622" s="50"/>
    </row>
    <row r="623" spans="1:18" x14ac:dyDescent="0.25">
      <c r="A623" s="52" t="s">
        <v>392</v>
      </c>
      <c r="B623" s="53"/>
      <c r="C623" s="68">
        <v>14611</v>
      </c>
      <c r="D623" s="50">
        <v>17936</v>
      </c>
      <c r="E623" s="50">
        <v>19457</v>
      </c>
      <c r="F623">
        <v>18560</v>
      </c>
      <c r="G623" s="43">
        <v>18848</v>
      </c>
      <c r="H623" s="43">
        <v>25000</v>
      </c>
      <c r="I623" s="50">
        <v>25627.199999999993</v>
      </c>
      <c r="J623" s="50">
        <v>26300.784099999997</v>
      </c>
      <c r="K623" s="50">
        <v>27005.685035899995</v>
      </c>
      <c r="L623" s="50">
        <v>27732.025174050686</v>
      </c>
      <c r="M623" s="50">
        <v>28459.976353522346</v>
      </c>
      <c r="N623" s="50">
        <v>29205.714393663082</v>
      </c>
      <c r="O623" s="50">
        <v>30011.330832867548</v>
      </c>
      <c r="P623" s="50">
        <v>30855.208345927509</v>
      </c>
      <c r="Q623" s="50">
        <v>31710.744218453197</v>
      </c>
      <c r="R623" s="50">
        <v>32591.077195258738</v>
      </c>
    </row>
    <row r="624" spans="1:18" x14ac:dyDescent="0.25">
      <c r="A624" s="43" t="s">
        <v>302</v>
      </c>
      <c r="C624" s="69">
        <v>227</v>
      </c>
      <c r="D624" s="70">
        <v>227</v>
      </c>
      <c r="E624" s="70">
        <v>227</v>
      </c>
      <c r="F624" s="69">
        <v>344</v>
      </c>
      <c r="G624" s="104">
        <v>344</v>
      </c>
      <c r="H624" s="104">
        <v>240</v>
      </c>
      <c r="I624" s="104">
        <v>240</v>
      </c>
      <c r="J624" s="104">
        <v>250</v>
      </c>
      <c r="K624" s="104">
        <v>250</v>
      </c>
      <c r="L624" s="70">
        <v>260</v>
      </c>
      <c r="M624" s="70">
        <v>260</v>
      </c>
      <c r="N624" s="70">
        <v>270</v>
      </c>
      <c r="O624" s="70">
        <v>280</v>
      </c>
      <c r="P624" s="70">
        <v>280</v>
      </c>
      <c r="Q624" s="70">
        <v>280</v>
      </c>
      <c r="R624" s="70">
        <v>280</v>
      </c>
    </row>
    <row r="625" spans="1:18" x14ac:dyDescent="0.25">
      <c r="A625" s="43" t="s">
        <v>303</v>
      </c>
      <c r="C625" s="74">
        <v>6098</v>
      </c>
      <c r="D625" s="74">
        <v>6098</v>
      </c>
      <c r="E625" s="72">
        <v>6309</v>
      </c>
      <c r="F625" s="74">
        <v>6309</v>
      </c>
      <c r="G625" s="105">
        <v>6309</v>
      </c>
      <c r="H625" s="73">
        <v>6570</v>
      </c>
      <c r="I625" s="73">
        <v>6710</v>
      </c>
      <c r="J625" s="73">
        <v>6860</v>
      </c>
      <c r="K625" s="73">
        <v>7030</v>
      </c>
      <c r="L625" s="73">
        <v>7190</v>
      </c>
      <c r="M625" s="73">
        <v>7340</v>
      </c>
      <c r="N625" s="73">
        <v>7500</v>
      </c>
      <c r="O625" s="73">
        <v>7690</v>
      </c>
      <c r="P625" s="73">
        <v>7880</v>
      </c>
      <c r="Q625" s="73">
        <v>7880</v>
      </c>
      <c r="R625" s="73">
        <v>7880</v>
      </c>
    </row>
    <row r="626" spans="1:18" x14ac:dyDescent="0.25">
      <c r="A626" s="52" t="s">
        <v>393</v>
      </c>
      <c r="B626" s="53"/>
      <c r="C626" s="68">
        <v>7380</v>
      </c>
      <c r="D626" s="50">
        <v>7792</v>
      </c>
      <c r="E626" s="50">
        <v>8767</v>
      </c>
      <c r="F626" s="50">
        <v>8621</v>
      </c>
      <c r="G626" s="50">
        <v>8242</v>
      </c>
      <c r="H626" s="50">
        <v>11230</v>
      </c>
      <c r="I626" s="50">
        <v>11517.55</v>
      </c>
      <c r="J626" s="50">
        <v>11821.797349999997</v>
      </c>
      <c r="K626" s="50">
        <v>12138.28921015</v>
      </c>
      <c r="L626" s="50">
        <v>12460.329893970946</v>
      </c>
      <c r="M626" s="50">
        <v>12781.994424948363</v>
      </c>
      <c r="N626" s="50">
        <v>13116.033373758466</v>
      </c>
      <c r="O626" s="50">
        <v>13479.252715617989</v>
      </c>
      <c r="P626" s="50">
        <v>13857.483719792199</v>
      </c>
      <c r="Q626" s="50">
        <v>14238.716975562216</v>
      </c>
      <c r="R626" s="50">
        <v>14631.103727019752</v>
      </c>
    </row>
    <row r="627" spans="1:18" x14ac:dyDescent="0.25">
      <c r="A627" s="43" t="s">
        <v>302</v>
      </c>
      <c r="C627" s="69">
        <v>182</v>
      </c>
      <c r="D627" s="69">
        <v>182</v>
      </c>
      <c r="E627" s="70">
        <v>182</v>
      </c>
      <c r="F627" s="69">
        <v>182</v>
      </c>
      <c r="G627" s="104">
        <v>182</v>
      </c>
      <c r="H627" s="104">
        <v>190</v>
      </c>
      <c r="I627" s="104">
        <v>190</v>
      </c>
      <c r="J627" s="104">
        <v>200</v>
      </c>
      <c r="K627" s="104">
        <v>200</v>
      </c>
      <c r="L627" s="104">
        <v>210</v>
      </c>
      <c r="M627" s="70">
        <v>210</v>
      </c>
      <c r="N627" s="70">
        <v>220</v>
      </c>
      <c r="O627" s="70">
        <v>220</v>
      </c>
      <c r="P627" s="70">
        <v>230</v>
      </c>
      <c r="Q627" s="70">
        <v>230</v>
      </c>
      <c r="R627" s="70">
        <v>230</v>
      </c>
    </row>
    <row r="628" spans="1:18" x14ac:dyDescent="0.25">
      <c r="A628" s="43" t="s">
        <v>303</v>
      </c>
      <c r="C628" s="74">
        <v>5832</v>
      </c>
      <c r="D628" s="74">
        <v>5832</v>
      </c>
      <c r="E628" s="74">
        <v>5832</v>
      </c>
      <c r="F628" s="74">
        <v>5832</v>
      </c>
      <c r="G628" s="73">
        <v>5832</v>
      </c>
      <c r="H628" s="73">
        <v>6070</v>
      </c>
      <c r="I628" s="73">
        <v>6200</v>
      </c>
      <c r="J628" s="73">
        <v>6340</v>
      </c>
      <c r="K628" s="73">
        <v>6500</v>
      </c>
      <c r="L628" s="73">
        <v>6650</v>
      </c>
      <c r="M628" s="73">
        <v>6780</v>
      </c>
      <c r="N628" s="73">
        <v>6930</v>
      </c>
      <c r="O628" s="77">
        <v>7110</v>
      </c>
      <c r="P628" s="77">
        <v>7290</v>
      </c>
      <c r="Q628" s="77">
        <v>7290</v>
      </c>
      <c r="R628" s="77">
        <v>7290</v>
      </c>
    </row>
    <row r="629" spans="1:18" x14ac:dyDescent="0.25">
      <c r="C629" s="50"/>
      <c r="D629" s="50"/>
      <c r="E629" s="50"/>
      <c r="F629" s="50"/>
      <c r="G629" s="50"/>
      <c r="H629" s="50"/>
      <c r="I629" s="50"/>
      <c r="J629" s="50"/>
      <c r="K629" s="50"/>
      <c r="L629" s="50"/>
      <c r="M629" s="50"/>
      <c r="N629" s="50"/>
      <c r="O629" s="50"/>
      <c r="P629" s="50"/>
      <c r="Q629" s="50"/>
      <c r="R629" s="50"/>
    </row>
    <row r="630" spans="1:18" x14ac:dyDescent="0.25">
      <c r="A630" s="41" t="s">
        <v>230</v>
      </c>
      <c r="B630" s="44"/>
      <c r="C630" s="51">
        <f t="shared" ref="C630" si="461">SUM(C604:C629)</f>
        <v>107547</v>
      </c>
      <c r="D630" s="51">
        <f t="shared" ref="D630:R630" si="462">SUM(D604:D629)</f>
        <v>120374</v>
      </c>
      <c r="E630" s="51">
        <f t="shared" si="462"/>
        <v>125753</v>
      </c>
      <c r="F630" s="51">
        <f t="shared" si="462"/>
        <v>144508</v>
      </c>
      <c r="G630" s="51">
        <f t="shared" si="462"/>
        <v>127849</v>
      </c>
      <c r="H630" s="51">
        <f t="shared" si="462"/>
        <v>149340</v>
      </c>
      <c r="I630" s="51">
        <f t="shared" si="462"/>
        <v>152907.59999999998</v>
      </c>
      <c r="J630" s="51">
        <f t="shared" si="462"/>
        <v>156709.32149999999</v>
      </c>
      <c r="K630" s="51">
        <f t="shared" si="462"/>
        <v>160689.03304349998</v>
      </c>
      <c r="L630" s="51">
        <f t="shared" si="462"/>
        <v>164707.49630667549</v>
      </c>
      <c r="M630" s="51">
        <f t="shared" si="462"/>
        <v>168602.13553739592</v>
      </c>
      <c r="N630" s="51">
        <f t="shared" si="462"/>
        <v>172720.0573906356</v>
      </c>
      <c r="O630" s="51">
        <f t="shared" si="462"/>
        <v>177278.64330571346</v>
      </c>
      <c r="P630" s="51">
        <f t="shared" si="462"/>
        <v>181984.15058337594</v>
      </c>
      <c r="Q630" s="51">
        <f t="shared" si="462"/>
        <v>185026.87965692006</v>
      </c>
      <c r="R630" s="51">
        <f t="shared" si="462"/>
        <v>188156.26149296464</v>
      </c>
    </row>
    <row r="631" spans="1:18" x14ac:dyDescent="0.25">
      <c r="C631" s="50"/>
      <c r="D631" s="50"/>
      <c r="E631" s="50"/>
      <c r="F631" s="50"/>
      <c r="G631" s="50"/>
      <c r="H631" s="50"/>
      <c r="I631" s="50"/>
      <c r="J631" s="50"/>
      <c r="K631" s="50"/>
      <c r="L631" s="50"/>
      <c r="M631" s="50"/>
      <c r="N631" s="50"/>
      <c r="O631" s="50"/>
      <c r="P631" s="50"/>
      <c r="Q631" s="50"/>
      <c r="R631" s="50"/>
    </row>
    <row r="632" spans="1:18" x14ac:dyDescent="0.25">
      <c r="A632" s="41" t="s">
        <v>251</v>
      </c>
      <c r="B632" s="44"/>
      <c r="C632" s="50"/>
      <c r="D632" s="50"/>
      <c r="E632" s="50"/>
      <c r="F632" s="50"/>
      <c r="G632" s="50"/>
      <c r="H632" s="50"/>
      <c r="I632" s="50"/>
      <c r="J632" s="50"/>
      <c r="K632" s="50"/>
      <c r="L632" s="50"/>
      <c r="M632" s="50"/>
      <c r="N632" s="50"/>
      <c r="O632" s="50"/>
      <c r="P632" s="50"/>
      <c r="Q632" s="50"/>
      <c r="R632" s="50"/>
    </row>
    <row r="633" spans="1:18" x14ac:dyDescent="0.25">
      <c r="C633" s="50"/>
      <c r="D633" s="50"/>
      <c r="E633" s="50"/>
      <c r="F633" s="50"/>
      <c r="G633" s="50"/>
      <c r="H633" s="50"/>
      <c r="I633" s="50"/>
      <c r="J633" s="50"/>
      <c r="K633" s="50"/>
      <c r="L633" s="50"/>
      <c r="M633" s="50"/>
      <c r="N633" s="50"/>
      <c r="O633" s="50"/>
      <c r="P633" s="50"/>
      <c r="Q633" s="50"/>
      <c r="R633" s="50"/>
    </row>
    <row r="634" spans="1:18" x14ac:dyDescent="0.25">
      <c r="A634" s="43" t="s">
        <v>394</v>
      </c>
      <c r="C634" s="50">
        <v>0</v>
      </c>
      <c r="D634" s="54">
        <f>C634*1.025</f>
        <v>0</v>
      </c>
      <c r="E634" s="54">
        <f>D634*1.025</f>
        <v>0</v>
      </c>
      <c r="F634" s="54">
        <v>0</v>
      </c>
      <c r="G634" s="54">
        <v>0</v>
      </c>
      <c r="H634" s="54">
        <v>0</v>
      </c>
      <c r="I634" s="54">
        <v>0</v>
      </c>
      <c r="J634" s="54">
        <v>0</v>
      </c>
      <c r="K634" s="54">
        <v>0</v>
      </c>
      <c r="L634" s="54">
        <v>0</v>
      </c>
      <c r="M634" s="54">
        <v>0</v>
      </c>
      <c r="N634" s="54">
        <v>0</v>
      </c>
      <c r="O634" s="54">
        <v>0</v>
      </c>
      <c r="P634" s="54">
        <v>0</v>
      </c>
      <c r="Q634" s="54">
        <f>P634*1.025</f>
        <v>0</v>
      </c>
      <c r="R634" s="54">
        <f>Q634*1.025</f>
        <v>0</v>
      </c>
    </row>
    <row r="635" spans="1:18" x14ac:dyDescent="0.25">
      <c r="C635" s="50"/>
      <c r="D635" s="50"/>
      <c r="E635" s="50"/>
      <c r="F635" s="50"/>
      <c r="G635" s="50"/>
      <c r="H635" s="50"/>
      <c r="I635" s="50"/>
      <c r="J635" s="50"/>
      <c r="K635" s="50"/>
      <c r="L635" s="50"/>
      <c r="M635" s="50"/>
      <c r="N635" s="50"/>
      <c r="O635" s="50"/>
      <c r="P635" s="50"/>
      <c r="Q635" s="50"/>
      <c r="R635" s="50"/>
    </row>
    <row r="636" spans="1:18" x14ac:dyDescent="0.25">
      <c r="A636" s="41" t="s">
        <v>254</v>
      </c>
      <c r="B636" s="44"/>
      <c r="C636" s="51">
        <f t="shared" ref="C636" si="463">SUM(C634:C635)</f>
        <v>0</v>
      </c>
      <c r="D636" s="51">
        <f t="shared" ref="D636:E636" si="464">SUM(D634:D635)</f>
        <v>0</v>
      </c>
      <c r="E636" s="51">
        <f t="shared" si="464"/>
        <v>0</v>
      </c>
      <c r="F636" s="51">
        <v>0</v>
      </c>
      <c r="G636" s="51">
        <v>0</v>
      </c>
      <c r="H636" s="51">
        <v>0</v>
      </c>
      <c r="I636" s="51">
        <v>0</v>
      </c>
      <c r="J636" s="51">
        <v>0</v>
      </c>
      <c r="K636" s="51">
        <v>0</v>
      </c>
      <c r="L636" s="51">
        <v>0</v>
      </c>
      <c r="M636" s="51">
        <v>0</v>
      </c>
      <c r="N636" s="51">
        <v>0</v>
      </c>
      <c r="O636" s="51">
        <v>0</v>
      </c>
      <c r="P636" s="51">
        <v>0</v>
      </c>
      <c r="Q636" s="51">
        <f>SUM(Q634:Q635)</f>
        <v>0</v>
      </c>
      <c r="R636" s="51">
        <f>SUM(R634:R635)</f>
        <v>0</v>
      </c>
    </row>
    <row r="637" spans="1:18" x14ac:dyDescent="0.25">
      <c r="A637" s="41"/>
      <c r="B637" s="44"/>
      <c r="C637" s="50"/>
      <c r="D637" s="50"/>
      <c r="E637" s="50"/>
      <c r="F637" s="50"/>
      <c r="G637" s="50"/>
      <c r="H637" s="50"/>
      <c r="I637" s="50"/>
      <c r="J637" s="50"/>
      <c r="K637" s="50"/>
      <c r="L637" s="50"/>
      <c r="M637" s="50"/>
      <c r="N637" s="50"/>
      <c r="O637" s="50"/>
      <c r="P637" s="50"/>
      <c r="Q637" s="50"/>
      <c r="R637" s="50"/>
    </row>
    <row r="638" spans="1:18" x14ac:dyDescent="0.25">
      <c r="A638" s="41" t="s">
        <v>171</v>
      </c>
      <c r="B638" s="44"/>
      <c r="C638" s="50"/>
      <c r="D638" s="50"/>
      <c r="E638" s="50"/>
      <c r="F638" s="50"/>
      <c r="G638" s="50"/>
      <c r="H638" s="50"/>
      <c r="I638" s="50"/>
      <c r="J638" s="50"/>
      <c r="K638" s="50"/>
      <c r="L638" s="50"/>
      <c r="M638" s="50"/>
      <c r="N638" s="50"/>
      <c r="O638" s="50"/>
      <c r="P638" s="50"/>
      <c r="Q638" s="50"/>
      <c r="R638" s="50"/>
    </row>
    <row r="639" spans="1:18" x14ac:dyDescent="0.25">
      <c r="A639" s="41"/>
      <c r="B639" s="44"/>
      <c r="C639" s="50"/>
      <c r="D639" s="50"/>
      <c r="E639" s="50"/>
      <c r="F639" s="50"/>
      <c r="G639" s="50"/>
      <c r="H639" s="50"/>
      <c r="I639" s="50"/>
      <c r="J639" s="50"/>
      <c r="K639" s="50"/>
      <c r="L639" s="50"/>
      <c r="M639" s="50"/>
      <c r="N639" s="50"/>
      <c r="O639" s="50"/>
      <c r="P639" s="50"/>
      <c r="Q639" s="50"/>
      <c r="R639" s="50"/>
    </row>
    <row r="640" spans="1:18" x14ac:dyDescent="0.25">
      <c r="A640" s="41" t="s">
        <v>395</v>
      </c>
      <c r="B640" s="44"/>
      <c r="C640" s="50"/>
      <c r="D640" s="50"/>
      <c r="E640" s="50"/>
      <c r="F640" s="50"/>
      <c r="G640" s="50"/>
      <c r="H640" s="50"/>
      <c r="I640" s="50"/>
      <c r="J640" s="50"/>
      <c r="K640" s="50"/>
      <c r="L640" s="50"/>
      <c r="M640" s="50"/>
      <c r="N640" s="50"/>
      <c r="O640" s="50"/>
      <c r="P640" s="50"/>
      <c r="Q640" s="50"/>
      <c r="R640" s="50"/>
    </row>
    <row r="641" spans="1:18" x14ac:dyDescent="0.25">
      <c r="A641" s="83" t="s">
        <v>319</v>
      </c>
      <c r="B641" s="84" t="s">
        <v>317</v>
      </c>
      <c r="C641" s="50">
        <v>0</v>
      </c>
      <c r="D641" s="50">
        <v>0</v>
      </c>
      <c r="E641" s="50">
        <v>0</v>
      </c>
      <c r="F641" s="85"/>
      <c r="G641" s="50"/>
      <c r="H641" s="50"/>
      <c r="I641" s="50">
        <v>0</v>
      </c>
      <c r="J641" s="50">
        <v>0</v>
      </c>
      <c r="K641" s="50">
        <v>0</v>
      </c>
      <c r="L641" s="50">
        <v>0</v>
      </c>
      <c r="M641" s="50">
        <v>0</v>
      </c>
      <c r="N641" s="50">
        <v>0</v>
      </c>
      <c r="O641" s="50"/>
      <c r="P641" s="50"/>
      <c r="Q641" s="50"/>
      <c r="R641" s="50"/>
    </row>
    <row r="642" spans="1:18" x14ac:dyDescent="0.25">
      <c r="A642" s="106" t="s">
        <v>326</v>
      </c>
      <c r="B642" s="84"/>
      <c r="C642" s="59">
        <v>0</v>
      </c>
      <c r="D642" s="50"/>
      <c r="E642" s="50"/>
      <c r="F642" s="50"/>
      <c r="G642" s="50"/>
      <c r="H642" s="50"/>
      <c r="I642" s="50"/>
      <c r="J642" s="50"/>
      <c r="K642" s="50"/>
      <c r="L642" s="50"/>
      <c r="M642" s="50"/>
      <c r="N642" s="50"/>
      <c r="O642" s="50"/>
      <c r="P642" s="50"/>
      <c r="Q642" s="50"/>
      <c r="R642" s="50"/>
    </row>
    <row r="643" spans="1:18" x14ac:dyDescent="0.25">
      <c r="A643" s="93" t="s">
        <v>321</v>
      </c>
      <c r="B643" s="88" t="s">
        <v>330</v>
      </c>
      <c r="C643" s="50"/>
      <c r="D643" s="50"/>
      <c r="E643" s="50"/>
      <c r="F643" s="50"/>
      <c r="G643" s="50"/>
      <c r="H643" s="50"/>
      <c r="I643" s="50"/>
      <c r="J643" s="50"/>
      <c r="K643" s="50"/>
      <c r="L643" s="50"/>
      <c r="M643" s="50"/>
      <c r="N643" s="50"/>
      <c r="O643" s="50"/>
      <c r="P643" s="50"/>
      <c r="Q643" s="50"/>
      <c r="R643" s="50"/>
    </row>
    <row r="644" spans="1:18" x14ac:dyDescent="0.25">
      <c r="A644" s="93" t="s">
        <v>396</v>
      </c>
      <c r="B644" s="88" t="s">
        <v>330</v>
      </c>
      <c r="C644" s="50"/>
      <c r="D644" s="50"/>
      <c r="E644" s="50"/>
      <c r="F644" s="50"/>
      <c r="G644" s="50"/>
      <c r="H644" s="50"/>
      <c r="I644" s="50"/>
      <c r="J644" s="50"/>
      <c r="K644" s="50"/>
      <c r="L644" s="50"/>
      <c r="M644" s="50"/>
      <c r="N644" s="50"/>
      <c r="O644" s="50"/>
      <c r="P644" s="50"/>
      <c r="Q644" s="50"/>
      <c r="R644" s="50"/>
    </row>
    <row r="645" spans="1:18" x14ac:dyDescent="0.25">
      <c r="A645" s="93" t="s">
        <v>397</v>
      </c>
      <c r="B645" s="88" t="s">
        <v>330</v>
      </c>
      <c r="C645" s="50"/>
      <c r="D645" s="50"/>
      <c r="E645" s="50"/>
      <c r="F645" s="50"/>
      <c r="G645" s="50"/>
      <c r="H645" s="50"/>
      <c r="I645" s="50"/>
      <c r="J645" s="50"/>
      <c r="K645" s="50"/>
      <c r="L645" s="50"/>
      <c r="M645" s="50"/>
      <c r="N645" s="50"/>
      <c r="O645" s="50"/>
      <c r="P645" s="50"/>
      <c r="Q645" s="50"/>
      <c r="R645" s="50"/>
    </row>
    <row r="646" spans="1:18" x14ac:dyDescent="0.25">
      <c r="A646" s="86" t="s">
        <v>398</v>
      </c>
      <c r="B646" s="84" t="s">
        <v>317</v>
      </c>
      <c r="C646" s="50"/>
      <c r="D646" s="50"/>
      <c r="E646" s="50"/>
      <c r="F646" s="50">
        <v>1173</v>
      </c>
      <c r="G646" s="50"/>
      <c r="H646" s="50"/>
      <c r="I646" s="50"/>
      <c r="J646" s="50"/>
      <c r="K646" s="50"/>
      <c r="L646" s="50"/>
      <c r="M646" s="50"/>
      <c r="N646" s="50"/>
      <c r="O646" s="50"/>
      <c r="P646" s="50"/>
      <c r="Q646" s="50"/>
      <c r="R646" s="50"/>
    </row>
    <row r="647" spans="1:18" x14ac:dyDescent="0.25">
      <c r="A647" s="86" t="s">
        <v>344</v>
      </c>
      <c r="B647" s="84" t="s">
        <v>317</v>
      </c>
      <c r="C647" s="50"/>
      <c r="D647" s="50"/>
      <c r="E647" s="85">
        <v>4228</v>
      </c>
      <c r="F647" s="50"/>
      <c r="G647" s="50"/>
      <c r="H647" s="50"/>
      <c r="I647" s="50"/>
      <c r="J647" s="50"/>
      <c r="K647" s="50"/>
      <c r="L647" s="50"/>
      <c r="M647" s="50"/>
      <c r="N647" s="50"/>
      <c r="O647" s="50"/>
      <c r="P647" s="50"/>
      <c r="Q647" s="50"/>
      <c r="R647" s="50"/>
    </row>
    <row r="648" spans="1:18" s="43" customFormat="1" x14ac:dyDescent="0.25">
      <c r="A648" s="87" t="s">
        <v>322</v>
      </c>
      <c r="B648" s="88" t="s">
        <v>323</v>
      </c>
      <c r="C648" s="50"/>
      <c r="D648" s="50"/>
      <c r="E648" s="50"/>
      <c r="F648" s="50"/>
      <c r="G648" s="50"/>
      <c r="H648" s="50"/>
      <c r="I648" s="89">
        <v>20000</v>
      </c>
      <c r="J648" s="50"/>
      <c r="K648" s="50"/>
      <c r="L648" s="50"/>
      <c r="M648" s="50"/>
      <c r="N648" s="50"/>
      <c r="O648" s="50"/>
      <c r="P648" s="50"/>
      <c r="Q648" s="89">
        <v>20000</v>
      </c>
      <c r="R648" s="50"/>
    </row>
    <row r="649" spans="1:18" s="43" customFormat="1" x14ac:dyDescent="0.25">
      <c r="A649" s="87" t="s">
        <v>324</v>
      </c>
      <c r="B649" s="88" t="s">
        <v>323</v>
      </c>
      <c r="C649" s="50"/>
      <c r="D649" s="50"/>
      <c r="E649" s="50"/>
      <c r="F649" s="50"/>
      <c r="G649" s="50"/>
      <c r="H649" s="50"/>
      <c r="I649" s="50"/>
      <c r="J649" s="50"/>
      <c r="K649" s="89">
        <v>25000</v>
      </c>
      <c r="L649" s="50"/>
      <c r="M649" s="50"/>
      <c r="N649" s="50"/>
      <c r="O649" s="50"/>
      <c r="P649" s="50"/>
      <c r="Q649" s="50"/>
      <c r="R649" s="89">
        <v>20000</v>
      </c>
    </row>
    <row r="650" spans="1:18" x14ac:dyDescent="0.25">
      <c r="A650" s="41" t="s">
        <v>399</v>
      </c>
      <c r="B650" s="44"/>
      <c r="C650" s="50"/>
      <c r="D650" s="50"/>
      <c r="E650" s="50"/>
      <c r="F650" s="50"/>
      <c r="G650" s="50"/>
      <c r="H650" s="50"/>
      <c r="I650" s="50"/>
      <c r="J650" s="50"/>
      <c r="K650" s="50"/>
      <c r="L650" s="50"/>
      <c r="M650" s="50"/>
      <c r="N650" s="50"/>
      <c r="O650" s="50"/>
      <c r="P650" s="50"/>
      <c r="Q650" s="50"/>
      <c r="R650" s="50"/>
    </row>
    <row r="651" spans="1:18" x14ac:dyDescent="0.25">
      <c r="A651" s="83" t="s">
        <v>400</v>
      </c>
      <c r="B651" s="84" t="s">
        <v>317</v>
      </c>
      <c r="C651" s="50">
        <v>0</v>
      </c>
      <c r="D651" s="85">
        <v>6880</v>
      </c>
      <c r="E651" s="50">
        <v>0</v>
      </c>
      <c r="F651" s="50">
        <v>0</v>
      </c>
      <c r="G651" s="50">
        <v>0</v>
      </c>
      <c r="H651" s="50">
        <v>0</v>
      </c>
      <c r="I651" s="50">
        <v>0</v>
      </c>
      <c r="J651" s="50">
        <v>0</v>
      </c>
      <c r="K651" s="50">
        <v>0</v>
      </c>
      <c r="L651" s="50">
        <v>0</v>
      </c>
      <c r="M651" s="50"/>
      <c r="N651" s="50"/>
      <c r="O651" s="50"/>
      <c r="P651" s="50"/>
      <c r="Q651" s="50"/>
      <c r="R651" s="50"/>
    </row>
    <row r="652" spans="1:18" x14ac:dyDescent="0.25">
      <c r="A652" s="107" t="s">
        <v>401</v>
      </c>
      <c r="B652" s="88" t="s">
        <v>323</v>
      </c>
      <c r="C652" s="50"/>
      <c r="D652" s="50"/>
      <c r="E652" s="50"/>
      <c r="F652" s="50"/>
      <c r="G652" s="50"/>
      <c r="H652" s="50"/>
      <c r="I652" s="50"/>
      <c r="J652" s="50"/>
      <c r="K652" s="50"/>
      <c r="L652" s="50"/>
      <c r="M652" s="50"/>
      <c r="N652" s="50"/>
      <c r="O652" s="50"/>
      <c r="P652" s="89">
        <v>15000</v>
      </c>
      <c r="Q652" s="50"/>
      <c r="R652" s="50"/>
    </row>
    <row r="653" spans="1:18" x14ac:dyDescent="0.25">
      <c r="A653" s="41" t="s">
        <v>402</v>
      </c>
      <c r="B653" s="44"/>
      <c r="C653" s="50"/>
      <c r="D653" s="50"/>
      <c r="E653" s="50"/>
      <c r="F653" s="50"/>
      <c r="G653" s="50"/>
      <c r="H653" s="50"/>
      <c r="I653" s="50"/>
      <c r="J653" s="50"/>
      <c r="K653" s="50"/>
      <c r="L653" s="50"/>
      <c r="M653" s="50"/>
      <c r="N653" s="50"/>
      <c r="O653" s="50"/>
      <c r="P653" s="50"/>
      <c r="Q653" s="50"/>
      <c r="R653" s="50"/>
    </row>
    <row r="654" spans="1:18" x14ac:dyDescent="0.25">
      <c r="A654" s="83" t="s">
        <v>400</v>
      </c>
      <c r="B654" s="84" t="s">
        <v>317</v>
      </c>
      <c r="C654" s="50">
        <v>0</v>
      </c>
      <c r="D654" s="85">
        <v>10985</v>
      </c>
      <c r="E654" s="50">
        <v>0</v>
      </c>
      <c r="F654" s="50">
        <v>0</v>
      </c>
      <c r="G654" s="50">
        <v>0</v>
      </c>
      <c r="H654" s="50">
        <v>0</v>
      </c>
      <c r="I654" s="50">
        <v>0</v>
      </c>
      <c r="J654" s="50">
        <v>0</v>
      </c>
      <c r="K654" s="50">
        <v>0</v>
      </c>
      <c r="L654" s="50">
        <v>0</v>
      </c>
      <c r="M654" s="50">
        <v>0</v>
      </c>
      <c r="N654" s="50">
        <v>0</v>
      </c>
      <c r="O654" s="50">
        <v>0</v>
      </c>
      <c r="P654" s="50">
        <v>0</v>
      </c>
      <c r="Q654" s="50">
        <v>0</v>
      </c>
      <c r="R654" s="50">
        <v>0</v>
      </c>
    </row>
    <row r="655" spans="1:18" s="43" customFormat="1" x14ac:dyDescent="0.25">
      <c r="A655" s="93" t="s">
        <v>403</v>
      </c>
      <c r="B655" s="88" t="s">
        <v>330</v>
      </c>
      <c r="C655" s="50"/>
      <c r="D655" s="50"/>
      <c r="E655" s="50"/>
      <c r="F655" s="50"/>
      <c r="G655" s="50"/>
      <c r="H655" s="50"/>
      <c r="I655" s="50"/>
      <c r="J655" s="50"/>
      <c r="K655" s="50"/>
      <c r="L655" s="50"/>
      <c r="M655" s="50"/>
      <c r="N655" s="50"/>
      <c r="O655" s="50"/>
      <c r="P655" s="50"/>
      <c r="Q655" s="50"/>
      <c r="R655" s="50"/>
    </row>
    <row r="656" spans="1:18" s="43" customFormat="1" x14ac:dyDescent="0.25">
      <c r="A656" s="93" t="s">
        <v>404</v>
      </c>
      <c r="B656" s="88" t="s">
        <v>330</v>
      </c>
      <c r="C656" s="50"/>
      <c r="D656" s="50"/>
      <c r="E656" s="50"/>
      <c r="F656" s="50"/>
      <c r="G656" s="50"/>
      <c r="H656" s="50"/>
      <c r="I656" s="50"/>
      <c r="J656" s="50"/>
      <c r="K656" s="50"/>
      <c r="L656" s="50"/>
      <c r="M656" s="50"/>
      <c r="N656" s="50"/>
      <c r="O656" s="50"/>
      <c r="P656" s="50"/>
      <c r="Q656" s="50"/>
      <c r="R656" s="50"/>
    </row>
    <row r="657" spans="1:18" s="43" customFormat="1" x14ac:dyDescent="0.25">
      <c r="A657" s="93" t="s">
        <v>405</v>
      </c>
      <c r="B657" s="88" t="s">
        <v>330</v>
      </c>
      <c r="C657" s="50"/>
      <c r="D657" s="50"/>
      <c r="E657" s="50"/>
      <c r="F657" s="50"/>
      <c r="G657" s="50"/>
      <c r="H657" s="50"/>
      <c r="I657" s="50"/>
      <c r="J657" s="50"/>
      <c r="K657" s="50"/>
      <c r="L657" s="50"/>
      <c r="M657" s="50"/>
      <c r="N657" s="50"/>
      <c r="O657" s="50"/>
      <c r="P657" s="50"/>
      <c r="Q657" s="50"/>
      <c r="R657" s="50"/>
    </row>
    <row r="658" spans="1:18" s="43" customFormat="1" x14ac:dyDescent="0.25">
      <c r="A658" s="107" t="s">
        <v>406</v>
      </c>
      <c r="B658" s="88" t="s">
        <v>323</v>
      </c>
      <c r="C658" s="50"/>
      <c r="D658" s="50"/>
      <c r="E658" s="50"/>
      <c r="F658" s="50"/>
      <c r="G658" s="50"/>
      <c r="H658" s="50"/>
      <c r="I658" s="50"/>
      <c r="J658" s="50"/>
      <c r="K658" s="50"/>
      <c r="L658" s="50"/>
      <c r="M658" s="50"/>
      <c r="N658" s="50"/>
      <c r="O658" s="50"/>
      <c r="P658" s="50"/>
      <c r="Q658" s="50"/>
      <c r="R658" s="50"/>
    </row>
    <row r="659" spans="1:18" s="43" customFormat="1" x14ac:dyDescent="0.25">
      <c r="A659" s="108" t="s">
        <v>407</v>
      </c>
      <c r="B659" s="88" t="s">
        <v>323</v>
      </c>
      <c r="C659" s="50"/>
      <c r="D659" s="50"/>
      <c r="E659" s="50"/>
      <c r="F659" s="50"/>
      <c r="G659" s="50"/>
      <c r="H659" s="50"/>
      <c r="I659" s="50"/>
      <c r="J659" s="89">
        <v>8000</v>
      </c>
      <c r="K659" s="50"/>
      <c r="L659" s="50"/>
      <c r="M659" s="50"/>
      <c r="N659" s="50"/>
      <c r="O659" s="50"/>
      <c r="P659" s="50"/>
      <c r="Q659" s="50"/>
      <c r="R659" s="89">
        <v>25000</v>
      </c>
    </row>
    <row r="660" spans="1:18" s="43" customFormat="1" x14ac:dyDescent="0.25">
      <c r="A660" s="41" t="s">
        <v>385</v>
      </c>
      <c r="B660" s="42"/>
      <c r="C660" s="50"/>
      <c r="D660" s="50"/>
      <c r="E660" s="50"/>
      <c r="F660" s="50"/>
      <c r="G660" s="50"/>
      <c r="H660" s="50"/>
      <c r="I660" s="50"/>
      <c r="J660" s="50"/>
      <c r="K660" s="50"/>
      <c r="L660" s="50"/>
      <c r="M660" s="50"/>
      <c r="N660" s="50"/>
      <c r="O660" s="50"/>
      <c r="P660" s="50"/>
      <c r="Q660" s="50"/>
      <c r="R660" s="50"/>
    </row>
    <row r="661" spans="1:18" s="43" customFormat="1" x14ac:dyDescent="0.25">
      <c r="A661" s="93" t="s">
        <v>396</v>
      </c>
      <c r="B661" s="88" t="s">
        <v>330</v>
      </c>
      <c r="C661" s="50"/>
      <c r="D661" s="50"/>
      <c r="E661" s="50"/>
      <c r="F661" s="50"/>
      <c r="G661" s="50"/>
      <c r="H661" s="50"/>
      <c r="I661" s="50"/>
      <c r="J661" s="50"/>
      <c r="K661" s="50"/>
      <c r="L661" s="50"/>
      <c r="M661" s="50"/>
      <c r="N661" s="50"/>
      <c r="O661" s="50"/>
      <c r="P661" s="50"/>
      <c r="Q661" s="50"/>
      <c r="R661" s="50"/>
    </row>
    <row r="662" spans="1:18" s="43" customFormat="1" x14ac:dyDescent="0.25">
      <c r="A662" s="93" t="s">
        <v>321</v>
      </c>
      <c r="B662" s="88" t="s">
        <v>330</v>
      </c>
      <c r="C662" s="50"/>
      <c r="D662" s="50"/>
      <c r="E662" s="50"/>
      <c r="F662" s="50"/>
      <c r="G662" s="50"/>
      <c r="H662" s="50"/>
      <c r="I662" s="50"/>
      <c r="J662" s="50"/>
      <c r="K662" s="50"/>
      <c r="L662" s="50"/>
      <c r="M662" s="50"/>
      <c r="N662" s="50"/>
      <c r="O662" s="50"/>
      <c r="P662" s="50"/>
      <c r="Q662" s="50"/>
      <c r="R662" s="50"/>
    </row>
    <row r="663" spans="1:18" s="43" customFormat="1" x14ac:dyDescent="0.25">
      <c r="A663" s="93" t="s">
        <v>408</v>
      </c>
      <c r="B663" s="88" t="s">
        <v>330</v>
      </c>
      <c r="C663" s="50"/>
      <c r="D663" s="50"/>
      <c r="E663" s="50"/>
      <c r="F663" s="50"/>
      <c r="G663" s="50"/>
      <c r="H663" s="50"/>
      <c r="I663" s="50"/>
      <c r="J663" s="50"/>
      <c r="K663" s="50"/>
      <c r="L663" s="50"/>
      <c r="M663" s="50"/>
      <c r="N663" s="50"/>
      <c r="O663" s="50"/>
      <c r="P663" s="50"/>
      <c r="Q663" s="50"/>
      <c r="R663" s="50"/>
    </row>
    <row r="664" spans="1:18" s="43" customFormat="1" x14ac:dyDescent="0.25">
      <c r="A664" s="107" t="s">
        <v>406</v>
      </c>
      <c r="B664" s="88" t="s">
        <v>323</v>
      </c>
      <c r="C664" s="50"/>
      <c r="D664" s="50"/>
      <c r="E664" s="50"/>
      <c r="F664" s="50"/>
      <c r="G664" s="50"/>
      <c r="H664" s="50"/>
      <c r="I664" s="50"/>
      <c r="J664" s="50"/>
      <c r="K664" s="89">
        <v>10000</v>
      </c>
      <c r="L664" s="50"/>
      <c r="M664" s="50"/>
      <c r="N664" s="50"/>
      <c r="O664" s="50"/>
      <c r="P664" s="89">
        <v>25000</v>
      </c>
      <c r="Q664" s="50"/>
      <c r="R664" s="50"/>
    </row>
    <row r="665" spans="1:18" s="43" customFormat="1" x14ac:dyDescent="0.25">
      <c r="A665" s="86" t="s">
        <v>409</v>
      </c>
      <c r="B665" s="84" t="s">
        <v>317</v>
      </c>
      <c r="C665" s="50"/>
      <c r="D665" s="50"/>
      <c r="E665" s="50"/>
      <c r="F665" s="50"/>
      <c r="G665" s="50"/>
      <c r="H665" s="50"/>
      <c r="I665" s="50"/>
      <c r="J665" s="50"/>
      <c r="K665" s="50"/>
      <c r="L665" s="50"/>
      <c r="M665" s="50"/>
      <c r="N665" s="50"/>
      <c r="O665" s="50"/>
      <c r="P665" s="50"/>
      <c r="Q665" s="50"/>
      <c r="R665" s="50"/>
    </row>
    <row r="666" spans="1:18" x14ac:dyDescent="0.25">
      <c r="C666" s="50"/>
      <c r="D666" s="50"/>
      <c r="E666" s="50"/>
      <c r="F666" s="50"/>
      <c r="G666" s="50"/>
      <c r="H666" s="50"/>
      <c r="I666" s="50"/>
      <c r="J666" s="50"/>
      <c r="K666" s="50"/>
      <c r="L666" s="50"/>
      <c r="M666" s="50"/>
      <c r="N666" s="50"/>
      <c r="O666" s="50"/>
      <c r="P666" s="50"/>
      <c r="Q666" s="50"/>
      <c r="R666" s="50"/>
    </row>
    <row r="667" spans="1:18" x14ac:dyDescent="0.25">
      <c r="A667" s="41" t="s">
        <v>107</v>
      </c>
      <c r="B667" s="44"/>
      <c r="C667" s="51">
        <f t="shared" ref="C667:R667" si="465">SUM(C640:C666)</f>
        <v>0</v>
      </c>
      <c r="D667" s="51">
        <f t="shared" si="465"/>
        <v>17865</v>
      </c>
      <c r="E667" s="51">
        <f t="shared" si="465"/>
        <v>4228</v>
      </c>
      <c r="F667" s="51">
        <f t="shared" si="465"/>
        <v>1173</v>
      </c>
      <c r="G667" s="51">
        <f t="shared" si="465"/>
        <v>0</v>
      </c>
      <c r="H667" s="51">
        <f t="shared" si="465"/>
        <v>0</v>
      </c>
      <c r="I667" s="51">
        <f t="shared" si="465"/>
        <v>20000</v>
      </c>
      <c r="J667" s="51">
        <f t="shared" si="465"/>
        <v>8000</v>
      </c>
      <c r="K667" s="51">
        <f t="shared" si="465"/>
        <v>35000</v>
      </c>
      <c r="L667" s="51">
        <f t="shared" si="465"/>
        <v>0</v>
      </c>
      <c r="M667" s="51">
        <f t="shared" si="465"/>
        <v>0</v>
      </c>
      <c r="N667" s="51">
        <f t="shared" si="465"/>
        <v>0</v>
      </c>
      <c r="O667" s="51">
        <f t="shared" si="465"/>
        <v>0</v>
      </c>
      <c r="P667" s="51">
        <f t="shared" si="465"/>
        <v>40000</v>
      </c>
      <c r="Q667" s="51">
        <f t="shared" si="465"/>
        <v>20000</v>
      </c>
      <c r="R667" s="51">
        <f t="shared" si="465"/>
        <v>45000</v>
      </c>
    </row>
    <row r="668" spans="1:18" x14ac:dyDescent="0.25">
      <c r="C668" s="50"/>
      <c r="D668" s="50"/>
      <c r="E668" s="50"/>
      <c r="F668" s="50"/>
      <c r="G668" s="50"/>
      <c r="H668" s="50"/>
      <c r="I668" s="50"/>
      <c r="J668" s="50"/>
      <c r="K668" s="50"/>
      <c r="L668" s="50"/>
      <c r="M668" s="50"/>
      <c r="N668" s="50"/>
      <c r="O668" s="50"/>
      <c r="P668" s="50"/>
      <c r="Q668" s="50"/>
      <c r="R668" s="50"/>
    </row>
    <row r="669" spans="1:18" x14ac:dyDescent="0.25">
      <c r="A669" s="41" t="s">
        <v>410</v>
      </c>
      <c r="B669" s="44"/>
      <c r="C669" s="51">
        <f t="shared" ref="C669:R669" si="466">C667+C630-C599-C636</f>
        <v>35730</v>
      </c>
      <c r="D669" s="51">
        <f t="shared" si="466"/>
        <v>59023</v>
      </c>
      <c r="E669" s="51">
        <f t="shared" si="466"/>
        <v>55335</v>
      </c>
      <c r="F669" s="51">
        <f t="shared" si="466"/>
        <v>20931</v>
      </c>
      <c r="G669" s="51">
        <f t="shared" si="466"/>
        <v>6688</v>
      </c>
      <c r="H669" s="51">
        <f t="shared" si="466"/>
        <v>25460</v>
      </c>
      <c r="I669" s="51">
        <f t="shared" si="466"/>
        <v>46169.399999999994</v>
      </c>
      <c r="J669" s="51">
        <f t="shared" si="466"/>
        <v>34841.404700000014</v>
      </c>
      <c r="K669" s="51">
        <f t="shared" si="466"/>
        <v>62698.686240299983</v>
      </c>
      <c r="L669" s="51">
        <f t="shared" si="466"/>
        <v>28712.631527001911</v>
      </c>
      <c r="M669" s="51">
        <f t="shared" si="466"/>
        <v>29668.14373256953</v>
      </c>
      <c r="N669" s="51">
        <f t="shared" si="466"/>
        <v>30523.003774298209</v>
      </c>
      <c r="O669" s="51">
        <f t="shared" si="466"/>
        <v>31462.163348967646</v>
      </c>
      <c r="P669" s="51">
        <f t="shared" si="466"/>
        <v>72519.758627711504</v>
      </c>
      <c r="Q669" s="51">
        <f t="shared" si="466"/>
        <v>52032.622294319677</v>
      </c>
      <c r="R669" s="51">
        <f t="shared" si="466"/>
        <v>76506.461953661841</v>
      </c>
    </row>
    <row r="670" spans="1:18" x14ac:dyDescent="0.25">
      <c r="C670" s="50"/>
      <c r="D670" s="50"/>
      <c r="E670" s="50"/>
      <c r="F670" s="50"/>
      <c r="G670" s="50"/>
      <c r="H670" s="50"/>
      <c r="I670" s="50"/>
      <c r="J670" s="50"/>
      <c r="K670" s="50"/>
      <c r="L670" s="50"/>
      <c r="M670" s="50"/>
      <c r="N670" s="50"/>
      <c r="O670" s="50"/>
      <c r="P670" s="50"/>
      <c r="Q670" s="50"/>
      <c r="R670" s="50"/>
    </row>
    <row r="671" spans="1:18" x14ac:dyDescent="0.25">
      <c r="C671" s="50"/>
      <c r="D671" s="50"/>
      <c r="E671" s="50"/>
      <c r="F671" s="50"/>
      <c r="G671" s="50"/>
      <c r="H671" s="50"/>
      <c r="I671" s="50"/>
      <c r="J671" s="50"/>
      <c r="K671" s="50"/>
      <c r="L671" s="50"/>
      <c r="M671" s="50"/>
      <c r="N671" s="50"/>
      <c r="O671" s="50"/>
      <c r="P671" s="50"/>
      <c r="Q671" s="50"/>
      <c r="R671" s="50"/>
    </row>
    <row r="672" spans="1:18" x14ac:dyDescent="0.25">
      <c r="A672" s="41" t="s">
        <v>411</v>
      </c>
      <c r="B672" s="44"/>
      <c r="C672" s="50"/>
      <c r="D672" s="50"/>
      <c r="E672" s="50"/>
      <c r="F672" s="50"/>
      <c r="G672" s="50"/>
      <c r="H672" s="50"/>
      <c r="I672" s="50"/>
      <c r="J672" s="50"/>
      <c r="K672" s="50"/>
      <c r="L672" s="50"/>
      <c r="M672" s="50"/>
      <c r="N672" s="50"/>
      <c r="O672" s="50"/>
      <c r="P672" s="50"/>
      <c r="Q672" s="50"/>
      <c r="R672" s="50"/>
    </row>
    <row r="673" spans="1:18" x14ac:dyDescent="0.25">
      <c r="C673" s="50"/>
      <c r="D673" s="50"/>
      <c r="E673" s="50"/>
      <c r="F673" s="50"/>
      <c r="G673" s="50"/>
      <c r="H673" s="50"/>
      <c r="I673" s="50"/>
      <c r="J673" s="50"/>
      <c r="K673" s="50"/>
      <c r="L673" s="50"/>
      <c r="M673" s="50"/>
      <c r="N673" s="50"/>
      <c r="O673" s="50"/>
      <c r="P673" s="50"/>
      <c r="Q673" s="50"/>
      <c r="R673" s="50"/>
    </row>
    <row r="674" spans="1:18" x14ac:dyDescent="0.25">
      <c r="A674" s="41" t="s">
        <v>202</v>
      </c>
      <c r="B674" s="44"/>
      <c r="C674" s="50"/>
      <c r="D674" s="50"/>
      <c r="E674" s="50"/>
      <c r="F674" s="50"/>
      <c r="G674" s="50"/>
      <c r="H674" s="50"/>
      <c r="I674" s="50"/>
      <c r="J674" s="50"/>
      <c r="K674" s="50"/>
      <c r="L674" s="50"/>
      <c r="M674" s="50"/>
      <c r="N674" s="50"/>
      <c r="O674" s="50"/>
      <c r="P674" s="50"/>
      <c r="Q674" s="50"/>
      <c r="R674" s="50"/>
    </row>
    <row r="675" spans="1:18" x14ac:dyDescent="0.25">
      <c r="C675" s="50"/>
      <c r="D675" s="50"/>
      <c r="E675" s="50"/>
      <c r="F675" s="50"/>
      <c r="G675" s="50"/>
      <c r="H675" s="50"/>
      <c r="I675" s="50"/>
      <c r="J675" s="50"/>
      <c r="K675" s="50"/>
      <c r="L675" s="50"/>
      <c r="M675" s="50"/>
      <c r="N675" s="50"/>
      <c r="O675" s="50"/>
      <c r="P675" s="50"/>
      <c r="Q675" s="50"/>
      <c r="R675" s="50"/>
    </row>
    <row r="676" spans="1:18" x14ac:dyDescent="0.25">
      <c r="A676" s="43" t="s">
        <v>258</v>
      </c>
      <c r="C676" s="43">
        <v>39850</v>
      </c>
      <c r="D676" s="54">
        <v>40238</v>
      </c>
      <c r="E676" s="54">
        <v>40604</v>
      </c>
      <c r="F676" s="43">
        <v>41600</v>
      </c>
      <c r="G676" s="43">
        <v>41808</v>
      </c>
      <c r="H676" s="43">
        <v>43400</v>
      </c>
      <c r="I676" s="50">
        <v>39740</v>
      </c>
      <c r="J676" s="54">
        <f t="shared" ref="J676:K677" si="467">I676*1.024</f>
        <v>40693.760000000002</v>
      </c>
      <c r="K676" s="54">
        <f t="shared" si="467"/>
        <v>41670.410240000005</v>
      </c>
      <c r="L676" s="54">
        <f t="shared" ref="L676:L677" si="468">K676*1.023</f>
        <v>42628.829675519999</v>
      </c>
      <c r="M676" s="54">
        <f t="shared" ref="M676:M677" si="469">L676*1.022</f>
        <v>43566.663928381437</v>
      </c>
      <c r="N676" s="54">
        <f t="shared" ref="N676:N677" si="470">M676*1.023</f>
        <v>44568.697198734204</v>
      </c>
      <c r="O676" s="54">
        <f t="shared" ref="O676:P677" si="471">N676*1.025</f>
        <v>45682.914628702558</v>
      </c>
      <c r="P676" s="54">
        <f t="shared" si="471"/>
        <v>46824.987494420115</v>
      </c>
      <c r="Q676" s="54">
        <f t="shared" ref="Q676:R677" si="472">P676*1.024</f>
        <v>47948.787194286197</v>
      </c>
      <c r="R676" s="54">
        <f t="shared" si="472"/>
        <v>49099.558086949066</v>
      </c>
    </row>
    <row r="677" spans="1:18" x14ac:dyDescent="0.25">
      <c r="A677" s="43" t="s">
        <v>412</v>
      </c>
      <c r="C677" s="54">
        <v>5890</v>
      </c>
      <c r="D677" s="54">
        <v>6720</v>
      </c>
      <c r="E677" s="54">
        <v>6720</v>
      </c>
      <c r="F677" s="43">
        <v>6168</v>
      </c>
      <c r="G677" s="43">
        <v>6149</v>
      </c>
      <c r="H677" s="43">
        <v>7000</v>
      </c>
      <c r="I677" s="50">
        <v>5095</v>
      </c>
      <c r="J677" s="54">
        <f t="shared" si="467"/>
        <v>5217.28</v>
      </c>
      <c r="K677" s="54">
        <f t="shared" si="467"/>
        <v>5342.4947199999997</v>
      </c>
      <c r="L677" s="54">
        <f t="shared" si="468"/>
        <v>5465.3720985599994</v>
      </c>
      <c r="M677" s="54">
        <f t="shared" si="469"/>
        <v>5585.6102847283191</v>
      </c>
      <c r="N677" s="54">
        <f t="shared" si="470"/>
        <v>5714.0793212770695</v>
      </c>
      <c r="O677" s="54">
        <f t="shared" si="471"/>
        <v>5856.931304308996</v>
      </c>
      <c r="P677" s="54">
        <f t="shared" si="471"/>
        <v>6003.3545869167201</v>
      </c>
      <c r="Q677" s="54">
        <f t="shared" si="472"/>
        <v>6147.4350970027217</v>
      </c>
      <c r="R677" s="54">
        <f t="shared" si="472"/>
        <v>6294.9735393307874</v>
      </c>
    </row>
    <row r="678" spans="1:18" x14ac:dyDescent="0.25">
      <c r="C678" s="50"/>
      <c r="D678" s="50"/>
      <c r="E678" s="50"/>
      <c r="F678" s="50"/>
      <c r="G678" s="50"/>
      <c r="H678" s="50"/>
      <c r="I678" s="50"/>
      <c r="J678" s="50"/>
      <c r="K678" s="50"/>
      <c r="L678" s="50"/>
      <c r="M678" s="50"/>
      <c r="N678" s="50"/>
      <c r="O678" s="50"/>
      <c r="P678" s="50"/>
      <c r="Q678" s="50"/>
      <c r="R678" s="50"/>
    </row>
    <row r="679" spans="1:18" x14ac:dyDescent="0.25">
      <c r="A679" s="41" t="s">
        <v>216</v>
      </c>
      <c r="B679" s="44"/>
      <c r="C679" s="51">
        <f t="shared" ref="C679" si="473">SUM(C676:C678)</f>
        <v>45740</v>
      </c>
      <c r="D679" s="51">
        <f t="shared" ref="D679:R679" si="474">SUM(D676:D678)</f>
        <v>46958</v>
      </c>
      <c r="E679" s="51">
        <f t="shared" si="474"/>
        <v>47324</v>
      </c>
      <c r="F679" s="51">
        <f t="shared" si="474"/>
        <v>47768</v>
      </c>
      <c r="G679" s="51">
        <f t="shared" si="474"/>
        <v>47957</v>
      </c>
      <c r="H679" s="51">
        <f t="shared" si="474"/>
        <v>50400</v>
      </c>
      <c r="I679" s="51">
        <f t="shared" si="474"/>
        <v>44835</v>
      </c>
      <c r="J679" s="51">
        <f t="shared" si="474"/>
        <v>45911.040000000001</v>
      </c>
      <c r="K679" s="51">
        <f t="shared" si="474"/>
        <v>47012.904960000007</v>
      </c>
      <c r="L679" s="51">
        <f t="shared" si="474"/>
        <v>48094.20177408</v>
      </c>
      <c r="M679" s="51">
        <f t="shared" si="474"/>
        <v>49152.274213109755</v>
      </c>
      <c r="N679" s="51">
        <f t="shared" si="474"/>
        <v>50282.776520011277</v>
      </c>
      <c r="O679" s="51">
        <f t="shared" si="474"/>
        <v>51539.845933011551</v>
      </c>
      <c r="P679" s="51">
        <f t="shared" si="474"/>
        <v>52828.342081336836</v>
      </c>
      <c r="Q679" s="51">
        <f t="shared" si="474"/>
        <v>54096.222291288919</v>
      </c>
      <c r="R679" s="51">
        <f t="shared" si="474"/>
        <v>55394.531626279851</v>
      </c>
    </row>
    <row r="680" spans="1:18" x14ac:dyDescent="0.25">
      <c r="C680" s="50"/>
      <c r="D680" s="50"/>
      <c r="E680" s="50"/>
      <c r="F680" s="50"/>
      <c r="G680" s="50"/>
      <c r="H680" s="50"/>
      <c r="I680" s="50"/>
      <c r="J680" s="50"/>
      <c r="K680" s="50"/>
      <c r="L680" s="50"/>
      <c r="M680" s="50"/>
      <c r="N680" s="50"/>
      <c r="O680" s="50"/>
      <c r="P680" s="50"/>
      <c r="Q680" s="50"/>
      <c r="R680" s="50"/>
    </row>
    <row r="681" spans="1:18" x14ac:dyDescent="0.25">
      <c r="C681" s="50"/>
      <c r="D681" s="50"/>
      <c r="E681" s="50"/>
      <c r="F681" s="50"/>
      <c r="G681" s="50"/>
      <c r="H681" s="50"/>
      <c r="I681" s="50"/>
      <c r="J681" s="50"/>
      <c r="K681" s="50"/>
      <c r="L681" s="50"/>
      <c r="M681" s="50"/>
      <c r="N681" s="50"/>
      <c r="O681" s="50"/>
      <c r="P681" s="50"/>
      <c r="Q681" s="50"/>
      <c r="R681" s="50"/>
    </row>
    <row r="682" spans="1:18" x14ac:dyDescent="0.25">
      <c r="A682" s="41" t="s">
        <v>165</v>
      </c>
      <c r="B682" s="44"/>
      <c r="C682" s="50"/>
      <c r="D682" s="50"/>
      <c r="E682" s="50"/>
      <c r="F682" s="50"/>
      <c r="G682" s="50"/>
      <c r="H682" s="50"/>
      <c r="I682" s="50"/>
      <c r="J682" s="50"/>
      <c r="K682" s="50"/>
      <c r="L682" s="50"/>
      <c r="M682" s="50"/>
      <c r="N682" s="50"/>
      <c r="O682" s="50"/>
      <c r="P682" s="50"/>
      <c r="Q682" s="50"/>
      <c r="R682" s="50"/>
    </row>
    <row r="683" spans="1:18" x14ac:dyDescent="0.25">
      <c r="C683" s="50"/>
      <c r="D683" s="50"/>
      <c r="E683" s="50"/>
      <c r="F683" s="50"/>
      <c r="G683" s="50"/>
      <c r="H683" s="50"/>
      <c r="I683" s="50"/>
      <c r="J683" s="50"/>
      <c r="K683" s="50"/>
      <c r="L683" s="50"/>
      <c r="M683" s="50"/>
      <c r="N683" s="50"/>
      <c r="O683" s="50"/>
      <c r="P683" s="50"/>
      <c r="Q683" s="50"/>
      <c r="R683" s="50"/>
    </row>
    <row r="684" spans="1:18" x14ac:dyDescent="0.25">
      <c r="A684" s="52" t="s">
        <v>413</v>
      </c>
      <c r="B684" s="53"/>
      <c r="C684" s="54">
        <v>569860</v>
      </c>
      <c r="D684" s="50">
        <v>583996</v>
      </c>
      <c r="E684" s="50">
        <v>643580</v>
      </c>
      <c r="F684" s="50">
        <v>706407</v>
      </c>
      <c r="G684" s="50">
        <v>717003</v>
      </c>
      <c r="H684" s="50">
        <v>733500</v>
      </c>
      <c r="I684" s="50">
        <v>753304.49999999988</v>
      </c>
      <c r="J684" s="50">
        <f t="shared" ref="J684:R684" si="475">(I684)*1.025</f>
        <v>772137.11249999981</v>
      </c>
      <c r="K684" s="50">
        <f t="shared" si="475"/>
        <v>791440.54031249974</v>
      </c>
      <c r="L684" s="50">
        <f t="shared" si="475"/>
        <v>811226.55382031214</v>
      </c>
      <c r="M684" s="50">
        <f t="shared" si="475"/>
        <v>831507.21766581992</v>
      </c>
      <c r="N684" s="50">
        <f t="shared" si="475"/>
        <v>852294.89810746536</v>
      </c>
      <c r="O684" s="50">
        <f t="shared" si="475"/>
        <v>873602.2705601519</v>
      </c>
      <c r="P684" s="50">
        <f t="shared" si="475"/>
        <v>895442.3273241556</v>
      </c>
      <c r="Q684" s="50">
        <f t="shared" si="475"/>
        <v>917828.3855072594</v>
      </c>
      <c r="R684" s="50">
        <f t="shared" si="475"/>
        <v>940774.09514494077</v>
      </c>
    </row>
    <row r="685" spans="1:18" x14ac:dyDescent="0.25">
      <c r="A685" s="43" t="s">
        <v>412</v>
      </c>
      <c r="C685" s="54">
        <v>8810</v>
      </c>
      <c r="D685" s="54">
        <v>6720</v>
      </c>
      <c r="E685" s="54">
        <v>6720</v>
      </c>
      <c r="F685">
        <v>6215</v>
      </c>
      <c r="G685">
        <v>6202</v>
      </c>
      <c r="H685">
        <v>7000</v>
      </c>
      <c r="I685" s="50">
        <v>5095</v>
      </c>
      <c r="J685" s="54">
        <f t="shared" ref="J685:K685" si="476">I685*1.024</f>
        <v>5217.28</v>
      </c>
      <c r="K685" s="54">
        <f t="shared" si="476"/>
        <v>5342.4947199999997</v>
      </c>
      <c r="L685" s="54">
        <f t="shared" ref="L685" si="477">K685*1.023</f>
        <v>5465.3720985599994</v>
      </c>
      <c r="M685" s="54">
        <f t="shared" ref="M685" si="478">L685*1.022</f>
        <v>5585.6102847283191</v>
      </c>
      <c r="N685" s="54">
        <f t="shared" ref="N685" si="479">M685*1.023</f>
        <v>5714.0793212770695</v>
      </c>
      <c r="O685" s="54">
        <f t="shared" ref="O685:P685" si="480">N685*1.025</f>
        <v>5856.931304308996</v>
      </c>
      <c r="P685" s="54">
        <f t="shared" si="480"/>
        <v>6003.3545869167201</v>
      </c>
      <c r="Q685" s="54">
        <f t="shared" ref="Q685:R685" si="481">P685*1.024</f>
        <v>6147.4350970027217</v>
      </c>
      <c r="R685" s="54">
        <f t="shared" si="481"/>
        <v>6294.9735393307874</v>
      </c>
    </row>
    <row r="686" spans="1:18" x14ac:dyDescent="0.25">
      <c r="A686" s="109" t="s">
        <v>414</v>
      </c>
      <c r="C686" s="50"/>
      <c r="D686" s="54"/>
      <c r="E686" s="54"/>
      <c r="F686" s="54"/>
      <c r="G686" s="54"/>
      <c r="H686" s="50">
        <v>40000</v>
      </c>
      <c r="I686" s="54"/>
      <c r="J686" s="54"/>
      <c r="K686" s="54"/>
      <c r="L686" s="54"/>
      <c r="M686" s="54"/>
      <c r="N686" s="54"/>
      <c r="O686" s="54"/>
      <c r="P686" s="54"/>
      <c r="Q686" s="54"/>
      <c r="R686" s="54"/>
    </row>
    <row r="687" spans="1:18" x14ac:dyDescent="0.25">
      <c r="C687" s="50"/>
      <c r="D687" s="50"/>
      <c r="E687" s="50"/>
      <c r="F687" s="50"/>
      <c r="G687" s="50"/>
      <c r="H687" s="50"/>
      <c r="I687" s="50"/>
      <c r="J687" s="50"/>
      <c r="K687" s="50"/>
      <c r="L687" s="50"/>
      <c r="M687" s="50"/>
      <c r="N687" s="50"/>
      <c r="O687" s="50"/>
      <c r="P687" s="50"/>
      <c r="Q687" s="50"/>
      <c r="R687" s="50"/>
    </row>
    <row r="688" spans="1:18" x14ac:dyDescent="0.25">
      <c r="A688" s="41" t="s">
        <v>230</v>
      </c>
      <c r="B688" s="44"/>
      <c r="C688" s="51">
        <f t="shared" ref="C688:R688" si="482">SUM(C684:C687)</f>
        <v>578670</v>
      </c>
      <c r="D688" s="51">
        <f t="shared" si="482"/>
        <v>590716</v>
      </c>
      <c r="E688" s="51">
        <f t="shared" si="482"/>
        <v>650300</v>
      </c>
      <c r="F688" s="51">
        <f t="shared" si="482"/>
        <v>712622</v>
      </c>
      <c r="G688" s="51">
        <f t="shared" si="482"/>
        <v>723205</v>
      </c>
      <c r="H688" s="51">
        <f t="shared" si="482"/>
        <v>780500</v>
      </c>
      <c r="I688" s="51">
        <f t="shared" si="482"/>
        <v>758399.49999999988</v>
      </c>
      <c r="J688" s="51">
        <f t="shared" si="482"/>
        <v>777354.39249999984</v>
      </c>
      <c r="K688" s="51">
        <f t="shared" si="482"/>
        <v>796783.0350324997</v>
      </c>
      <c r="L688" s="51">
        <f t="shared" si="482"/>
        <v>816691.92591887212</v>
      </c>
      <c r="M688" s="51">
        <f t="shared" si="482"/>
        <v>837092.82795054826</v>
      </c>
      <c r="N688" s="51">
        <f t="shared" si="482"/>
        <v>858008.97742874245</v>
      </c>
      <c r="O688" s="51">
        <f t="shared" si="482"/>
        <v>879459.20186446095</v>
      </c>
      <c r="P688" s="51">
        <f t="shared" si="482"/>
        <v>901445.68191107234</v>
      </c>
      <c r="Q688" s="51">
        <f t="shared" si="482"/>
        <v>923975.82060426218</v>
      </c>
      <c r="R688" s="51">
        <f t="shared" si="482"/>
        <v>947069.06868427154</v>
      </c>
    </row>
    <row r="689" spans="1:18" x14ac:dyDescent="0.25">
      <c r="C689" s="50"/>
      <c r="D689" s="50"/>
      <c r="E689" s="50"/>
      <c r="F689" s="50"/>
      <c r="G689" s="50"/>
      <c r="H689" s="50"/>
      <c r="I689" s="50"/>
      <c r="J689" s="50"/>
      <c r="K689" s="50"/>
      <c r="L689" s="50"/>
      <c r="M689" s="50"/>
      <c r="N689" s="50"/>
      <c r="O689" s="50"/>
      <c r="P689" s="50"/>
      <c r="Q689" s="50"/>
      <c r="R689" s="50"/>
    </row>
    <row r="690" spans="1:18" x14ac:dyDescent="0.25">
      <c r="A690" s="41" t="s">
        <v>415</v>
      </c>
      <c r="B690" s="44"/>
      <c r="C690" s="51">
        <f t="shared" ref="C690:R690" si="483">C688-C679</f>
        <v>532930</v>
      </c>
      <c r="D690" s="51">
        <f t="shared" si="483"/>
        <v>543758</v>
      </c>
      <c r="E690" s="51">
        <f t="shared" si="483"/>
        <v>602976</v>
      </c>
      <c r="F690" s="51">
        <f t="shared" si="483"/>
        <v>664854</v>
      </c>
      <c r="G690" s="51">
        <f t="shared" si="483"/>
        <v>675248</v>
      </c>
      <c r="H690" s="51">
        <f t="shared" si="483"/>
        <v>730100</v>
      </c>
      <c r="I690" s="51">
        <f t="shared" si="483"/>
        <v>713564.49999999988</v>
      </c>
      <c r="J690" s="51">
        <f t="shared" si="483"/>
        <v>731443.3524999998</v>
      </c>
      <c r="K690" s="51">
        <f t="shared" si="483"/>
        <v>749770.13007249974</v>
      </c>
      <c r="L690" s="51">
        <f t="shared" si="483"/>
        <v>768597.72414479207</v>
      </c>
      <c r="M690" s="51">
        <f t="shared" si="483"/>
        <v>787940.55373743852</v>
      </c>
      <c r="N690" s="51">
        <f t="shared" si="483"/>
        <v>807726.2009087312</v>
      </c>
      <c r="O690" s="51">
        <f t="shared" si="483"/>
        <v>827919.35593144945</v>
      </c>
      <c r="P690" s="51">
        <f t="shared" si="483"/>
        <v>848617.33982973546</v>
      </c>
      <c r="Q690" s="51">
        <f t="shared" si="483"/>
        <v>869879.59831297328</v>
      </c>
      <c r="R690" s="51">
        <f t="shared" si="483"/>
        <v>891674.53705799172</v>
      </c>
    </row>
    <row r="691" spans="1:18" x14ac:dyDescent="0.25">
      <c r="C691" s="50"/>
      <c r="D691" s="50"/>
      <c r="E691" s="50"/>
      <c r="F691" s="50"/>
      <c r="G691" s="50"/>
      <c r="H691" s="50"/>
      <c r="I691" s="50"/>
      <c r="J691" s="50"/>
      <c r="K691" s="50"/>
      <c r="L691" s="50"/>
      <c r="M691" s="50"/>
      <c r="N691" s="50"/>
      <c r="O691" s="50"/>
      <c r="P691" s="50"/>
      <c r="Q691" s="50"/>
      <c r="R691" s="50"/>
    </row>
    <row r="692" spans="1:18" x14ac:dyDescent="0.25">
      <c r="A692" s="41" t="s">
        <v>416</v>
      </c>
      <c r="B692" s="44"/>
      <c r="C692" s="50"/>
      <c r="D692" s="50"/>
      <c r="E692" s="50"/>
      <c r="F692" s="50"/>
      <c r="G692" s="50"/>
      <c r="H692" s="50"/>
      <c r="I692" s="50"/>
      <c r="J692" s="50"/>
      <c r="K692" s="50"/>
      <c r="L692" s="50"/>
      <c r="M692" s="50"/>
      <c r="N692" s="50"/>
      <c r="O692" s="50"/>
      <c r="P692" s="50"/>
      <c r="Q692" s="50"/>
      <c r="R692" s="50"/>
    </row>
    <row r="693" spans="1:18" x14ac:dyDescent="0.25">
      <c r="A693" s="41"/>
      <c r="B693" s="44"/>
      <c r="C693" s="50"/>
      <c r="D693" s="50"/>
      <c r="E693" s="50"/>
      <c r="F693" s="50"/>
      <c r="G693" s="50"/>
      <c r="H693" s="50"/>
      <c r="I693" s="50"/>
      <c r="J693" s="50"/>
      <c r="K693" s="50"/>
      <c r="L693" s="50"/>
      <c r="M693" s="50"/>
      <c r="N693" s="50"/>
      <c r="O693" s="50"/>
      <c r="P693" s="50"/>
      <c r="Q693" s="50"/>
      <c r="R693" s="50"/>
    </row>
    <row r="694" spans="1:18" x14ac:dyDescent="0.25">
      <c r="A694" s="41" t="s">
        <v>202</v>
      </c>
      <c r="B694" s="44"/>
      <c r="C694" s="50"/>
      <c r="D694" s="50"/>
      <c r="E694" s="50"/>
      <c r="F694" s="50"/>
      <c r="G694" s="50"/>
      <c r="H694" s="50"/>
      <c r="I694" s="50"/>
      <c r="J694" s="50"/>
      <c r="K694" s="50"/>
      <c r="L694" s="50"/>
      <c r="M694" s="50"/>
      <c r="N694" s="50"/>
      <c r="O694" s="50"/>
      <c r="P694" s="50"/>
      <c r="Q694" s="50"/>
      <c r="R694" s="50"/>
    </row>
    <row r="695" spans="1:18" x14ac:dyDescent="0.25">
      <c r="C695" s="50"/>
      <c r="D695" s="50"/>
      <c r="E695" s="50"/>
      <c r="F695" s="50"/>
      <c r="G695" s="50"/>
      <c r="H695" s="50"/>
      <c r="I695" s="50"/>
      <c r="J695" s="50"/>
      <c r="K695" s="50"/>
      <c r="L695" s="50"/>
      <c r="M695" s="50"/>
      <c r="N695" s="50"/>
      <c r="O695" s="50"/>
      <c r="P695" s="50"/>
      <c r="Q695" s="50"/>
      <c r="R695" s="50"/>
    </row>
    <row r="696" spans="1:18" x14ac:dyDescent="0.25">
      <c r="A696" s="52" t="s">
        <v>417</v>
      </c>
      <c r="B696" s="53"/>
      <c r="C696" s="50"/>
      <c r="D696" s="50"/>
      <c r="E696" s="50"/>
      <c r="F696" s="50"/>
      <c r="G696" s="50"/>
      <c r="H696" s="50"/>
      <c r="I696" s="50"/>
      <c r="J696" s="50"/>
      <c r="K696" s="50"/>
      <c r="L696" s="50"/>
      <c r="M696" s="50"/>
      <c r="N696" s="50"/>
      <c r="O696" s="50"/>
      <c r="P696" s="50"/>
      <c r="Q696" s="50"/>
      <c r="R696" s="50"/>
    </row>
    <row r="697" spans="1:18" x14ac:dyDescent="0.25">
      <c r="A697" s="52" t="s">
        <v>418</v>
      </c>
      <c r="B697" s="53"/>
      <c r="C697" s="59">
        <v>33896</v>
      </c>
      <c r="D697" s="54">
        <v>42840</v>
      </c>
      <c r="E697" s="54">
        <v>44241</v>
      </c>
      <c r="F697" s="54">
        <v>48585</v>
      </c>
      <c r="G697" s="54">
        <v>70493</v>
      </c>
      <c r="H697" s="54">
        <v>46500</v>
      </c>
      <c r="I697" s="54">
        <f t="shared" ref="I697:I698" si="484">H697*1.023</f>
        <v>47569.499999999993</v>
      </c>
      <c r="J697" s="54">
        <f t="shared" ref="J697:K698" si="485">I697*1.024</f>
        <v>48711.167999999991</v>
      </c>
      <c r="K697" s="54">
        <f t="shared" si="485"/>
        <v>49880.236031999993</v>
      </c>
      <c r="L697" s="54">
        <f t="shared" ref="L697:L698" si="486">K697*1.023</f>
        <v>51027.481460735988</v>
      </c>
      <c r="M697" s="54">
        <f t="shared" ref="M697:M698" si="487">L697*1.022</f>
        <v>52150.086052872182</v>
      </c>
      <c r="N697" s="54">
        <f t="shared" ref="N697:N698" si="488">M697*1.023</f>
        <v>53349.53803208824</v>
      </c>
      <c r="O697" s="54">
        <f t="shared" ref="O697:P698" si="489">N697*1.025</f>
        <v>54683.27648289044</v>
      </c>
      <c r="P697" s="54">
        <f t="shared" si="489"/>
        <v>56050.358394962699</v>
      </c>
      <c r="Q697" s="54">
        <f t="shared" ref="Q697:R698" si="490">P697*1.024</f>
        <v>57395.566996441805</v>
      </c>
      <c r="R697" s="54">
        <f t="shared" si="490"/>
        <v>58773.060604356411</v>
      </c>
    </row>
    <row r="698" spans="1:18" x14ac:dyDescent="0.25">
      <c r="A698" s="52" t="s">
        <v>419</v>
      </c>
      <c r="B698" s="53"/>
      <c r="C698" s="59"/>
      <c r="D698" s="54"/>
      <c r="E698" s="54"/>
      <c r="F698" s="54">
        <v>1004</v>
      </c>
      <c r="G698" s="50">
        <v>8504</v>
      </c>
      <c r="H698" s="50">
        <v>7000</v>
      </c>
      <c r="I698" s="54">
        <f t="shared" si="484"/>
        <v>7160.9999999999991</v>
      </c>
      <c r="J698" s="54">
        <f t="shared" si="485"/>
        <v>7332.8639999999996</v>
      </c>
      <c r="K698" s="54">
        <f t="shared" si="485"/>
        <v>7508.8527359999998</v>
      </c>
      <c r="L698" s="54">
        <f t="shared" si="486"/>
        <v>7681.5563489279994</v>
      </c>
      <c r="M698" s="54">
        <f t="shared" si="487"/>
        <v>7850.5505886044157</v>
      </c>
      <c r="N698" s="54">
        <f t="shared" si="488"/>
        <v>8031.1132521423169</v>
      </c>
      <c r="O698" s="54">
        <f t="shared" si="489"/>
        <v>8231.8910834458748</v>
      </c>
      <c r="P698" s="54">
        <f t="shared" si="489"/>
        <v>8437.6883605320218</v>
      </c>
      <c r="Q698" s="54">
        <f t="shared" si="490"/>
        <v>8640.1928811847902</v>
      </c>
      <c r="R698" s="54">
        <f t="shared" si="490"/>
        <v>8847.5575103332249</v>
      </c>
    </row>
    <row r="699" spans="1:18" x14ac:dyDescent="0.25">
      <c r="A699" s="52" t="s">
        <v>420</v>
      </c>
      <c r="B699" s="53"/>
      <c r="C699" s="59"/>
      <c r="D699" s="54"/>
      <c r="E699" s="54"/>
      <c r="F699" s="54">
        <v>20000</v>
      </c>
      <c r="G699" s="54">
        <v>0</v>
      </c>
      <c r="H699" s="54"/>
      <c r="I699" s="54"/>
      <c r="J699" s="54"/>
      <c r="K699" s="54"/>
      <c r="L699" s="54"/>
      <c r="M699" s="54"/>
      <c r="N699" s="54"/>
      <c r="O699" s="54"/>
      <c r="P699" s="54"/>
      <c r="Q699" s="54"/>
      <c r="R699" s="54"/>
    </row>
    <row r="700" spans="1:18" x14ac:dyDescent="0.25">
      <c r="A700" s="52" t="s">
        <v>421</v>
      </c>
      <c r="B700" s="53"/>
      <c r="C700" s="59"/>
      <c r="D700" s="54"/>
      <c r="E700" s="54"/>
      <c r="F700" s="54"/>
      <c r="G700" s="54">
        <v>0</v>
      </c>
      <c r="H700" s="54"/>
      <c r="I700" s="54"/>
      <c r="J700" s="54"/>
      <c r="K700" s="54"/>
      <c r="L700" s="54"/>
      <c r="M700" s="54"/>
      <c r="N700" s="54"/>
      <c r="O700" s="54"/>
      <c r="P700" s="54"/>
      <c r="Q700" s="54"/>
      <c r="R700" s="54"/>
    </row>
    <row r="701" spans="1:18" x14ac:dyDescent="0.25">
      <c r="A701" s="52" t="s">
        <v>422</v>
      </c>
      <c r="B701" s="53"/>
      <c r="C701" s="59"/>
      <c r="D701" s="50"/>
      <c r="E701" s="50"/>
      <c r="F701" s="50"/>
      <c r="G701" s="50">
        <v>0</v>
      </c>
      <c r="H701" s="50"/>
      <c r="I701" s="50"/>
      <c r="J701" s="50"/>
      <c r="K701" s="50"/>
      <c r="L701" s="50"/>
      <c r="M701" s="50"/>
      <c r="N701" s="50"/>
      <c r="O701" s="50"/>
      <c r="P701" s="50"/>
      <c r="Q701" s="50"/>
      <c r="R701" s="50"/>
    </row>
    <row r="702" spans="1:18" x14ac:dyDescent="0.25">
      <c r="A702" s="52" t="s">
        <v>423</v>
      </c>
      <c r="B702" s="53"/>
      <c r="C702" s="59"/>
      <c r="D702" s="50"/>
      <c r="E702" s="50"/>
      <c r="F702" s="50"/>
      <c r="G702" s="50">
        <v>0</v>
      </c>
      <c r="H702" s="50"/>
      <c r="I702" s="50"/>
      <c r="J702" s="50"/>
      <c r="K702" s="50"/>
      <c r="L702" s="50"/>
      <c r="M702" s="50"/>
      <c r="N702" s="50"/>
      <c r="O702" s="50"/>
      <c r="P702" s="50"/>
      <c r="Q702" s="50"/>
      <c r="R702" s="50"/>
    </row>
    <row r="703" spans="1:18" x14ac:dyDescent="0.25">
      <c r="A703" s="52" t="s">
        <v>424</v>
      </c>
      <c r="B703" s="53"/>
      <c r="C703" s="59"/>
      <c r="D703" s="50"/>
      <c r="E703" s="50"/>
      <c r="F703" s="50"/>
      <c r="G703" s="50">
        <v>0</v>
      </c>
      <c r="H703" s="50"/>
      <c r="I703" s="50"/>
      <c r="J703" s="50"/>
      <c r="K703" s="50"/>
      <c r="L703" s="50"/>
      <c r="M703" s="50"/>
      <c r="N703" s="50"/>
      <c r="O703" s="50"/>
      <c r="P703" s="50"/>
      <c r="Q703" s="50"/>
      <c r="R703" s="50"/>
    </row>
    <row r="704" spans="1:18" x14ac:dyDescent="0.25">
      <c r="A704" s="52" t="s">
        <v>425</v>
      </c>
      <c r="B704" s="53"/>
      <c r="C704" s="59">
        <v>1338</v>
      </c>
      <c r="D704" s="50">
        <v>13333</v>
      </c>
      <c r="E704" s="50"/>
      <c r="F704" s="50"/>
      <c r="G704" s="50">
        <v>0</v>
      </c>
      <c r="H704" s="50"/>
      <c r="I704" s="50"/>
      <c r="J704" s="50"/>
      <c r="K704" s="50"/>
      <c r="L704" s="50"/>
      <c r="M704" s="50"/>
      <c r="N704" s="50"/>
      <c r="O704" s="50"/>
      <c r="P704" s="50"/>
      <c r="Q704" s="50"/>
      <c r="R704" s="50"/>
    </row>
    <row r="705" spans="1:18" x14ac:dyDescent="0.25">
      <c r="A705" s="59" t="s">
        <v>426</v>
      </c>
      <c r="B705" s="53"/>
      <c r="C705" s="59"/>
      <c r="D705" s="50">
        <v>30000</v>
      </c>
      <c r="E705" s="50"/>
      <c r="F705" s="50"/>
      <c r="G705" s="50">
        <v>0</v>
      </c>
      <c r="H705" s="50"/>
      <c r="I705" s="50"/>
      <c r="J705" s="50"/>
      <c r="K705" s="50"/>
      <c r="L705" s="50"/>
      <c r="M705" s="50"/>
      <c r="N705" s="50"/>
      <c r="O705" s="50"/>
      <c r="P705" s="50"/>
      <c r="Q705" s="50"/>
      <c r="R705" s="50"/>
    </row>
    <row r="706" spans="1:18" x14ac:dyDescent="0.25">
      <c r="A706" s="43" t="s">
        <v>427</v>
      </c>
      <c r="C706" s="52">
        <v>365564</v>
      </c>
      <c r="D706" s="50">
        <v>337574</v>
      </c>
      <c r="E706" s="50">
        <v>360125</v>
      </c>
      <c r="F706" s="50">
        <v>332407</v>
      </c>
      <c r="G706" s="50">
        <v>553935</v>
      </c>
      <c r="H706" s="50">
        <v>330000</v>
      </c>
      <c r="I706" s="54">
        <f t="shared" ref="I706:I708" si="491">H706*1.023</f>
        <v>337589.99999999994</v>
      </c>
      <c r="J706" s="54">
        <f t="shared" ref="J706:K709" si="492">I706*1.024</f>
        <v>345692.15999999997</v>
      </c>
      <c r="K706" s="54">
        <f t="shared" si="492"/>
        <v>353988.77184</v>
      </c>
      <c r="L706" s="54">
        <f t="shared" ref="L706:L709" si="493">K706*1.023</f>
        <v>362130.51359231997</v>
      </c>
      <c r="M706" s="54">
        <f t="shared" ref="M706:M709" si="494">L706*1.022</f>
        <v>370097.38489135104</v>
      </c>
      <c r="N706" s="54">
        <f t="shared" ref="N706:N709" si="495">M706*1.023</f>
        <v>378609.62474385207</v>
      </c>
      <c r="O706" s="54">
        <f t="shared" ref="O706:P709" si="496">N706*1.025</f>
        <v>388074.86536244833</v>
      </c>
      <c r="P706" s="54">
        <f t="shared" si="496"/>
        <v>397776.73699650948</v>
      </c>
      <c r="Q706" s="54">
        <f t="shared" ref="Q706:R710" si="497">P706*1.024</f>
        <v>407323.37868442573</v>
      </c>
      <c r="R706" s="54">
        <f t="shared" si="497"/>
        <v>417099.13977285195</v>
      </c>
    </row>
    <row r="707" spans="1:18" x14ac:dyDescent="0.25">
      <c r="A707" s="43" t="s">
        <v>428</v>
      </c>
      <c r="C707" s="68">
        <v>20743</v>
      </c>
      <c r="D707" s="50">
        <v>30286</v>
      </c>
      <c r="E707" s="50">
        <v>31797</v>
      </c>
      <c r="F707" s="50">
        <v>28347</v>
      </c>
      <c r="G707" s="50">
        <v>24402</v>
      </c>
      <c r="H707" s="50">
        <v>32000</v>
      </c>
      <c r="I707" s="54">
        <f t="shared" si="491"/>
        <v>32735.999999999996</v>
      </c>
      <c r="J707" s="54">
        <f t="shared" si="492"/>
        <v>33521.663999999997</v>
      </c>
      <c r="K707" s="54">
        <f t="shared" si="492"/>
        <v>34326.183936000001</v>
      </c>
      <c r="L707" s="54">
        <f t="shared" si="493"/>
        <v>35115.686166528001</v>
      </c>
      <c r="M707" s="54">
        <f t="shared" si="494"/>
        <v>35888.231262191621</v>
      </c>
      <c r="N707" s="54">
        <f t="shared" si="495"/>
        <v>36713.660581222022</v>
      </c>
      <c r="O707" s="54">
        <f t="shared" si="496"/>
        <v>37631.50209575257</v>
      </c>
      <c r="P707" s="54">
        <f t="shared" si="496"/>
        <v>38572.289648146383</v>
      </c>
      <c r="Q707" s="54">
        <f t="shared" si="497"/>
        <v>39498.024599701894</v>
      </c>
      <c r="R707" s="54">
        <f t="shared" si="497"/>
        <v>40445.977190094738</v>
      </c>
    </row>
    <row r="708" spans="1:18" x14ac:dyDescent="0.25">
      <c r="A708" s="109" t="s">
        <v>429</v>
      </c>
      <c r="C708" s="68"/>
      <c r="D708" s="50"/>
      <c r="E708" s="50"/>
      <c r="F708" s="50">
        <v>2719</v>
      </c>
      <c r="G708" s="67">
        <v>6670</v>
      </c>
      <c r="H708" s="67">
        <v>7000</v>
      </c>
      <c r="I708" s="54">
        <f t="shared" si="491"/>
        <v>7160.9999999999991</v>
      </c>
      <c r="J708" s="54">
        <f t="shared" si="492"/>
        <v>7332.8639999999996</v>
      </c>
      <c r="K708" s="54">
        <f t="shared" si="492"/>
        <v>7508.8527359999998</v>
      </c>
      <c r="L708" s="54">
        <f t="shared" si="493"/>
        <v>7681.5563489279994</v>
      </c>
      <c r="M708" s="54">
        <f t="shared" si="494"/>
        <v>7850.5505886044157</v>
      </c>
      <c r="N708" s="54">
        <f t="shared" si="495"/>
        <v>8031.1132521423169</v>
      </c>
      <c r="O708" s="54">
        <f t="shared" si="496"/>
        <v>8231.8910834458748</v>
      </c>
      <c r="P708" s="54">
        <f t="shared" si="496"/>
        <v>8437.6883605320218</v>
      </c>
      <c r="Q708" s="54">
        <f t="shared" si="497"/>
        <v>8640.1928811847902</v>
      </c>
      <c r="R708" s="54">
        <f t="shared" si="497"/>
        <v>8847.5575103332249</v>
      </c>
    </row>
    <row r="709" spans="1:18" x14ac:dyDescent="0.25">
      <c r="A709" s="43" t="s">
        <v>430</v>
      </c>
      <c r="C709" s="50">
        <v>94</v>
      </c>
      <c r="D709" s="50">
        <v>0</v>
      </c>
      <c r="E709" s="50">
        <v>0</v>
      </c>
      <c r="F709" s="50">
        <v>0</v>
      </c>
      <c r="G709" s="50">
        <v>0</v>
      </c>
      <c r="H709" s="50">
        <v>20000</v>
      </c>
      <c r="I709" s="54">
        <v>40000</v>
      </c>
      <c r="J709" s="54">
        <f t="shared" si="492"/>
        <v>40960</v>
      </c>
      <c r="K709" s="54">
        <f t="shared" si="492"/>
        <v>41943.040000000001</v>
      </c>
      <c r="L709" s="54">
        <f t="shared" si="493"/>
        <v>42907.729919999998</v>
      </c>
      <c r="M709" s="54">
        <f t="shared" si="494"/>
        <v>43851.699978240002</v>
      </c>
      <c r="N709" s="54">
        <f t="shared" si="495"/>
        <v>44860.289077739515</v>
      </c>
      <c r="O709" s="54">
        <f t="shared" si="496"/>
        <v>45981.796304682997</v>
      </c>
      <c r="P709" s="54">
        <f t="shared" si="496"/>
        <v>47131.341212300067</v>
      </c>
      <c r="Q709" s="54">
        <f t="shared" si="497"/>
        <v>48262.493401395266</v>
      </c>
      <c r="R709" s="54">
        <f t="shared" si="497"/>
        <v>49420.793243028755</v>
      </c>
    </row>
    <row r="710" spans="1:18" x14ac:dyDescent="0.25">
      <c r="A710" s="43" t="s">
        <v>431</v>
      </c>
      <c r="C710" s="59">
        <v>0</v>
      </c>
      <c r="D710" s="50">
        <v>0</v>
      </c>
      <c r="E710" s="50">
        <v>0</v>
      </c>
      <c r="F710" s="50">
        <v>0</v>
      </c>
      <c r="G710" s="50">
        <v>0</v>
      </c>
      <c r="H710" s="50">
        <v>0</v>
      </c>
      <c r="I710" s="54">
        <v>0</v>
      </c>
      <c r="J710" s="54">
        <v>0</v>
      </c>
      <c r="K710" s="54">
        <v>0</v>
      </c>
      <c r="L710" s="54">
        <v>0</v>
      </c>
      <c r="M710" s="54">
        <v>0</v>
      </c>
      <c r="N710" s="54">
        <v>0</v>
      </c>
      <c r="O710" s="54">
        <v>0</v>
      </c>
      <c r="P710" s="54">
        <v>0</v>
      </c>
      <c r="Q710" s="54">
        <f t="shared" si="497"/>
        <v>0</v>
      </c>
      <c r="R710" s="54">
        <f t="shared" si="497"/>
        <v>0</v>
      </c>
    </row>
    <row r="711" spans="1:18" x14ac:dyDescent="0.25">
      <c r="A711" s="52" t="s">
        <v>432</v>
      </c>
      <c r="C711" s="59">
        <v>0</v>
      </c>
      <c r="D711" s="50"/>
      <c r="E711" s="50"/>
      <c r="F711" s="50"/>
      <c r="G711" s="50">
        <v>0</v>
      </c>
      <c r="H711" s="50"/>
      <c r="I711" s="50"/>
      <c r="J711" s="50"/>
      <c r="K711" s="50"/>
      <c r="L711" s="50"/>
      <c r="M711" s="50"/>
      <c r="N711" s="50"/>
      <c r="O711" s="50"/>
      <c r="P711" s="50"/>
      <c r="Q711" s="50"/>
      <c r="R711" s="50"/>
    </row>
    <row r="712" spans="1:18" x14ac:dyDescent="0.25">
      <c r="A712" s="52" t="s">
        <v>433</v>
      </c>
      <c r="C712" s="59">
        <v>0</v>
      </c>
      <c r="D712" s="50"/>
      <c r="E712" s="50"/>
      <c r="F712" s="50"/>
      <c r="G712" s="50">
        <v>0</v>
      </c>
      <c r="H712" s="50"/>
      <c r="I712" s="50"/>
      <c r="J712" s="50"/>
      <c r="K712" s="50"/>
      <c r="L712" s="50"/>
      <c r="M712" s="50"/>
      <c r="N712" s="50"/>
      <c r="O712" s="50"/>
      <c r="P712" s="50"/>
      <c r="Q712" s="50"/>
      <c r="R712" s="50"/>
    </row>
    <row r="713" spans="1:18" x14ac:dyDescent="0.25">
      <c r="A713" s="43" t="s">
        <v>434</v>
      </c>
      <c r="B713" s="53"/>
      <c r="C713" s="50">
        <v>0</v>
      </c>
      <c r="D713" s="50">
        <v>1320</v>
      </c>
      <c r="E713" s="50">
        <v>0</v>
      </c>
      <c r="F713" s="50">
        <v>0</v>
      </c>
      <c r="G713" s="50">
        <v>0</v>
      </c>
      <c r="H713" s="50">
        <v>0</v>
      </c>
      <c r="I713" s="50">
        <v>0</v>
      </c>
      <c r="J713" s="50">
        <v>0</v>
      </c>
      <c r="K713" s="50">
        <v>0</v>
      </c>
      <c r="L713" s="50">
        <v>0</v>
      </c>
      <c r="M713" s="50">
        <v>0</v>
      </c>
      <c r="N713" s="50">
        <v>0</v>
      </c>
      <c r="O713" s="50">
        <v>0</v>
      </c>
      <c r="P713" s="50">
        <v>0</v>
      </c>
      <c r="Q713" s="50">
        <v>0</v>
      </c>
      <c r="R713" s="50">
        <v>0</v>
      </c>
    </row>
    <row r="714" spans="1:18" x14ac:dyDescent="0.25">
      <c r="A714" s="43" t="s">
        <v>435</v>
      </c>
      <c r="C714" s="50">
        <v>0</v>
      </c>
      <c r="D714" s="50">
        <v>0</v>
      </c>
      <c r="E714" s="50">
        <v>0</v>
      </c>
      <c r="F714" s="50">
        <v>0</v>
      </c>
      <c r="G714" s="50">
        <v>0</v>
      </c>
      <c r="H714" s="50">
        <v>0</v>
      </c>
      <c r="I714" s="50">
        <v>0</v>
      </c>
      <c r="J714" s="50">
        <v>0</v>
      </c>
      <c r="K714" s="50">
        <v>0</v>
      </c>
      <c r="L714" s="50">
        <v>0</v>
      </c>
      <c r="M714" s="50">
        <v>0</v>
      </c>
      <c r="N714" s="50">
        <v>0</v>
      </c>
      <c r="O714" s="50">
        <v>0</v>
      </c>
      <c r="P714" s="50">
        <v>0</v>
      </c>
      <c r="Q714" s="50">
        <v>0</v>
      </c>
      <c r="R714" s="50">
        <v>0</v>
      </c>
    </row>
    <row r="715" spans="1:18" x14ac:dyDescent="0.25">
      <c r="A715" s="52" t="s">
        <v>436</v>
      </c>
      <c r="C715" s="50"/>
      <c r="D715" s="50"/>
      <c r="E715" s="50"/>
      <c r="F715" s="50">
        <v>21900</v>
      </c>
      <c r="G715" s="50"/>
      <c r="H715" s="50"/>
      <c r="I715" s="50"/>
      <c r="J715" s="50"/>
      <c r="K715" s="50"/>
      <c r="L715" s="50"/>
      <c r="M715" s="50"/>
      <c r="N715" s="50"/>
      <c r="O715" s="50"/>
      <c r="P715" s="50"/>
      <c r="Q715" s="50"/>
      <c r="R715" s="50"/>
    </row>
    <row r="716" spans="1:18" x14ac:dyDescent="0.25">
      <c r="A716" s="41"/>
      <c r="B716" s="44"/>
      <c r="C716" s="50"/>
      <c r="D716" s="50"/>
      <c r="E716" s="50"/>
      <c r="F716" s="50"/>
      <c r="G716" s="50"/>
      <c r="H716" s="50"/>
      <c r="I716" s="50"/>
      <c r="J716" s="50"/>
      <c r="K716" s="50"/>
      <c r="L716" s="50"/>
      <c r="M716" s="50"/>
      <c r="N716" s="50"/>
      <c r="O716" s="50"/>
      <c r="P716" s="50"/>
      <c r="Q716" s="50"/>
      <c r="R716" s="50"/>
    </row>
    <row r="717" spans="1:18" x14ac:dyDescent="0.25">
      <c r="A717" s="41" t="s">
        <v>216</v>
      </c>
      <c r="B717" s="44"/>
      <c r="C717" s="51">
        <f t="shared" ref="C717:R717" si="498">SUM(C697:C716)</f>
        <v>421635</v>
      </c>
      <c r="D717" s="51">
        <f t="shared" si="498"/>
        <v>455353</v>
      </c>
      <c r="E717" s="51">
        <f t="shared" si="498"/>
        <v>436163</v>
      </c>
      <c r="F717" s="51">
        <f t="shared" si="498"/>
        <v>454962</v>
      </c>
      <c r="G717" s="51">
        <f t="shared" si="498"/>
        <v>664004</v>
      </c>
      <c r="H717" s="51">
        <f t="shared" si="498"/>
        <v>442500</v>
      </c>
      <c r="I717" s="51">
        <f t="shared" si="498"/>
        <v>472217.49999999994</v>
      </c>
      <c r="J717" s="51">
        <f t="shared" si="498"/>
        <v>483550.71999999997</v>
      </c>
      <c r="K717" s="51">
        <f t="shared" si="498"/>
        <v>495155.93727999995</v>
      </c>
      <c r="L717" s="51">
        <f t="shared" si="498"/>
        <v>506544.52383744001</v>
      </c>
      <c r="M717" s="51">
        <f t="shared" si="498"/>
        <v>517688.50336186367</v>
      </c>
      <c r="N717" s="51">
        <f t="shared" si="498"/>
        <v>529595.33893918642</v>
      </c>
      <c r="O717" s="51">
        <f t="shared" si="498"/>
        <v>542835.22241266607</v>
      </c>
      <c r="P717" s="51">
        <f t="shared" si="498"/>
        <v>556406.10297298268</v>
      </c>
      <c r="Q717" s="51">
        <f t="shared" si="498"/>
        <v>569759.84944433428</v>
      </c>
      <c r="R717" s="51">
        <f t="shared" si="498"/>
        <v>583434.08583099837</v>
      </c>
    </row>
    <row r="718" spans="1:18" x14ac:dyDescent="0.25">
      <c r="C718" s="50"/>
      <c r="D718" s="50"/>
      <c r="E718" s="50"/>
      <c r="F718" s="50"/>
      <c r="G718" s="50"/>
      <c r="H718" s="50"/>
      <c r="I718" s="50"/>
      <c r="J718" s="50"/>
      <c r="K718" s="50"/>
      <c r="L718" s="50"/>
      <c r="M718" s="50"/>
      <c r="N718" s="50"/>
      <c r="O718" s="50"/>
      <c r="P718" s="50"/>
      <c r="Q718" s="50"/>
      <c r="R718" s="50"/>
    </row>
    <row r="719" spans="1:18" x14ac:dyDescent="0.25">
      <c r="A719" s="41" t="s">
        <v>165</v>
      </c>
      <c r="B719" s="44"/>
      <c r="C719" s="50"/>
      <c r="D719" s="50"/>
      <c r="E719" s="50"/>
      <c r="F719" s="50"/>
      <c r="G719" s="50"/>
      <c r="H719" s="50"/>
      <c r="I719" s="50"/>
      <c r="J719" s="50"/>
      <c r="K719" s="50"/>
      <c r="L719" s="50"/>
      <c r="M719" s="50"/>
      <c r="N719" s="50"/>
      <c r="O719" s="50"/>
      <c r="P719" s="50"/>
      <c r="Q719" s="50"/>
      <c r="R719" s="50"/>
    </row>
    <row r="720" spans="1:18" x14ac:dyDescent="0.25">
      <c r="C720" s="50"/>
      <c r="D720" s="50"/>
      <c r="E720" s="50"/>
      <c r="F720" s="50"/>
      <c r="G720" s="50"/>
      <c r="H720" s="50"/>
      <c r="I720" s="50"/>
      <c r="J720" s="50"/>
      <c r="K720" s="50"/>
      <c r="L720" s="50"/>
      <c r="M720" s="50"/>
      <c r="N720" s="50"/>
      <c r="O720" s="50"/>
      <c r="P720" s="50"/>
      <c r="Q720" s="50"/>
      <c r="R720" s="50"/>
    </row>
    <row r="721" spans="1:18" x14ac:dyDescent="0.25">
      <c r="A721" s="52" t="s">
        <v>437</v>
      </c>
      <c r="B721" s="53"/>
      <c r="C721" s="50"/>
      <c r="D721" s="50"/>
      <c r="E721" s="50"/>
      <c r="F721" s="50"/>
      <c r="G721" s="50"/>
      <c r="H721" s="50"/>
      <c r="I721" s="50"/>
      <c r="J721" s="50"/>
      <c r="K721" s="50"/>
      <c r="L721" s="50"/>
      <c r="M721" s="50"/>
      <c r="N721" s="50"/>
      <c r="O721" s="50"/>
      <c r="P721" s="50"/>
      <c r="Q721" s="50"/>
      <c r="R721" s="50"/>
    </row>
    <row r="722" spans="1:18" x14ac:dyDescent="0.25">
      <c r="A722" s="43" t="s">
        <v>217</v>
      </c>
      <c r="C722" s="59">
        <v>63176</v>
      </c>
      <c r="D722" s="54">
        <v>70645</v>
      </c>
      <c r="E722" s="50">
        <v>82743</v>
      </c>
      <c r="F722" s="50">
        <v>66600</v>
      </c>
      <c r="G722" s="50">
        <v>64861</v>
      </c>
      <c r="H722" s="50">
        <v>71300</v>
      </c>
      <c r="I722" s="54">
        <f>H722*1.025</f>
        <v>73082.5</v>
      </c>
      <c r="J722" s="50">
        <f>I722*1.029</f>
        <v>75201.892499999987</v>
      </c>
      <c r="K722" s="54">
        <f>J722*1.031</f>
        <v>77533.151167499978</v>
      </c>
      <c r="L722" s="54">
        <f>K722*1.033</f>
        <v>80091.745156027479</v>
      </c>
      <c r="M722" s="54">
        <f>L722*1.032</f>
        <v>82654.681001020363</v>
      </c>
      <c r="N722" s="54">
        <f>M722*1.03</f>
        <v>85134.321431050979</v>
      </c>
      <c r="O722" s="54">
        <f>N722*1.032</f>
        <v>87858.619716844609</v>
      </c>
      <c r="P722" s="54">
        <f>O722*1.034</f>
        <v>90845.812787217321</v>
      </c>
      <c r="Q722" s="54">
        <f>P722*1.034</f>
        <v>93934.570421982717</v>
      </c>
      <c r="R722" s="54">
        <f>Q722*1.034</f>
        <v>97128.345816330126</v>
      </c>
    </row>
    <row r="723" spans="1:18" x14ac:dyDescent="0.25">
      <c r="A723" s="43" t="s">
        <v>219</v>
      </c>
      <c r="C723" s="59">
        <v>7052</v>
      </c>
      <c r="D723" s="50">
        <v>5088</v>
      </c>
      <c r="E723" s="50">
        <v>7004</v>
      </c>
      <c r="F723" s="50">
        <v>1447</v>
      </c>
      <c r="G723" s="50">
        <v>4207</v>
      </c>
      <c r="H723" s="50">
        <v>4500</v>
      </c>
      <c r="I723" s="54">
        <f>H723*1.023</f>
        <v>4603.5</v>
      </c>
      <c r="J723" s="54">
        <f t="shared" ref="J723:K723" si="499">I723*1.024</f>
        <v>4713.9840000000004</v>
      </c>
      <c r="K723" s="54">
        <f t="shared" si="499"/>
        <v>4827.1196160000009</v>
      </c>
      <c r="L723" s="54">
        <f t="shared" ref="L723" si="500">K723*1.023</f>
        <v>4938.1433671680006</v>
      </c>
      <c r="M723" s="54">
        <f t="shared" ref="M723" si="501">L723*1.022</f>
        <v>5046.7825212456964</v>
      </c>
      <c r="N723" s="54">
        <f t="shared" ref="N723" si="502">M723*1.023</f>
        <v>5162.8585192343471</v>
      </c>
      <c r="O723" s="54">
        <f t="shared" ref="O723:P723" si="503">N723*1.025</f>
        <v>5291.9299822152052</v>
      </c>
      <c r="P723" s="54">
        <f t="shared" si="503"/>
        <v>5424.2282317705849</v>
      </c>
      <c r="Q723" s="54">
        <f t="shared" ref="Q723:R723" si="504">P723*1.024</f>
        <v>5554.4097093330793</v>
      </c>
      <c r="R723" s="54">
        <f t="shared" si="504"/>
        <v>5687.715542357073</v>
      </c>
    </row>
    <row r="724" spans="1:18" x14ac:dyDescent="0.25">
      <c r="A724" s="43" t="s">
        <v>220</v>
      </c>
      <c r="C724" s="52">
        <v>8128</v>
      </c>
      <c r="D724" s="50">
        <v>3721</v>
      </c>
      <c r="E724" s="50">
        <v>38918</v>
      </c>
      <c r="F724" s="50">
        <v>7515</v>
      </c>
      <c r="G724" s="50">
        <v>7665</v>
      </c>
      <c r="H724" s="50">
        <v>8100</v>
      </c>
      <c r="I724" s="54">
        <f>H724*1.025</f>
        <v>8302.5</v>
      </c>
      <c r="J724" s="50">
        <f>I724*1.029</f>
        <v>8543.2724999999991</v>
      </c>
      <c r="K724" s="54">
        <f>J724*1.031</f>
        <v>8808.1139474999982</v>
      </c>
      <c r="L724" s="54">
        <f>K724*1.033</f>
        <v>9098.7817077674972</v>
      </c>
      <c r="M724" s="54">
        <f>L724*1.032</f>
        <v>9389.9427224160572</v>
      </c>
      <c r="N724" s="54">
        <f>M724*1.03</f>
        <v>9671.6410040885385</v>
      </c>
      <c r="O724" s="54">
        <f>N724*1.032</f>
        <v>9981.1335162193718</v>
      </c>
      <c r="P724" s="54">
        <f>O724*1.034</f>
        <v>10320.49205577083</v>
      </c>
      <c r="Q724" s="54">
        <f>P724*1.034</f>
        <v>10671.388785667039</v>
      </c>
      <c r="R724" s="54">
        <f>Q724*1.034</f>
        <v>11034.216004379719</v>
      </c>
    </row>
    <row r="725" spans="1:18" x14ac:dyDescent="0.25">
      <c r="A725" s="43" t="s">
        <v>221</v>
      </c>
      <c r="C725" s="58">
        <v>5696</v>
      </c>
      <c r="D725" s="98">
        <v>4392</v>
      </c>
      <c r="E725" s="98">
        <v>4377</v>
      </c>
      <c r="F725" s="98">
        <v>7393</v>
      </c>
      <c r="G725" s="98">
        <v>4394</v>
      </c>
      <c r="H725" s="98">
        <v>4400</v>
      </c>
      <c r="I725" s="98">
        <v>4400</v>
      </c>
      <c r="J725" s="98">
        <v>5000</v>
      </c>
      <c r="K725" s="98">
        <v>5000</v>
      </c>
      <c r="L725" s="98">
        <v>5000</v>
      </c>
      <c r="M725" s="98">
        <v>5400</v>
      </c>
      <c r="N725" s="98">
        <v>5400</v>
      </c>
      <c r="O725" s="98">
        <v>5400</v>
      </c>
      <c r="P725" s="98">
        <v>5800</v>
      </c>
      <c r="Q725" s="98">
        <v>5800</v>
      </c>
      <c r="R725" s="98">
        <v>5800</v>
      </c>
    </row>
    <row r="726" spans="1:18" x14ac:dyDescent="0.25">
      <c r="A726" s="52" t="s">
        <v>438</v>
      </c>
      <c r="B726" s="53"/>
      <c r="C726" s="59">
        <v>589</v>
      </c>
      <c r="D726" s="54">
        <v>914</v>
      </c>
      <c r="E726" s="54">
        <v>974</v>
      </c>
      <c r="F726" s="54">
        <v>1075</v>
      </c>
      <c r="G726" s="50">
        <v>837</v>
      </c>
      <c r="H726" s="50">
        <v>1300</v>
      </c>
      <c r="I726" s="54">
        <f>H726*1.023</f>
        <v>1329.8999999999999</v>
      </c>
      <c r="J726" s="54">
        <f t="shared" ref="J726:K726" si="505">I726*1.024</f>
        <v>1361.8175999999999</v>
      </c>
      <c r="K726" s="54">
        <f t="shared" si="505"/>
        <v>1394.5012224</v>
      </c>
      <c r="L726" s="54">
        <f t="shared" ref="L726" si="506">K726*1.023</f>
        <v>1426.5747505151999</v>
      </c>
      <c r="M726" s="54">
        <f t="shared" ref="M726" si="507">L726*1.022</f>
        <v>1457.9593950265344</v>
      </c>
      <c r="N726" s="54">
        <f t="shared" ref="N726" si="508">M726*1.023</f>
        <v>1491.4924611121446</v>
      </c>
      <c r="O726" s="54">
        <f t="shared" ref="O726:P726" si="509">N726*1.025</f>
        <v>1528.7797726399481</v>
      </c>
      <c r="P726" s="54">
        <f t="shared" si="509"/>
        <v>1566.9992669559467</v>
      </c>
      <c r="Q726" s="54">
        <f t="shared" ref="Q726:R726" si="510">P726*1.024</f>
        <v>1604.6072493628894</v>
      </c>
      <c r="R726" s="54">
        <f t="shared" si="510"/>
        <v>1643.1178233475989</v>
      </c>
    </row>
    <row r="727" spans="1:18" x14ac:dyDescent="0.25">
      <c r="A727" s="52" t="s">
        <v>439</v>
      </c>
      <c r="B727" s="53"/>
      <c r="C727" s="59"/>
      <c r="D727" s="50"/>
      <c r="E727" s="50"/>
      <c r="F727" s="50"/>
      <c r="G727" s="50"/>
      <c r="H727" s="50"/>
      <c r="I727" s="50"/>
      <c r="J727" s="54"/>
      <c r="K727" s="50"/>
      <c r="L727" s="50"/>
      <c r="M727" s="50"/>
      <c r="N727" s="50"/>
      <c r="O727" s="50"/>
      <c r="P727" s="50"/>
      <c r="Q727" s="50"/>
      <c r="R727" s="50"/>
    </row>
    <row r="728" spans="1:18" x14ac:dyDescent="0.25">
      <c r="A728" s="52" t="s">
        <v>220</v>
      </c>
      <c r="B728" s="53"/>
      <c r="C728" s="59"/>
      <c r="D728" s="50"/>
      <c r="E728" s="50"/>
      <c r="F728" s="50"/>
      <c r="G728" s="50"/>
      <c r="H728" s="50"/>
      <c r="I728" s="50"/>
      <c r="J728" s="54"/>
      <c r="K728" s="50"/>
      <c r="L728" s="50"/>
      <c r="M728" s="50"/>
      <c r="N728" s="50"/>
      <c r="O728" s="50"/>
      <c r="P728" s="50"/>
      <c r="Q728" s="50"/>
      <c r="R728" s="50"/>
    </row>
    <row r="729" spans="1:18" x14ac:dyDescent="0.25">
      <c r="A729" s="52" t="s">
        <v>440</v>
      </c>
      <c r="B729" s="53"/>
      <c r="C729" s="59"/>
      <c r="D729" s="50"/>
      <c r="E729" s="50"/>
      <c r="F729" s="50"/>
      <c r="G729" s="50"/>
      <c r="H729" s="50"/>
      <c r="I729" s="50"/>
      <c r="J729" s="54"/>
      <c r="K729" s="50"/>
      <c r="L729" s="50"/>
      <c r="M729" s="50"/>
      <c r="N729" s="50"/>
      <c r="O729" s="50"/>
      <c r="P729" s="50"/>
      <c r="Q729" s="50"/>
      <c r="R729" s="50"/>
    </row>
    <row r="730" spans="1:18" x14ac:dyDescent="0.25">
      <c r="A730" s="52" t="s">
        <v>441</v>
      </c>
      <c r="B730" s="53"/>
      <c r="C730" s="59"/>
      <c r="D730" s="50"/>
      <c r="E730" s="50"/>
      <c r="F730" s="50"/>
      <c r="G730" s="50"/>
      <c r="H730" s="50"/>
      <c r="I730" s="50"/>
      <c r="J730" s="50"/>
      <c r="K730" s="50"/>
      <c r="L730" s="50"/>
      <c r="M730" s="50"/>
      <c r="N730" s="50"/>
      <c r="O730" s="50"/>
      <c r="P730" s="50"/>
      <c r="Q730" s="50"/>
      <c r="R730" s="50"/>
    </row>
    <row r="731" spans="1:18" x14ac:dyDescent="0.25">
      <c r="A731" s="52" t="s">
        <v>442</v>
      </c>
      <c r="B731" s="53"/>
      <c r="C731" s="59">
        <v>489</v>
      </c>
      <c r="D731" s="50">
        <v>501</v>
      </c>
      <c r="E731" s="50">
        <v>480</v>
      </c>
      <c r="F731" s="50">
        <v>1004</v>
      </c>
      <c r="G731" s="50">
        <v>532</v>
      </c>
      <c r="H731" s="50">
        <v>700</v>
      </c>
      <c r="I731" s="50">
        <v>719.7</v>
      </c>
      <c r="J731" s="50">
        <v>739.72620000000006</v>
      </c>
      <c r="K731" s="50">
        <v>760.37069880000013</v>
      </c>
      <c r="L731" s="50">
        <v>781.01160312240017</v>
      </c>
      <c r="M731" s="50">
        <v>801.62644804109277</v>
      </c>
      <c r="N731" s="50">
        <v>823.53935336666291</v>
      </c>
      <c r="O731" s="50">
        <v>847.50679263754819</v>
      </c>
      <c r="P731" s="50">
        <v>872.24236566204127</v>
      </c>
      <c r="Q731" s="50">
        <v>897.05049274167231</v>
      </c>
      <c r="R731" s="50">
        <v>922.64773038640124</v>
      </c>
    </row>
    <row r="732" spans="1:18" x14ac:dyDescent="0.25">
      <c r="A732" s="43" t="s">
        <v>304</v>
      </c>
      <c r="C732" s="77">
        <v>0</v>
      </c>
      <c r="D732" s="77">
        <v>0</v>
      </c>
      <c r="E732" s="74">
        <v>0</v>
      </c>
      <c r="F732" s="74">
        <v>0</v>
      </c>
      <c r="G732" s="74">
        <v>0</v>
      </c>
      <c r="H732" s="74">
        <v>0</v>
      </c>
      <c r="I732" s="74">
        <v>0</v>
      </c>
      <c r="J732" s="74">
        <v>0</v>
      </c>
      <c r="K732" s="74">
        <v>0</v>
      </c>
      <c r="L732" s="74">
        <v>0</v>
      </c>
      <c r="M732" s="74">
        <v>0</v>
      </c>
      <c r="N732" s="74">
        <v>0</v>
      </c>
      <c r="O732" s="74">
        <v>0</v>
      </c>
      <c r="P732" s="74">
        <v>0</v>
      </c>
      <c r="Q732" s="74">
        <v>0</v>
      </c>
      <c r="R732" s="74">
        <v>0</v>
      </c>
    </row>
    <row r="733" spans="1:18" x14ac:dyDescent="0.25">
      <c r="A733" s="52" t="s">
        <v>443</v>
      </c>
      <c r="C733" s="110">
        <v>3747</v>
      </c>
      <c r="D733" s="110">
        <v>3747</v>
      </c>
      <c r="E733" s="111">
        <v>1140</v>
      </c>
      <c r="F733" s="112">
        <v>1140</v>
      </c>
      <c r="G733" s="113">
        <v>1140</v>
      </c>
      <c r="H733" s="101">
        <v>1170</v>
      </c>
      <c r="I733" s="101">
        <v>1190</v>
      </c>
      <c r="J733" s="101">
        <v>1220</v>
      </c>
      <c r="K733" s="101">
        <v>1250</v>
      </c>
      <c r="L733" s="101">
        <v>1290</v>
      </c>
      <c r="M733" s="101">
        <v>1310</v>
      </c>
      <c r="N733" s="101">
        <v>1340</v>
      </c>
      <c r="O733" s="101">
        <v>1380</v>
      </c>
      <c r="P733" s="101">
        <v>1410</v>
      </c>
      <c r="Q733" s="101">
        <v>1440</v>
      </c>
      <c r="R733" s="101">
        <v>1440</v>
      </c>
    </row>
    <row r="734" spans="1:18" x14ac:dyDescent="0.25">
      <c r="A734" s="52" t="s">
        <v>444</v>
      </c>
      <c r="B734" s="53"/>
      <c r="C734" s="54">
        <v>4450</v>
      </c>
      <c r="D734" s="50">
        <v>7571</v>
      </c>
      <c r="E734" s="50">
        <v>16882</v>
      </c>
      <c r="F734" s="50">
        <v>13557</v>
      </c>
      <c r="G734" s="50">
        <v>3878</v>
      </c>
      <c r="H734" s="50">
        <v>13690</v>
      </c>
      <c r="I734" s="50">
        <v>14046.650000000001</v>
      </c>
      <c r="J734" s="50">
        <v>14431.397449999997</v>
      </c>
      <c r="K734" s="50">
        <v>14836.560830050003</v>
      </c>
      <c r="L734" s="50">
        <v>15254.644274853646</v>
      </c>
      <c r="M734" s="50">
        <v>15671.525553846972</v>
      </c>
      <c r="N734" s="50">
        <v>16099.61129892349</v>
      </c>
      <c r="O734" s="50">
        <v>16569.288296737654</v>
      </c>
      <c r="P734" s="50">
        <v>17064.248285779046</v>
      </c>
      <c r="Q734" s="50">
        <v>17565.074306366507</v>
      </c>
      <c r="R734" s="50">
        <v>18081.578530199011</v>
      </c>
    </row>
    <row r="735" spans="1:18" x14ac:dyDescent="0.25">
      <c r="A735" s="43" t="s">
        <v>304</v>
      </c>
      <c r="C735" s="77">
        <v>2711</v>
      </c>
      <c r="D735" s="74">
        <v>2711</v>
      </c>
      <c r="E735" s="72">
        <v>2711</v>
      </c>
      <c r="F735" s="74">
        <v>2711</v>
      </c>
      <c r="G735" s="105">
        <v>2711</v>
      </c>
      <c r="H735" s="73">
        <v>4440</v>
      </c>
      <c r="I735" s="73">
        <v>4540</v>
      </c>
      <c r="J735" s="73">
        <v>4650</v>
      </c>
      <c r="K735" s="73">
        <v>4760</v>
      </c>
      <c r="L735" s="73">
        <v>4870</v>
      </c>
      <c r="M735" s="73">
        <v>4980</v>
      </c>
      <c r="N735" s="73">
        <v>5100</v>
      </c>
      <c r="O735" s="73">
        <v>5220</v>
      </c>
      <c r="P735" s="73">
        <v>5350</v>
      </c>
      <c r="Q735" s="73">
        <v>5480</v>
      </c>
      <c r="R735" s="73">
        <v>5480</v>
      </c>
    </row>
    <row r="736" spans="1:18" x14ac:dyDescent="0.25">
      <c r="A736" s="52" t="s">
        <v>443</v>
      </c>
      <c r="C736" s="81">
        <v>21071</v>
      </c>
      <c r="D736" s="81">
        <v>22053</v>
      </c>
      <c r="E736" s="79">
        <v>8721</v>
      </c>
      <c r="F736" s="79">
        <v>8721</v>
      </c>
      <c r="G736" s="79">
        <v>8804</v>
      </c>
      <c r="H736" s="101">
        <v>9000</v>
      </c>
      <c r="I736" s="101">
        <v>9210</v>
      </c>
      <c r="J736" s="101">
        <v>9430</v>
      </c>
      <c r="K736" s="101">
        <v>9660</v>
      </c>
      <c r="L736" s="101">
        <v>9880</v>
      </c>
      <c r="M736" s="101">
        <v>10100</v>
      </c>
      <c r="N736" s="101">
        <v>10330</v>
      </c>
      <c r="O736" s="101">
        <v>10580</v>
      </c>
      <c r="P736" s="101">
        <v>10850</v>
      </c>
      <c r="Q736" s="101">
        <v>11170</v>
      </c>
      <c r="R736" s="101">
        <v>11170</v>
      </c>
    </row>
    <row r="737" spans="1:20" x14ac:dyDescent="0.25">
      <c r="A737" s="52" t="s">
        <v>445</v>
      </c>
      <c r="B737" s="53"/>
      <c r="C737" s="50"/>
      <c r="D737" s="50"/>
      <c r="E737" s="50"/>
      <c r="F737" s="50"/>
      <c r="G737" s="50"/>
      <c r="H737" s="50"/>
      <c r="I737" s="50"/>
      <c r="J737" s="50"/>
      <c r="K737" s="50"/>
      <c r="L737" s="50"/>
      <c r="M737" s="50"/>
      <c r="N737" s="50"/>
      <c r="O737" s="50"/>
      <c r="P737" s="50"/>
      <c r="Q737" s="50"/>
      <c r="R737" s="50"/>
    </row>
    <row r="738" spans="1:20" x14ac:dyDescent="0.25">
      <c r="A738" s="52" t="s">
        <v>446</v>
      </c>
      <c r="B738" s="53"/>
      <c r="C738" s="59">
        <v>73178</v>
      </c>
      <c r="D738" s="50">
        <v>73620</v>
      </c>
      <c r="E738" s="50">
        <v>68270</v>
      </c>
      <c r="F738" s="50">
        <v>80203</v>
      </c>
      <c r="G738" s="50">
        <v>71905</v>
      </c>
      <c r="H738" s="50">
        <v>80000</v>
      </c>
      <c r="I738" s="50">
        <v>81899.599999999977</v>
      </c>
      <c r="J738" s="50">
        <v>84017.915399999983</v>
      </c>
      <c r="K738" s="50">
        <v>86254.361004599981</v>
      </c>
      <c r="L738" s="50">
        <v>88562.262907255776</v>
      </c>
      <c r="M738" s="50">
        <v>90845.377993550559</v>
      </c>
      <c r="N738" s="50">
        <v>93176.641693809128</v>
      </c>
      <c r="O738" s="50">
        <v>95755.132342753481</v>
      </c>
      <c r="P738" s="50">
        <v>98479.49707219268</v>
      </c>
      <c r="Q738" s="50">
        <v>101222.69717879193</v>
      </c>
      <c r="R738" s="50">
        <v>104044.64362196304</v>
      </c>
    </row>
    <row r="739" spans="1:20" x14ac:dyDescent="0.25">
      <c r="A739" s="52" t="s">
        <v>447</v>
      </c>
      <c r="B739" s="53"/>
      <c r="C739" s="59">
        <v>17725</v>
      </c>
      <c r="D739" s="50">
        <v>21501</v>
      </c>
      <c r="E739" s="50">
        <v>24980</v>
      </c>
      <c r="F739" s="50">
        <v>32625</v>
      </c>
      <c r="G739" s="50">
        <v>27151</v>
      </c>
      <c r="H739" s="50">
        <v>32700</v>
      </c>
      <c r="I739" s="50">
        <v>33480.300000000003</v>
      </c>
      <c r="J739" s="50">
        <v>34356.089699999997</v>
      </c>
      <c r="K739" s="50">
        <v>35284.737210299994</v>
      </c>
      <c r="L739" s="50">
        <v>36249.612594111895</v>
      </c>
      <c r="M739" s="50">
        <v>37205.490271280534</v>
      </c>
      <c r="N739" s="50">
        <v>38175.634738470908</v>
      </c>
      <c r="O739" s="50">
        <v>39247.876343612123</v>
      </c>
      <c r="P739" s="50">
        <v>40385.444343956529</v>
      </c>
      <c r="Q739" s="50">
        <v>41534.348018071199</v>
      </c>
      <c r="R739" s="50">
        <v>42716.933582699858</v>
      </c>
    </row>
    <row r="740" spans="1:20" x14ac:dyDescent="0.25">
      <c r="A740" s="52" t="s">
        <v>448</v>
      </c>
      <c r="B740" s="53"/>
      <c r="C740" s="59">
        <v>13844</v>
      </c>
      <c r="D740" s="50">
        <v>17793</v>
      </c>
      <c r="E740" s="50">
        <v>14005</v>
      </c>
      <c r="F740" s="50">
        <v>10683</v>
      </c>
      <c r="G740" s="50">
        <v>25065</v>
      </c>
      <c r="H740" s="50">
        <v>16700</v>
      </c>
      <c r="I740" s="50">
        <v>17102.899999999998</v>
      </c>
      <c r="J740" s="50">
        <v>17561.544599999994</v>
      </c>
      <c r="K740" s="50">
        <v>18052.422575399996</v>
      </c>
      <c r="L740" s="50">
        <v>18569.845913284196</v>
      </c>
      <c r="M740" s="50">
        <v>19083.973323441896</v>
      </c>
      <c r="N740" s="50">
        <v>19599.18350384834</v>
      </c>
      <c r="O740" s="50">
        <v>20167.730249230848</v>
      </c>
      <c r="P740" s="50">
        <v>20776.170899964356</v>
      </c>
      <c r="Q740" s="50">
        <v>21394.567674803311</v>
      </c>
      <c r="R740" s="50">
        <v>22031.878107128552</v>
      </c>
    </row>
    <row r="741" spans="1:20" x14ac:dyDescent="0.25">
      <c r="A741" s="52" t="s">
        <v>449</v>
      </c>
      <c r="B741" s="53"/>
      <c r="C741" s="59">
        <v>0</v>
      </c>
      <c r="D741" s="50">
        <v>2383</v>
      </c>
      <c r="E741" s="50">
        <v>71</v>
      </c>
      <c r="F741" s="50">
        <v>980</v>
      </c>
      <c r="G741" s="50">
        <v>506</v>
      </c>
      <c r="H741" s="50">
        <v>3000</v>
      </c>
      <c r="I741" s="50">
        <v>3073.2000000000003</v>
      </c>
      <c r="J741" s="50">
        <v>3157.7192999999997</v>
      </c>
      <c r="K741" s="50">
        <v>3249.0090206999994</v>
      </c>
      <c r="L741" s="50">
        <v>3346.5720791510989</v>
      </c>
      <c r="M741" s="50">
        <v>3443.786098949598</v>
      </c>
      <c r="N741" s="50">
        <v>3540.0341863883423</v>
      </c>
      <c r="O741" s="50">
        <v>3646.0872784258404</v>
      </c>
      <c r="P741" s="50">
        <v>3760.528771924332</v>
      </c>
      <c r="Q741" s="50">
        <v>3877.5382937062182</v>
      </c>
      <c r="R741" s="50">
        <v>3998.2657762735635</v>
      </c>
    </row>
    <row r="742" spans="1:20" x14ac:dyDescent="0.25">
      <c r="A742" s="52" t="s">
        <v>450</v>
      </c>
      <c r="B742" s="53"/>
      <c r="C742" s="59">
        <v>1779</v>
      </c>
      <c r="D742" s="50">
        <v>1373</v>
      </c>
      <c r="E742" s="50">
        <v>1509</v>
      </c>
      <c r="F742" s="50">
        <f>2357-672</f>
        <v>1685</v>
      </c>
      <c r="G742" s="50">
        <v>548</v>
      </c>
      <c r="H742" s="50">
        <v>6000</v>
      </c>
      <c r="I742" s="50">
        <v>6144.7999999999993</v>
      </c>
      <c r="J742" s="50">
        <v>6309.7002000000002</v>
      </c>
      <c r="K742" s="50">
        <v>6486.2354598000002</v>
      </c>
      <c r="L742" s="50">
        <v>6672.3912055253995</v>
      </c>
      <c r="M742" s="50">
        <v>6857.3762290919085</v>
      </c>
      <c r="N742" s="50">
        <v>7042.6860844342937</v>
      </c>
      <c r="O742" s="50">
        <v>7247.1711446806203</v>
      </c>
      <c r="P742" s="50">
        <v>7466.0569276922433</v>
      </c>
      <c r="Q742" s="50">
        <v>7688.5628778946593</v>
      </c>
      <c r="R742" s="50">
        <v>7917.8818707558203</v>
      </c>
    </row>
    <row r="743" spans="1:20" x14ac:dyDescent="0.25">
      <c r="A743" s="52" t="s">
        <v>443</v>
      </c>
      <c r="C743" s="114">
        <v>672</v>
      </c>
      <c r="D743" s="115">
        <v>672</v>
      </c>
      <c r="E743" s="115">
        <v>672</v>
      </c>
      <c r="F743" s="116">
        <v>672</v>
      </c>
      <c r="G743" s="117">
        <v>672</v>
      </c>
      <c r="H743" s="111">
        <v>690</v>
      </c>
      <c r="I743" s="111">
        <v>700</v>
      </c>
      <c r="J743" s="111">
        <v>730</v>
      </c>
      <c r="K743" s="111">
        <v>740</v>
      </c>
      <c r="L743" s="111">
        <v>760</v>
      </c>
      <c r="M743" s="111">
        <v>780</v>
      </c>
      <c r="N743" s="111">
        <v>790</v>
      </c>
      <c r="O743" s="111">
        <v>810</v>
      </c>
      <c r="P743" s="111">
        <v>830</v>
      </c>
      <c r="Q743" s="111">
        <v>850</v>
      </c>
      <c r="R743" s="111">
        <v>850</v>
      </c>
    </row>
    <row r="744" spans="1:20" x14ac:dyDescent="0.25">
      <c r="A744" s="52" t="s">
        <v>451</v>
      </c>
      <c r="B744" s="53"/>
      <c r="C744" s="50"/>
      <c r="D744" s="50"/>
      <c r="E744" s="50"/>
      <c r="F744" s="50"/>
      <c r="G744" s="50"/>
      <c r="H744" s="50"/>
      <c r="I744" s="50"/>
      <c r="J744" s="50"/>
      <c r="K744" s="50"/>
      <c r="L744" s="50"/>
      <c r="M744" s="50"/>
      <c r="N744" s="50"/>
      <c r="O744" s="50"/>
      <c r="P744" s="50"/>
      <c r="Q744" s="50"/>
      <c r="R744" s="50"/>
    </row>
    <row r="745" spans="1:20" x14ac:dyDescent="0.25">
      <c r="A745" s="52" t="s">
        <v>452</v>
      </c>
      <c r="B745" s="53"/>
      <c r="C745" s="54">
        <f>565895-67746-2246-7682-48181</f>
        <v>440040</v>
      </c>
      <c r="D745" s="50">
        <v>376917</v>
      </c>
      <c r="E745" s="50">
        <v>399837</v>
      </c>
      <c r="F745" s="50">
        <f>556531-10917-42478-99831-2446-302.18-8761-4257</f>
        <v>387538.82</v>
      </c>
      <c r="G745" s="50">
        <v>329089</v>
      </c>
      <c r="H745" s="50">
        <v>340347.69576679997</v>
      </c>
      <c r="I745" s="50">
        <v>348593.79307841626</v>
      </c>
      <c r="J745" s="50">
        <v>357936.79852541967</v>
      </c>
      <c r="K745" s="50">
        <v>367919.83098830987</v>
      </c>
      <c r="L745" s="50">
        <v>378422.79440813762</v>
      </c>
      <c r="M745" s="50">
        <v>388863.26435530186</v>
      </c>
      <c r="N745" s="50">
        <v>399346.21674847591</v>
      </c>
      <c r="O745" s="50">
        <v>410902.17518670147</v>
      </c>
      <c r="P745" s="50">
        <v>423249.97039456124</v>
      </c>
      <c r="Q745" s="50">
        <v>435795.36827576929</v>
      </c>
      <c r="R745" s="50">
        <f>442898.52335339+5817</f>
        <v>448715.52335338999</v>
      </c>
    </row>
    <row r="746" spans="1:20" x14ac:dyDescent="0.25">
      <c r="A746" s="52" t="s">
        <v>453</v>
      </c>
      <c r="B746" s="53"/>
      <c r="C746" s="54"/>
      <c r="D746" s="50"/>
      <c r="E746" s="50">
        <v>0</v>
      </c>
      <c r="F746" s="50">
        <f>10917</f>
        <v>10917</v>
      </c>
      <c r="G746" s="50">
        <v>23460</v>
      </c>
      <c r="H746" s="50">
        <v>33100</v>
      </c>
      <c r="I746" s="50">
        <v>33896.300000000003</v>
      </c>
      <c r="J746" s="50">
        <v>34799.498699999996</v>
      </c>
      <c r="K746" s="50">
        <v>35763.890481299997</v>
      </c>
      <c r="L746" s="50">
        <v>36776.758720494894</v>
      </c>
      <c r="M746" s="50">
        <v>37782.42602948891</v>
      </c>
      <c r="N746" s="50">
        <v>38793.430221191345</v>
      </c>
      <c r="O746" s="50">
        <v>39909.534621536041</v>
      </c>
      <c r="P746" s="50">
        <v>41101.35058322316</v>
      </c>
      <c r="Q746" s="50">
        <v>42310.756591018027</v>
      </c>
      <c r="R746" s="50">
        <v>43557</v>
      </c>
    </row>
    <row r="747" spans="1:20" x14ac:dyDescent="0.25">
      <c r="A747" s="52" t="s">
        <v>443</v>
      </c>
      <c r="B747" s="53"/>
      <c r="C747" s="54"/>
      <c r="D747" s="50"/>
      <c r="E747" s="50"/>
      <c r="F747" s="50"/>
      <c r="G747" s="50"/>
      <c r="H747" s="115">
        <v>1290</v>
      </c>
      <c r="I747" s="115">
        <v>1320</v>
      </c>
      <c r="J747" s="115">
        <v>1360</v>
      </c>
      <c r="K747" s="115">
        <v>1380</v>
      </c>
      <c r="L747" s="115">
        <v>1420</v>
      </c>
      <c r="M747" s="115">
        <v>1450</v>
      </c>
      <c r="N747" s="115">
        <v>1480</v>
      </c>
      <c r="O747" s="115">
        <v>1520</v>
      </c>
      <c r="P747" s="115">
        <v>1560</v>
      </c>
      <c r="Q747" s="115">
        <v>1600</v>
      </c>
      <c r="R747" s="115">
        <v>1600</v>
      </c>
      <c r="S747" s="115"/>
    </row>
    <row r="748" spans="1:20" x14ac:dyDescent="0.25">
      <c r="A748" s="52" t="s">
        <v>454</v>
      </c>
      <c r="B748" s="53"/>
      <c r="C748" s="52">
        <v>12066</v>
      </c>
      <c r="D748" s="50">
        <v>7069</v>
      </c>
      <c r="E748" s="50">
        <v>14265</v>
      </c>
      <c r="F748" s="43">
        <v>29269</v>
      </c>
      <c r="G748" s="50">
        <v>28836</v>
      </c>
      <c r="H748" s="50">
        <v>28800</v>
      </c>
      <c r="I748" s="54">
        <f>H748*1.023</f>
        <v>29462.399999999998</v>
      </c>
      <c r="J748" s="54">
        <f t="shared" ref="J748:K748" si="511">I748*1.024</f>
        <v>30169.497599999999</v>
      </c>
      <c r="K748" s="54">
        <f t="shared" si="511"/>
        <v>30893.5655424</v>
      </c>
      <c r="L748" s="54">
        <f t="shared" ref="L748" si="512">K748*1.023</f>
        <v>31604.117549875198</v>
      </c>
      <c r="M748" s="54">
        <f t="shared" ref="M748" si="513">L748*1.022</f>
        <v>32299.408135972451</v>
      </c>
      <c r="N748" s="54">
        <f t="shared" ref="N748" si="514">M748*1.023</f>
        <v>33042.294523099816</v>
      </c>
      <c r="O748" s="54">
        <f t="shared" ref="O748:P748" si="515">N748*1.025</f>
        <v>33868.351886177305</v>
      </c>
      <c r="P748" s="54">
        <f t="shared" si="515"/>
        <v>34715.060683331736</v>
      </c>
      <c r="Q748" s="54">
        <f t="shared" ref="Q748:R748" si="516">P748*1.024</f>
        <v>35548.222139731697</v>
      </c>
      <c r="R748" s="54">
        <f t="shared" si="516"/>
        <v>36401.37947108526</v>
      </c>
    </row>
    <row r="749" spans="1:20" x14ac:dyDescent="0.25">
      <c r="A749" s="43" t="s">
        <v>220</v>
      </c>
      <c r="C749" s="50">
        <f>41248+6933</f>
        <v>48181</v>
      </c>
      <c r="D749" s="50">
        <v>43441</v>
      </c>
      <c r="E749" s="50">
        <v>37433</v>
      </c>
      <c r="F749" s="50">
        <v>42478</v>
      </c>
      <c r="G749" s="54">
        <v>53475</v>
      </c>
      <c r="H749" s="54">
        <v>73800</v>
      </c>
      <c r="I749" s="54">
        <f>H749*1.025</f>
        <v>75645</v>
      </c>
      <c r="J749" s="50">
        <f>I749*1.029</f>
        <v>77838.704999999987</v>
      </c>
      <c r="K749" s="54">
        <f>J749*1.031</f>
        <v>80251.704854999974</v>
      </c>
      <c r="L749" s="54">
        <f>K749*1.033</f>
        <v>82900.011115214962</v>
      </c>
      <c r="M749" s="54">
        <f>L749*1.032</f>
        <v>85552.811470901841</v>
      </c>
      <c r="N749" s="54">
        <f>M749*1.03</f>
        <v>88119.395815028896</v>
      </c>
      <c r="O749" s="54">
        <f>N749*1.032</f>
        <v>90939.216481109819</v>
      </c>
      <c r="P749" s="54">
        <f>O749*1.034</f>
        <v>94031.149841467559</v>
      </c>
      <c r="Q749" s="54">
        <f>P749*1.034</f>
        <v>97228.208936077455</v>
      </c>
      <c r="R749" s="54">
        <f>Q749*1.034</f>
        <v>100533.9680399041</v>
      </c>
      <c r="S749" s="54"/>
    </row>
    <row r="750" spans="1:20" x14ac:dyDescent="0.25">
      <c r="A750" s="52" t="s">
        <v>443</v>
      </c>
      <c r="C750" s="118">
        <v>67746</v>
      </c>
      <c r="D750" s="115">
        <v>84994</v>
      </c>
      <c r="E750" s="115">
        <v>107884</v>
      </c>
      <c r="F750" s="117">
        <f>99831+8761</f>
        <v>108592</v>
      </c>
      <c r="G750" s="115">
        <v>118959</v>
      </c>
      <c r="H750" s="117">
        <v>111880</v>
      </c>
      <c r="I750" s="115">
        <v>114400</v>
      </c>
      <c r="J750" s="115">
        <v>117170</v>
      </c>
      <c r="K750" s="115">
        <v>119970</v>
      </c>
      <c r="L750" s="115">
        <v>122760</v>
      </c>
      <c r="M750" s="115">
        <v>125410</v>
      </c>
      <c r="N750" s="115">
        <v>128270</v>
      </c>
      <c r="O750" s="115">
        <v>131460</v>
      </c>
      <c r="P750" s="115">
        <v>134800</v>
      </c>
      <c r="Q750" s="115">
        <v>138000</v>
      </c>
      <c r="R750" s="115">
        <v>138000</v>
      </c>
    </row>
    <row r="751" spans="1:20" x14ac:dyDescent="0.25">
      <c r="A751" s="43" t="s">
        <v>303</v>
      </c>
      <c r="C751" s="105">
        <v>2246</v>
      </c>
      <c r="D751" s="71">
        <v>2246</v>
      </c>
      <c r="E751" s="71">
        <v>2246</v>
      </c>
      <c r="F751" s="105">
        <v>2446</v>
      </c>
      <c r="G751" s="71">
        <v>2246</v>
      </c>
      <c r="H751" s="71">
        <v>5570</v>
      </c>
      <c r="I751" s="71">
        <v>5700</v>
      </c>
      <c r="J751" s="71">
        <v>5840</v>
      </c>
      <c r="K751" s="71">
        <v>5980</v>
      </c>
      <c r="L751" s="71">
        <v>6120</v>
      </c>
      <c r="M751" s="71">
        <v>6250</v>
      </c>
      <c r="N751" s="71">
        <v>6390</v>
      </c>
      <c r="O751" s="71">
        <v>6560</v>
      </c>
      <c r="P751" s="71">
        <v>6720</v>
      </c>
      <c r="Q751" s="71">
        <v>6880</v>
      </c>
      <c r="R751" s="71">
        <v>6880</v>
      </c>
      <c r="T751" s="71">
        <v>769871</v>
      </c>
    </row>
    <row r="752" spans="1:20" x14ac:dyDescent="0.25">
      <c r="A752" s="43" t="s">
        <v>389</v>
      </c>
      <c r="C752" s="117">
        <v>7682</v>
      </c>
      <c r="D752" s="71"/>
      <c r="E752" s="71"/>
      <c r="F752" s="71"/>
      <c r="G752" s="71"/>
      <c r="H752" s="100"/>
      <c r="I752" s="100"/>
      <c r="J752" s="71"/>
      <c r="K752" s="71"/>
      <c r="L752" s="100"/>
      <c r="M752" s="100"/>
      <c r="N752" s="71"/>
      <c r="O752" s="71"/>
      <c r="P752" s="71"/>
      <c r="Q752" s="71"/>
      <c r="R752" s="71"/>
      <c r="T752">
        <v>775698</v>
      </c>
    </row>
    <row r="753" spans="1:18" x14ac:dyDescent="0.25">
      <c r="A753" s="43" t="s">
        <v>455</v>
      </c>
      <c r="C753" s="54">
        <f>126330-18551-32842</f>
        <v>74937</v>
      </c>
      <c r="D753" s="50">
        <v>79825</v>
      </c>
      <c r="E753" s="50">
        <v>80329</v>
      </c>
      <c r="F753" s="50">
        <f>135720-19125-18726-704-20286</f>
        <v>76879</v>
      </c>
      <c r="G753" s="50">
        <v>79964</v>
      </c>
      <c r="H753" s="50">
        <v>98090</v>
      </c>
      <c r="I753" s="50">
        <v>99703.049999999988</v>
      </c>
      <c r="J753" s="50">
        <v>102343.34904999996</v>
      </c>
      <c r="K753" s="50">
        <v>105137.01366345002</v>
      </c>
      <c r="L753" s="50">
        <v>108017.65260708428</v>
      </c>
      <c r="M753" s="50">
        <v>110880.79924331512</v>
      </c>
      <c r="N753" s="50">
        <v>113813.1646092271</v>
      </c>
      <c r="O753" s="50">
        <v>117034.92779558865</v>
      </c>
      <c r="P753" s="50">
        <v>120433.14607607969</v>
      </c>
      <c r="Q753" s="50">
        <v>123863.02865294859</v>
      </c>
      <c r="R753" s="50">
        <v>127395.34463733769</v>
      </c>
    </row>
    <row r="754" spans="1:18" x14ac:dyDescent="0.25">
      <c r="A754" s="43" t="s">
        <v>456</v>
      </c>
      <c r="B754" s="53"/>
      <c r="C754" s="54">
        <f>17988+47+516</f>
        <v>18551</v>
      </c>
      <c r="D754" s="50">
        <v>19822</v>
      </c>
      <c r="E754" s="50">
        <v>15222</v>
      </c>
      <c r="F754" s="50">
        <f>38303-18726-704+252.08</f>
        <v>19125.080000000002</v>
      </c>
      <c r="G754" s="50">
        <v>15688</v>
      </c>
      <c r="H754" s="50">
        <v>18530</v>
      </c>
      <c r="I754" s="50">
        <v>4496.75</v>
      </c>
      <c r="J754" s="50">
        <v>4655.2904499999968</v>
      </c>
      <c r="K754" s="50">
        <v>4820.3498700499986</v>
      </c>
      <c r="L754" s="50">
        <v>4990.9317918896486</v>
      </c>
      <c r="M754" s="50">
        <v>5167.0322126051979</v>
      </c>
      <c r="N754" s="50">
        <v>5351.2192390605123</v>
      </c>
      <c r="O754" s="50">
        <v>5545.4790769102001</v>
      </c>
      <c r="P754" s="50">
        <v>5747.9783115869395</v>
      </c>
      <c r="Q754" s="50">
        <v>5957.4072175616457</v>
      </c>
      <c r="R754" s="50">
        <v>6175.3927925788448</v>
      </c>
    </row>
    <row r="755" spans="1:18" x14ac:dyDescent="0.25">
      <c r="A755" s="52" t="s">
        <v>457</v>
      </c>
      <c r="B755" s="53"/>
      <c r="C755" s="54"/>
      <c r="D755" s="50"/>
      <c r="E755" s="50"/>
      <c r="F755" s="50"/>
      <c r="G755" s="50"/>
      <c r="H755" s="50">
        <v>35000</v>
      </c>
      <c r="I755" s="50"/>
      <c r="J755" s="50"/>
      <c r="K755" s="50"/>
      <c r="L755" s="50"/>
      <c r="M755" s="50"/>
      <c r="N755" s="50"/>
      <c r="O755" s="50"/>
      <c r="P755" s="50"/>
      <c r="Q755" s="50"/>
      <c r="R755" s="50"/>
    </row>
    <row r="756" spans="1:18" x14ac:dyDescent="0.25">
      <c r="A756" s="52" t="s">
        <v>458</v>
      </c>
      <c r="B756" s="53"/>
      <c r="C756" s="77">
        <v>5569</v>
      </c>
      <c r="D756" s="77">
        <v>18726</v>
      </c>
      <c r="E756" s="77">
        <v>18726</v>
      </c>
      <c r="F756" s="77">
        <v>18726</v>
      </c>
      <c r="G756" s="73">
        <v>18726</v>
      </c>
      <c r="H756" s="73">
        <v>51790</v>
      </c>
      <c r="I756" s="73">
        <v>52980</v>
      </c>
      <c r="J756" s="73">
        <v>54260</v>
      </c>
      <c r="K756" s="73">
        <v>55550</v>
      </c>
      <c r="L756" s="73">
        <v>56830</v>
      </c>
      <c r="M756" s="73">
        <v>58080</v>
      </c>
      <c r="N756" s="73">
        <v>59420</v>
      </c>
      <c r="O756" s="73">
        <v>60910</v>
      </c>
      <c r="P756" s="73">
        <v>62430</v>
      </c>
      <c r="Q756" s="73">
        <v>63930</v>
      </c>
      <c r="R756" s="73">
        <v>63930</v>
      </c>
    </row>
    <row r="757" spans="1:18" x14ac:dyDescent="0.25">
      <c r="A757" s="52" t="s">
        <v>443</v>
      </c>
      <c r="B757" s="53"/>
      <c r="C757" s="77"/>
      <c r="D757" s="79">
        <v>704</v>
      </c>
      <c r="E757" s="79">
        <v>704</v>
      </c>
      <c r="F757" s="113">
        <v>704</v>
      </c>
      <c r="G757" s="119">
        <v>704</v>
      </c>
      <c r="H757" s="119">
        <v>720</v>
      </c>
      <c r="I757" s="119">
        <v>740</v>
      </c>
      <c r="J757" s="119">
        <v>760</v>
      </c>
      <c r="K757" s="119">
        <v>770</v>
      </c>
      <c r="L757" s="119">
        <v>790</v>
      </c>
      <c r="M757" s="119">
        <v>810</v>
      </c>
      <c r="N757" s="119">
        <v>830</v>
      </c>
      <c r="O757" s="119">
        <v>850</v>
      </c>
      <c r="P757" s="119">
        <v>870</v>
      </c>
      <c r="Q757" s="119">
        <v>890</v>
      </c>
      <c r="R757" s="119">
        <v>890</v>
      </c>
    </row>
    <row r="758" spans="1:18" x14ac:dyDescent="0.25">
      <c r="A758" s="43" t="s">
        <v>304</v>
      </c>
      <c r="C758" s="120">
        <f>32842-5569</f>
        <v>27273</v>
      </c>
      <c r="D758" s="77">
        <v>18416</v>
      </c>
      <c r="E758" s="73">
        <v>18457</v>
      </c>
      <c r="F758" s="105">
        <v>20286</v>
      </c>
      <c r="G758" s="77">
        <v>21199</v>
      </c>
      <c r="H758" s="77">
        <v>31160</v>
      </c>
      <c r="I758" s="77">
        <v>31900</v>
      </c>
      <c r="J758" s="77">
        <v>32660</v>
      </c>
      <c r="K758" s="77">
        <v>33450</v>
      </c>
      <c r="L758" s="77">
        <v>34210</v>
      </c>
      <c r="M758" s="77">
        <v>34940</v>
      </c>
      <c r="N758" s="77">
        <v>35760</v>
      </c>
      <c r="O758" s="77">
        <v>36660</v>
      </c>
      <c r="P758" s="77">
        <v>37550</v>
      </c>
      <c r="Q758" s="77">
        <v>38460</v>
      </c>
      <c r="R758" s="77">
        <v>38460</v>
      </c>
    </row>
    <row r="759" spans="1:18" x14ac:dyDescent="0.25">
      <c r="A759" s="52" t="s">
        <v>459</v>
      </c>
      <c r="B759" s="53"/>
      <c r="C759" s="51"/>
      <c r="D759" s="51"/>
      <c r="E759" s="51"/>
      <c r="F759" s="51"/>
      <c r="G759" s="51"/>
      <c r="H759" s="51"/>
      <c r="I759" s="51"/>
      <c r="J759" s="51"/>
      <c r="K759" s="51"/>
      <c r="L759" s="51"/>
      <c r="M759" s="51"/>
      <c r="N759" s="51"/>
      <c r="O759" s="51"/>
      <c r="P759" s="51"/>
      <c r="Q759" s="51"/>
      <c r="R759" s="51"/>
    </row>
    <row r="760" spans="1:18" x14ac:dyDescent="0.25">
      <c r="A760" s="52" t="s">
        <v>460</v>
      </c>
      <c r="B760" s="53"/>
      <c r="C760" s="59">
        <v>468</v>
      </c>
      <c r="D760" s="50">
        <v>6767</v>
      </c>
      <c r="E760" s="50">
        <v>8727</v>
      </c>
      <c r="F760" s="50">
        <v>3426</v>
      </c>
      <c r="G760" s="50">
        <v>6793</v>
      </c>
      <c r="H760" s="50">
        <v>9400</v>
      </c>
      <c r="I760" s="50">
        <v>9621.7999999999956</v>
      </c>
      <c r="J760" s="50">
        <v>9867.0731999999989</v>
      </c>
      <c r="K760" s="50">
        <v>10124.555566800002</v>
      </c>
      <c r="L760" s="50">
        <v>10387.868146136403</v>
      </c>
      <c r="M760" s="50">
        <v>10647.853824094302</v>
      </c>
      <c r="N760" s="50">
        <v>10915.475804932335</v>
      </c>
      <c r="O760" s="50">
        <v>11211.765683226033</v>
      </c>
      <c r="P760" s="50">
        <v>11523.112240690476</v>
      </c>
      <c r="Q760" s="50">
        <v>11835.342709474651</v>
      </c>
      <c r="R760" s="50">
        <v>12156.27968585991</v>
      </c>
    </row>
    <row r="761" spans="1:18" x14ac:dyDescent="0.25">
      <c r="A761" s="52" t="s">
        <v>443</v>
      </c>
      <c r="C761" s="114">
        <v>-6587</v>
      </c>
      <c r="D761" s="115">
        <v>18156</v>
      </c>
      <c r="E761" s="117">
        <v>19649</v>
      </c>
      <c r="F761" s="117">
        <v>22364</v>
      </c>
      <c r="G761" s="117">
        <v>24558</v>
      </c>
      <c r="H761" s="115">
        <v>26050</v>
      </c>
      <c r="I761" s="115">
        <v>26660</v>
      </c>
      <c r="J761" s="115">
        <v>27290</v>
      </c>
      <c r="K761" s="115">
        <v>27950</v>
      </c>
      <c r="L761" s="115">
        <v>28610</v>
      </c>
      <c r="M761" s="115">
        <v>29220</v>
      </c>
      <c r="N761" s="115">
        <v>29920</v>
      </c>
      <c r="O761" s="115">
        <v>30650</v>
      </c>
      <c r="P761" s="115">
        <v>31400</v>
      </c>
      <c r="Q761" s="115">
        <v>32140</v>
      </c>
      <c r="R761" s="115">
        <v>32140</v>
      </c>
    </row>
    <row r="762" spans="1:18" x14ac:dyDescent="0.25">
      <c r="A762" s="52" t="s">
        <v>461</v>
      </c>
      <c r="B762" s="53"/>
      <c r="C762" s="68">
        <v>7551</v>
      </c>
      <c r="D762" s="50">
        <v>5354</v>
      </c>
      <c r="E762" s="50">
        <v>10067</v>
      </c>
      <c r="F762" s="50">
        <v>6729.92</v>
      </c>
      <c r="G762" s="50">
        <v>6631</v>
      </c>
      <c r="H762" s="50">
        <v>10800</v>
      </c>
      <c r="I762" s="50">
        <v>11071.8</v>
      </c>
      <c r="J762" s="50">
        <v>11358.6561</v>
      </c>
      <c r="K762" s="50">
        <v>11655.255033900001</v>
      </c>
      <c r="L762" s="50">
        <v>11952.0269624547</v>
      </c>
      <c r="M762" s="50">
        <v>12245.676850981778</v>
      </c>
      <c r="N762" s="50">
        <v>12555.483689462209</v>
      </c>
      <c r="O762" s="50">
        <v>12897.166901766705</v>
      </c>
      <c r="P762" s="50">
        <v>13250.864627078416</v>
      </c>
      <c r="Q762" s="50">
        <v>13603.598453346051</v>
      </c>
      <c r="R762" s="50">
        <v>13966.350069790667</v>
      </c>
    </row>
    <row r="763" spans="1:18" x14ac:dyDescent="0.25">
      <c r="A763" s="52" t="s">
        <v>302</v>
      </c>
      <c r="C763" s="121">
        <v>100</v>
      </c>
      <c r="D763" s="121">
        <v>100</v>
      </c>
      <c r="E763" s="121">
        <v>100</v>
      </c>
      <c r="F763" s="121">
        <v>100</v>
      </c>
      <c r="G763" s="121">
        <v>100</v>
      </c>
      <c r="H763" s="121">
        <v>100</v>
      </c>
      <c r="I763" s="121">
        <v>110</v>
      </c>
      <c r="J763" s="121">
        <v>110</v>
      </c>
      <c r="K763" s="121">
        <v>110</v>
      </c>
      <c r="L763" s="121">
        <v>110</v>
      </c>
      <c r="M763" s="121">
        <v>120</v>
      </c>
      <c r="N763" s="121">
        <v>120</v>
      </c>
      <c r="O763" s="121">
        <v>120</v>
      </c>
      <c r="P763" s="121">
        <v>120</v>
      </c>
      <c r="Q763" s="121">
        <v>130</v>
      </c>
      <c r="R763" s="121">
        <v>130</v>
      </c>
    </row>
    <row r="764" spans="1:18" x14ac:dyDescent="0.25">
      <c r="A764" s="43" t="s">
        <v>303</v>
      </c>
      <c r="C764" s="77">
        <v>5484</v>
      </c>
      <c r="D764" s="71">
        <v>5484</v>
      </c>
      <c r="E764" s="77">
        <v>5484</v>
      </c>
      <c r="F764" s="77">
        <v>5484</v>
      </c>
      <c r="G764" s="77">
        <v>5484</v>
      </c>
      <c r="H764" s="71">
        <v>6130</v>
      </c>
      <c r="I764" s="71">
        <v>6270</v>
      </c>
      <c r="J764" s="71">
        <v>6420</v>
      </c>
      <c r="K764" s="71">
        <v>6570</v>
      </c>
      <c r="L764" s="71">
        <v>6720</v>
      </c>
      <c r="M764" s="71">
        <v>6870</v>
      </c>
      <c r="N764" s="71">
        <v>7030</v>
      </c>
      <c r="O764" s="71">
        <v>7210</v>
      </c>
      <c r="P764" s="71">
        <v>7390</v>
      </c>
      <c r="Q764" s="71">
        <v>7560</v>
      </c>
      <c r="R764" s="71">
        <v>7560</v>
      </c>
    </row>
    <row r="765" spans="1:18" x14ac:dyDescent="0.25">
      <c r="A765" s="43" t="s">
        <v>462</v>
      </c>
      <c r="C765" s="59">
        <v>0</v>
      </c>
      <c r="D765" s="52">
        <v>0</v>
      </c>
      <c r="E765" s="52">
        <v>0</v>
      </c>
      <c r="F765" s="52">
        <v>0</v>
      </c>
      <c r="G765" s="52">
        <v>0</v>
      </c>
      <c r="H765" s="52">
        <v>0</v>
      </c>
      <c r="I765" s="52">
        <v>0</v>
      </c>
      <c r="J765" s="52">
        <v>0</v>
      </c>
      <c r="K765" s="52">
        <v>0</v>
      </c>
      <c r="L765" s="52">
        <v>0</v>
      </c>
      <c r="M765" s="52">
        <v>0</v>
      </c>
      <c r="N765" s="52">
        <v>0</v>
      </c>
      <c r="O765" s="52">
        <v>0</v>
      </c>
      <c r="P765" s="52">
        <v>0</v>
      </c>
      <c r="Q765" s="52">
        <v>0</v>
      </c>
      <c r="R765" s="52">
        <v>0</v>
      </c>
    </row>
    <row r="766" spans="1:18" x14ac:dyDescent="0.25">
      <c r="A766" s="43" t="s">
        <v>463</v>
      </c>
      <c r="C766" s="59">
        <v>0</v>
      </c>
      <c r="D766" s="52">
        <v>0</v>
      </c>
      <c r="E766" s="52">
        <v>0</v>
      </c>
      <c r="F766" s="52">
        <v>0</v>
      </c>
      <c r="G766" s="52">
        <v>0</v>
      </c>
      <c r="H766" s="52">
        <v>0</v>
      </c>
      <c r="I766" s="52">
        <v>0</v>
      </c>
      <c r="J766" s="52">
        <v>0</v>
      </c>
      <c r="K766" s="52">
        <v>0</v>
      </c>
      <c r="L766" s="52">
        <v>0</v>
      </c>
      <c r="M766" s="52">
        <v>0</v>
      </c>
      <c r="N766" s="52">
        <v>0</v>
      </c>
      <c r="O766" s="52">
        <v>0</v>
      </c>
      <c r="P766" s="52">
        <v>0</v>
      </c>
      <c r="Q766" s="52">
        <v>0</v>
      </c>
      <c r="R766" s="52">
        <v>0</v>
      </c>
    </row>
    <row r="767" spans="1:18" x14ac:dyDescent="0.25">
      <c r="A767" s="43" t="s">
        <v>464</v>
      </c>
      <c r="C767" s="122"/>
      <c r="D767" s="123"/>
      <c r="G767" s="43">
        <v>0</v>
      </c>
      <c r="H767" s="43">
        <v>0</v>
      </c>
      <c r="I767" s="52">
        <v>50000</v>
      </c>
      <c r="J767" s="52">
        <v>0</v>
      </c>
      <c r="K767" s="52">
        <v>0</v>
      </c>
      <c r="L767" s="52">
        <v>0</v>
      </c>
      <c r="M767" s="52">
        <v>0</v>
      </c>
      <c r="N767" s="52">
        <v>0</v>
      </c>
      <c r="O767" s="52">
        <v>0</v>
      </c>
      <c r="P767" s="52">
        <v>0</v>
      </c>
      <c r="Q767" s="52">
        <v>0</v>
      </c>
      <c r="R767" s="52">
        <v>0</v>
      </c>
    </row>
    <row r="768" spans="1:18" s="43" customFormat="1" x14ac:dyDescent="0.25">
      <c r="A768" s="52" t="s">
        <v>465</v>
      </c>
      <c r="B768" s="42"/>
      <c r="C768" s="67">
        <v>59932</v>
      </c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</row>
    <row r="769" spans="1:20" s="43" customFormat="1" x14ac:dyDescent="0.25">
      <c r="A769" s="43" t="s">
        <v>303</v>
      </c>
      <c r="B769" s="42"/>
      <c r="C769" s="67"/>
      <c r="D769" s="124">
        <v>0</v>
      </c>
      <c r="E769" s="77">
        <v>0</v>
      </c>
      <c r="F769" s="77"/>
      <c r="G769" s="77"/>
      <c r="H769" s="77"/>
      <c r="I769" s="77"/>
      <c r="J769" s="77"/>
      <c r="K769" s="77"/>
      <c r="L769" s="77"/>
      <c r="M769" s="77"/>
      <c r="N769" s="77"/>
      <c r="O769" s="77"/>
      <c r="P769" s="77"/>
      <c r="Q769" s="77"/>
      <c r="R769" s="77"/>
    </row>
    <row r="770" spans="1:20" s="43" customFormat="1" x14ac:dyDescent="0.25">
      <c r="A770" s="52" t="s">
        <v>443</v>
      </c>
      <c r="B770" s="42"/>
      <c r="C770" s="67"/>
      <c r="D770" s="125">
        <v>8050</v>
      </c>
      <c r="E770" s="113">
        <v>12821</v>
      </c>
      <c r="F770" s="113">
        <v>14410</v>
      </c>
      <c r="G770" s="113">
        <v>14410</v>
      </c>
      <c r="H770" s="113">
        <v>14750</v>
      </c>
      <c r="I770" s="113">
        <v>15100</v>
      </c>
      <c r="J770" s="113">
        <v>15450</v>
      </c>
      <c r="K770" s="113">
        <v>15840</v>
      </c>
      <c r="L770" s="113">
        <v>16200</v>
      </c>
      <c r="M770" s="113">
        <v>16550</v>
      </c>
      <c r="N770" s="113">
        <v>16940</v>
      </c>
      <c r="O770" s="113">
        <v>17350</v>
      </c>
      <c r="P770" s="113">
        <v>17780</v>
      </c>
      <c r="Q770" s="113">
        <v>18210</v>
      </c>
      <c r="R770" s="113">
        <v>18210</v>
      </c>
    </row>
    <row r="771" spans="1:20" x14ac:dyDescent="0.25">
      <c r="C771" s="50"/>
      <c r="D771" s="50"/>
      <c r="E771" s="50"/>
      <c r="F771" s="50"/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50"/>
      <c r="R771" s="50"/>
    </row>
    <row r="772" spans="1:20" x14ac:dyDescent="0.25">
      <c r="A772" s="41" t="s">
        <v>230</v>
      </c>
      <c r="B772" s="44"/>
      <c r="C772" s="51">
        <f t="shared" ref="C772" si="517">SUM(C722:C771)</f>
        <v>995546</v>
      </c>
      <c r="D772" s="51">
        <f t="shared" ref="D772:F772" si="518">SUM(D722:D771)</f>
        <v>934756</v>
      </c>
      <c r="E772" s="51">
        <f t="shared" si="518"/>
        <v>1025408</v>
      </c>
      <c r="F772" s="51">
        <f t="shared" si="518"/>
        <v>1007485.8200000001</v>
      </c>
      <c r="G772" s="51">
        <f>SUM(G722:G771)</f>
        <v>975198</v>
      </c>
      <c r="H772" s="51">
        <f>SUM(H722:H771)</f>
        <v>1154997.6957668001</v>
      </c>
      <c r="I772" s="51">
        <f t="shared" ref="I772:R772" si="519">SUM(I722:I771)</f>
        <v>1181496.4430784164</v>
      </c>
      <c r="J772" s="51">
        <f t="shared" si="519"/>
        <v>1161713.9280754195</v>
      </c>
      <c r="K772" s="51">
        <f t="shared" si="519"/>
        <v>1193032.7487542599</v>
      </c>
      <c r="L772" s="51">
        <f t="shared" si="519"/>
        <v>1225613.7468600704</v>
      </c>
      <c r="M772" s="51">
        <f t="shared" si="519"/>
        <v>1258167.7936805726</v>
      </c>
      <c r="N772" s="51">
        <f t="shared" si="519"/>
        <v>1290974.3249252054</v>
      </c>
      <c r="O772" s="51">
        <f t="shared" si="519"/>
        <v>1327129.8730690137</v>
      </c>
      <c r="P772" s="51">
        <f t="shared" si="519"/>
        <v>1365874.3537669051</v>
      </c>
      <c r="Q772" s="51">
        <f t="shared" si="519"/>
        <v>1404626.7479846487</v>
      </c>
      <c r="R772" s="51">
        <f t="shared" si="519"/>
        <v>1436648.462455767</v>
      </c>
      <c r="S772">
        <v>1436648.1767461381</v>
      </c>
      <c r="T772" s="54">
        <f>S772-R772</f>
        <v>-0.28570962883532047</v>
      </c>
    </row>
    <row r="773" spans="1:20" s="43" customFormat="1" x14ac:dyDescent="0.25">
      <c r="B773" s="42"/>
      <c r="C773" s="50"/>
      <c r="D773" s="50"/>
      <c r="E773" s="50"/>
      <c r="F773" s="50"/>
      <c r="G773" s="50"/>
      <c r="H773" s="50"/>
      <c r="I773" s="67"/>
      <c r="J773" s="50"/>
      <c r="K773" s="50"/>
      <c r="L773" s="50"/>
      <c r="M773" s="50"/>
      <c r="N773" s="50"/>
      <c r="O773" s="50"/>
      <c r="P773" s="50"/>
      <c r="Q773" s="50"/>
      <c r="R773" s="50"/>
    </row>
    <row r="774" spans="1:20" s="43" customFormat="1" x14ac:dyDescent="0.25">
      <c r="B774" s="42"/>
      <c r="C774" s="50"/>
      <c r="D774" s="50"/>
      <c r="E774" s="50"/>
      <c r="F774" s="50"/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50"/>
      <c r="R774" s="50"/>
    </row>
    <row r="775" spans="1:20" x14ac:dyDescent="0.25">
      <c r="A775" s="41" t="s">
        <v>251</v>
      </c>
      <c r="B775" s="44"/>
      <c r="C775" s="50"/>
      <c r="D775" s="50"/>
      <c r="E775" s="50"/>
      <c r="F775" s="50"/>
      <c r="G775" s="50"/>
      <c r="H775" s="50"/>
      <c r="I775" s="50"/>
      <c r="J775" s="50"/>
      <c r="K775" s="50"/>
      <c r="L775" s="50"/>
      <c r="M775" s="50"/>
      <c r="N775" s="50"/>
      <c r="O775" s="50"/>
      <c r="P775" s="50"/>
      <c r="Q775" s="50"/>
      <c r="R775" s="50"/>
    </row>
    <row r="776" spans="1:20" x14ac:dyDescent="0.25">
      <c r="A776" s="41"/>
      <c r="B776" s="44"/>
      <c r="C776" s="50"/>
      <c r="D776" s="50"/>
      <c r="E776" s="50"/>
      <c r="F776" s="50"/>
      <c r="G776" s="50"/>
      <c r="H776" s="50"/>
      <c r="I776" s="50"/>
      <c r="J776" s="50"/>
      <c r="K776" s="50"/>
      <c r="L776" s="50"/>
      <c r="M776" s="50"/>
      <c r="N776" s="50"/>
      <c r="O776" s="50"/>
      <c r="P776" s="50"/>
      <c r="Q776" s="50"/>
      <c r="R776" s="50"/>
    </row>
    <row r="777" spans="1:20" x14ac:dyDescent="0.25">
      <c r="A777" s="52" t="s">
        <v>466</v>
      </c>
      <c r="B777" s="44"/>
      <c r="C777" s="52"/>
      <c r="D777" s="50"/>
      <c r="E777" s="50"/>
      <c r="F777" s="50"/>
      <c r="G777" s="50"/>
      <c r="H777" s="50"/>
      <c r="I777" s="50"/>
      <c r="J777" s="50"/>
      <c r="K777" s="50"/>
      <c r="L777" s="50"/>
      <c r="M777" s="50"/>
      <c r="N777" s="50"/>
      <c r="O777" s="50"/>
      <c r="P777" s="50"/>
      <c r="Q777" s="50"/>
      <c r="R777" s="50"/>
    </row>
    <row r="778" spans="1:20" x14ac:dyDescent="0.25">
      <c r="A778" s="126" t="s">
        <v>467</v>
      </c>
      <c r="B778" s="127" t="s">
        <v>468</v>
      </c>
      <c r="C778" s="50">
        <v>0</v>
      </c>
      <c r="D778" s="50">
        <v>0</v>
      </c>
      <c r="E778" s="50">
        <v>0</v>
      </c>
      <c r="F778" s="50">
        <v>0</v>
      </c>
      <c r="G778" s="50">
        <v>0</v>
      </c>
      <c r="H778" s="50">
        <v>0</v>
      </c>
      <c r="I778" s="50">
        <v>0</v>
      </c>
      <c r="J778" s="50">
        <v>0</v>
      </c>
      <c r="K778" s="50">
        <v>0</v>
      </c>
      <c r="L778" s="50">
        <v>0</v>
      </c>
      <c r="M778" s="50">
        <v>0</v>
      </c>
      <c r="N778" s="50">
        <v>0</v>
      </c>
      <c r="O778" s="50">
        <v>0</v>
      </c>
      <c r="P778" s="50">
        <v>0</v>
      </c>
      <c r="Q778" s="50">
        <v>0</v>
      </c>
      <c r="R778" s="50">
        <v>0</v>
      </c>
    </row>
    <row r="779" spans="1:20" x14ac:dyDescent="0.25">
      <c r="A779" s="128" t="s">
        <v>469</v>
      </c>
      <c r="B779" s="129" t="s">
        <v>245</v>
      </c>
      <c r="C779" s="54">
        <v>21670</v>
      </c>
      <c r="D779" s="130">
        <v>506017</v>
      </c>
      <c r="E779" s="130">
        <v>0</v>
      </c>
      <c r="F779" s="130">
        <v>0</v>
      </c>
      <c r="G779" s="63">
        <f>150</f>
        <v>150</v>
      </c>
      <c r="H779" s="63">
        <f>380000-250000</f>
        <v>130000</v>
      </c>
      <c r="I779" s="63">
        <v>0</v>
      </c>
      <c r="J779" s="63">
        <v>0</v>
      </c>
      <c r="K779" s="50"/>
      <c r="L779" s="50"/>
      <c r="M779" s="50"/>
      <c r="N779" s="50"/>
      <c r="O779" s="50"/>
      <c r="P779" s="50"/>
      <c r="Q779" s="50"/>
      <c r="R779" s="50"/>
    </row>
    <row r="780" spans="1:20" x14ac:dyDescent="0.25">
      <c r="A780" s="64" t="s">
        <v>470</v>
      </c>
      <c r="B780" s="53"/>
      <c r="C780" s="52"/>
      <c r="D780" s="50"/>
      <c r="E780" s="50"/>
      <c r="F780" s="50"/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50"/>
      <c r="R780" s="50"/>
    </row>
    <row r="781" spans="1:20" x14ac:dyDescent="0.25">
      <c r="A781" s="64" t="s">
        <v>471</v>
      </c>
      <c r="B781" s="53"/>
      <c r="C781" s="54">
        <v>97973</v>
      </c>
      <c r="D781" s="50"/>
      <c r="E781" s="63">
        <v>140445</v>
      </c>
      <c r="F781" s="50"/>
      <c r="G781" s="50"/>
      <c r="H781" s="50"/>
      <c r="I781" s="50"/>
      <c r="J781" s="50"/>
      <c r="K781" s="50"/>
      <c r="L781" s="50"/>
      <c r="M781" s="50"/>
      <c r="N781" s="50"/>
      <c r="O781" s="50"/>
      <c r="P781" s="50"/>
      <c r="Q781" s="50"/>
      <c r="R781" s="50"/>
    </row>
    <row r="782" spans="1:20" x14ac:dyDescent="0.25">
      <c r="A782" s="64" t="s">
        <v>472</v>
      </c>
      <c r="B782" s="53"/>
      <c r="C782" s="52"/>
      <c r="D782" s="50"/>
      <c r="E782" s="50"/>
      <c r="F782" s="50"/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50"/>
      <c r="R782" s="50"/>
    </row>
    <row r="783" spans="1:20" x14ac:dyDescent="0.25">
      <c r="A783" s="61" t="s">
        <v>473</v>
      </c>
      <c r="B783" s="53"/>
      <c r="C783" s="52"/>
      <c r="D783" s="50"/>
      <c r="E783" s="63">
        <v>0</v>
      </c>
      <c r="F783" s="50"/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50"/>
      <c r="R783" s="50"/>
    </row>
    <row r="784" spans="1:20" x14ac:dyDescent="0.25">
      <c r="A784" s="61" t="s">
        <v>474</v>
      </c>
      <c r="B784" s="53"/>
      <c r="C784" s="54">
        <v>10314</v>
      </c>
      <c r="D784" s="50"/>
      <c r="E784" s="50"/>
      <c r="F784" s="50"/>
      <c r="G784" s="50"/>
      <c r="H784" s="50"/>
      <c r="I784" s="50"/>
      <c r="J784" s="50"/>
      <c r="K784" s="50"/>
      <c r="L784" s="50"/>
      <c r="M784" s="50"/>
      <c r="N784" s="50"/>
      <c r="O784" s="50"/>
      <c r="P784" s="50"/>
      <c r="Q784" s="50"/>
      <c r="R784" s="50"/>
    </row>
    <row r="785" spans="1:18" x14ac:dyDescent="0.25">
      <c r="A785" s="61" t="s">
        <v>475</v>
      </c>
      <c r="B785" s="53"/>
      <c r="C785" s="54"/>
      <c r="D785" s="50"/>
      <c r="E785" s="63">
        <v>68960</v>
      </c>
      <c r="F785" s="50">
        <v>102047</v>
      </c>
      <c r="G785" s="50"/>
      <c r="H785" s="50"/>
      <c r="I785" s="50"/>
      <c r="J785" s="50"/>
      <c r="K785" s="50"/>
      <c r="L785" s="50"/>
      <c r="M785" s="50"/>
      <c r="N785" s="50"/>
      <c r="O785" s="50"/>
      <c r="P785" s="50"/>
      <c r="Q785" s="50"/>
      <c r="R785" s="50"/>
    </row>
    <row r="786" spans="1:18" x14ac:dyDescent="0.25">
      <c r="A786" s="61" t="s">
        <v>476</v>
      </c>
      <c r="B786" s="53"/>
      <c r="C786" s="54"/>
      <c r="D786" s="50"/>
      <c r="E786" s="63">
        <v>933</v>
      </c>
      <c r="F786" s="50">
        <v>94964</v>
      </c>
      <c r="G786" s="50"/>
      <c r="H786" s="50"/>
      <c r="I786" s="50"/>
      <c r="J786" s="50"/>
      <c r="K786" s="50"/>
      <c r="L786" s="50"/>
      <c r="M786" s="50"/>
      <c r="N786" s="50"/>
      <c r="O786" s="50"/>
      <c r="P786" s="50"/>
      <c r="Q786" s="50"/>
      <c r="R786" s="50"/>
    </row>
    <row r="787" spans="1:18" x14ac:dyDescent="0.25">
      <c r="A787" s="61" t="s">
        <v>477</v>
      </c>
      <c r="B787" s="53"/>
      <c r="C787" s="54"/>
      <c r="D787" s="50"/>
      <c r="E787" s="63">
        <v>18889</v>
      </c>
      <c r="F787" s="50">
        <v>134465</v>
      </c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50"/>
      <c r="R787" s="50"/>
    </row>
    <row r="788" spans="1:18" x14ac:dyDescent="0.25">
      <c r="A788" s="61" t="s">
        <v>478</v>
      </c>
      <c r="B788" s="53"/>
      <c r="C788" s="54"/>
      <c r="D788" s="50"/>
      <c r="E788" s="130">
        <v>8530</v>
      </c>
      <c r="F788" s="50">
        <v>400</v>
      </c>
      <c r="G788" s="63">
        <v>9778</v>
      </c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</row>
    <row r="789" spans="1:18" x14ac:dyDescent="0.25">
      <c r="A789" s="61" t="s">
        <v>479</v>
      </c>
      <c r="B789" s="53"/>
      <c r="C789" s="54">
        <v>7219</v>
      </c>
      <c r="D789" s="50"/>
      <c r="E789" s="50"/>
      <c r="F789" s="50"/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50"/>
      <c r="R789" s="50"/>
    </row>
    <row r="790" spans="1:18" x14ac:dyDescent="0.25">
      <c r="A790" s="61" t="s">
        <v>480</v>
      </c>
      <c r="B790" s="53"/>
      <c r="C790" s="52"/>
      <c r="D790" s="50"/>
      <c r="E790" s="50"/>
      <c r="F790" s="50"/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50"/>
      <c r="R790" s="50"/>
    </row>
    <row r="791" spans="1:18" x14ac:dyDescent="0.25">
      <c r="A791" s="61" t="s">
        <v>481</v>
      </c>
      <c r="B791" s="53"/>
      <c r="C791" s="52"/>
      <c r="D791" s="50"/>
      <c r="E791" s="50"/>
      <c r="F791" s="50"/>
      <c r="G791" s="50"/>
      <c r="H791" s="50"/>
      <c r="I791" s="50"/>
      <c r="J791" s="50"/>
      <c r="K791" s="50"/>
      <c r="L791" s="50"/>
      <c r="M791" s="50"/>
      <c r="N791" s="50"/>
      <c r="O791" s="50"/>
      <c r="P791" s="50"/>
      <c r="Q791" s="50"/>
      <c r="R791" s="50"/>
    </row>
    <row r="792" spans="1:18" x14ac:dyDescent="0.25">
      <c r="A792" s="61" t="s">
        <v>482</v>
      </c>
      <c r="B792" s="53"/>
      <c r="C792" s="52"/>
      <c r="D792" s="50"/>
      <c r="E792" s="50"/>
      <c r="F792" s="50"/>
      <c r="G792" s="50"/>
      <c r="H792" s="50"/>
      <c r="I792" s="50"/>
      <c r="J792" s="50"/>
      <c r="K792" s="50"/>
      <c r="L792" s="50"/>
      <c r="M792" s="50"/>
      <c r="N792" s="50"/>
      <c r="O792" s="50"/>
      <c r="P792" s="50"/>
      <c r="Q792" s="50"/>
      <c r="R792" s="50"/>
    </row>
    <row r="793" spans="1:18" x14ac:dyDescent="0.25">
      <c r="A793" s="61" t="s">
        <v>483</v>
      </c>
      <c r="B793" s="53"/>
      <c r="C793" s="54">
        <v>59932</v>
      </c>
      <c r="D793" s="50"/>
      <c r="E793" s="50"/>
      <c r="F793" s="50"/>
      <c r="G793" s="63">
        <v>7935</v>
      </c>
      <c r="H793" s="50"/>
      <c r="I793" s="50"/>
      <c r="J793" s="50"/>
      <c r="K793" s="50"/>
      <c r="L793" s="50"/>
      <c r="M793" s="50"/>
      <c r="N793" s="50"/>
      <c r="O793" s="50"/>
      <c r="P793" s="50"/>
      <c r="Q793" s="50"/>
      <c r="R793" s="50"/>
    </row>
    <row r="794" spans="1:18" x14ac:dyDescent="0.25">
      <c r="A794" s="61" t="s">
        <v>484</v>
      </c>
      <c r="B794" s="53"/>
      <c r="C794" s="52"/>
      <c r="D794" s="50"/>
      <c r="E794" s="50"/>
      <c r="F794" s="50"/>
      <c r="G794" s="63">
        <v>2680</v>
      </c>
      <c r="H794" s="50"/>
      <c r="I794" s="50"/>
      <c r="J794" s="50"/>
      <c r="K794" s="50"/>
      <c r="L794" s="50"/>
      <c r="M794" s="50"/>
      <c r="N794" s="50"/>
      <c r="O794" s="50"/>
      <c r="P794" s="50"/>
      <c r="Q794" s="50"/>
      <c r="R794" s="50"/>
    </row>
    <row r="795" spans="1:18" x14ac:dyDescent="0.25">
      <c r="B795" s="53"/>
      <c r="C795" s="52"/>
      <c r="D795" s="50"/>
      <c r="E795" s="50"/>
      <c r="F795" s="50"/>
      <c r="G795" s="50"/>
      <c r="H795" s="50"/>
      <c r="I795" s="50"/>
      <c r="J795" s="50"/>
      <c r="K795" s="50"/>
      <c r="L795" s="50"/>
      <c r="M795" s="50"/>
      <c r="N795" s="50"/>
      <c r="O795" s="50"/>
      <c r="P795" s="50"/>
      <c r="Q795" s="50"/>
      <c r="R795" s="50"/>
    </row>
    <row r="796" spans="1:18" x14ac:dyDescent="0.25">
      <c r="A796" s="41" t="s">
        <v>254</v>
      </c>
      <c r="B796" s="44"/>
      <c r="C796" s="51">
        <f>SUM(C775:C795)</f>
        <v>197108</v>
      </c>
      <c r="D796" s="51">
        <f t="shared" ref="D796:R796" si="520">SUM(D775:D795)</f>
        <v>506017</v>
      </c>
      <c r="E796" s="51">
        <f t="shared" si="520"/>
        <v>237757</v>
      </c>
      <c r="F796" s="51">
        <f t="shared" si="520"/>
        <v>331876</v>
      </c>
      <c r="G796" s="51">
        <f t="shared" si="520"/>
        <v>20543</v>
      </c>
      <c r="H796" s="51">
        <f t="shared" si="520"/>
        <v>130000</v>
      </c>
      <c r="I796" s="51">
        <f t="shared" si="520"/>
        <v>0</v>
      </c>
      <c r="J796" s="51">
        <f t="shared" si="520"/>
        <v>0</v>
      </c>
      <c r="K796" s="51">
        <f t="shared" si="520"/>
        <v>0</v>
      </c>
      <c r="L796" s="51">
        <f t="shared" si="520"/>
        <v>0</v>
      </c>
      <c r="M796" s="51">
        <f t="shared" si="520"/>
        <v>0</v>
      </c>
      <c r="N796" s="51">
        <f t="shared" si="520"/>
        <v>0</v>
      </c>
      <c r="O796" s="51">
        <f t="shared" si="520"/>
        <v>0</v>
      </c>
      <c r="P796" s="51">
        <f t="shared" si="520"/>
        <v>0</v>
      </c>
      <c r="Q796" s="51">
        <f t="shared" si="520"/>
        <v>0</v>
      </c>
      <c r="R796" s="51">
        <f t="shared" si="520"/>
        <v>0</v>
      </c>
    </row>
    <row r="797" spans="1:18" x14ac:dyDescent="0.25">
      <c r="C797" s="50"/>
      <c r="D797" s="50"/>
      <c r="E797" s="50"/>
      <c r="F797" s="50"/>
      <c r="G797" s="50"/>
      <c r="H797" s="50"/>
      <c r="I797" s="50"/>
      <c r="J797" s="50"/>
      <c r="K797" s="50"/>
      <c r="L797" s="50"/>
      <c r="M797" s="50"/>
      <c r="N797" s="50"/>
      <c r="O797" s="50"/>
      <c r="P797" s="50"/>
      <c r="Q797" s="50"/>
      <c r="R797" s="50"/>
    </row>
    <row r="798" spans="1:18" x14ac:dyDescent="0.25">
      <c r="A798" s="41" t="s">
        <v>171</v>
      </c>
      <c r="B798" s="44"/>
      <c r="C798" s="50"/>
      <c r="D798" s="50"/>
      <c r="E798" s="50"/>
      <c r="F798" s="50"/>
      <c r="G798" s="50"/>
      <c r="H798" s="50"/>
      <c r="I798" s="50"/>
      <c r="J798" s="50"/>
      <c r="K798" s="50"/>
      <c r="L798" s="50"/>
      <c r="M798" s="50"/>
      <c r="N798" s="50"/>
      <c r="O798" s="50"/>
      <c r="P798" s="50"/>
      <c r="Q798" s="50"/>
      <c r="R798" s="50"/>
    </row>
    <row r="799" spans="1:18" x14ac:dyDescent="0.25">
      <c r="C799" s="50"/>
      <c r="D799" s="50"/>
      <c r="E799" s="50"/>
      <c r="F799" s="50"/>
      <c r="G799" s="50"/>
      <c r="H799" s="50"/>
      <c r="I799" s="50"/>
      <c r="J799" s="50"/>
      <c r="K799" s="50"/>
      <c r="L799" s="50"/>
      <c r="M799" s="50"/>
      <c r="N799" s="50"/>
      <c r="O799" s="50"/>
      <c r="P799" s="50"/>
      <c r="Q799" s="50"/>
      <c r="R799" s="50"/>
    </row>
    <row r="800" spans="1:18" x14ac:dyDescent="0.25">
      <c r="A800" s="52" t="s">
        <v>485</v>
      </c>
      <c r="B800" s="53"/>
      <c r="C800" s="50"/>
      <c r="D800" s="50"/>
      <c r="E800" s="50"/>
      <c r="F800" s="50"/>
      <c r="G800" s="50"/>
      <c r="H800" s="50"/>
      <c r="I800" s="50"/>
      <c r="J800" s="50"/>
      <c r="K800" s="50"/>
      <c r="L800" s="50"/>
      <c r="M800" s="50"/>
      <c r="N800" s="50"/>
      <c r="O800" s="50"/>
      <c r="P800" s="50"/>
      <c r="Q800" s="50"/>
      <c r="R800" s="50"/>
    </row>
    <row r="801" spans="1:18" x14ac:dyDescent="0.25">
      <c r="A801" s="131" t="s">
        <v>486</v>
      </c>
      <c r="B801" s="132" t="s">
        <v>487</v>
      </c>
      <c r="C801" s="50">
        <v>2273</v>
      </c>
      <c r="D801" s="133">
        <v>12727</v>
      </c>
      <c r="E801" s="50"/>
      <c r="F801" s="50"/>
      <c r="G801" s="134"/>
      <c r="H801" s="134">
        <v>16971</v>
      </c>
      <c r="I801" s="50"/>
      <c r="J801" s="50"/>
      <c r="K801" s="50"/>
      <c r="L801" s="50"/>
      <c r="M801" s="50"/>
      <c r="N801" s="50"/>
      <c r="O801" s="50"/>
      <c r="P801" s="50"/>
      <c r="Q801" s="50"/>
      <c r="R801" s="50"/>
    </row>
    <row r="802" spans="1:18" x14ac:dyDescent="0.25">
      <c r="A802" s="61" t="s">
        <v>488</v>
      </c>
      <c r="B802" s="62" t="s">
        <v>245</v>
      </c>
      <c r="C802" s="50"/>
      <c r="D802" s="130">
        <v>31399</v>
      </c>
      <c r="E802" s="50"/>
      <c r="F802" s="50"/>
      <c r="G802" s="135"/>
      <c r="H802" s="50"/>
      <c r="I802" s="50"/>
      <c r="J802" s="50"/>
      <c r="K802" s="50"/>
      <c r="L802" s="50"/>
      <c r="M802" s="50"/>
      <c r="N802" s="50"/>
      <c r="O802" s="50"/>
      <c r="P802" s="50"/>
      <c r="Q802" s="50"/>
      <c r="R802" s="50"/>
    </row>
    <row r="803" spans="1:18" s="43" customFormat="1" x14ac:dyDescent="0.25">
      <c r="A803" s="92" t="s">
        <v>489</v>
      </c>
      <c r="B803" s="96" t="s">
        <v>330</v>
      </c>
      <c r="C803" s="50"/>
      <c r="D803" s="50"/>
      <c r="E803" s="50"/>
      <c r="F803" s="50"/>
      <c r="G803" s="89"/>
      <c r="H803" s="50"/>
      <c r="I803" s="50"/>
      <c r="J803" s="50"/>
      <c r="K803" s="50"/>
      <c r="L803" s="50"/>
      <c r="M803" s="50"/>
      <c r="N803" s="50"/>
      <c r="O803" s="50"/>
      <c r="P803" s="50"/>
      <c r="Q803" s="50"/>
      <c r="R803" s="50"/>
    </row>
    <row r="804" spans="1:18" s="43" customFormat="1" x14ac:dyDescent="0.25">
      <c r="A804" s="92" t="s">
        <v>490</v>
      </c>
      <c r="B804" s="96"/>
      <c r="C804" s="50"/>
      <c r="D804" s="50"/>
      <c r="E804" s="50"/>
      <c r="F804" s="50"/>
      <c r="G804" s="50"/>
      <c r="H804" s="50"/>
      <c r="I804" s="50"/>
      <c r="J804" s="50"/>
      <c r="K804" s="50"/>
      <c r="L804" s="50"/>
      <c r="M804" s="50"/>
      <c r="N804" s="50">
        <v>0</v>
      </c>
      <c r="O804" s="50"/>
      <c r="P804" s="50"/>
      <c r="Q804" s="50"/>
      <c r="R804" s="50"/>
    </row>
    <row r="805" spans="1:18" x14ac:dyDescent="0.25">
      <c r="A805" s="91" t="s">
        <v>491</v>
      </c>
      <c r="B805" s="136" t="s">
        <v>492</v>
      </c>
      <c r="C805" s="50"/>
      <c r="D805" s="50"/>
      <c r="E805" s="50"/>
      <c r="F805" s="85">
        <v>0</v>
      </c>
      <c r="G805" s="85">
        <v>3300</v>
      </c>
      <c r="H805" s="50"/>
      <c r="I805" s="50"/>
      <c r="J805" s="50"/>
      <c r="K805" s="50"/>
      <c r="L805" s="50"/>
      <c r="M805" s="50"/>
      <c r="N805" s="50"/>
      <c r="O805" s="50"/>
      <c r="P805" s="50"/>
      <c r="Q805" s="50"/>
      <c r="R805" s="50"/>
    </row>
    <row r="806" spans="1:18" x14ac:dyDescent="0.25">
      <c r="A806" s="126" t="s">
        <v>493</v>
      </c>
      <c r="B806" s="127" t="s">
        <v>468</v>
      </c>
      <c r="C806" s="50"/>
      <c r="D806" s="50">
        <v>0</v>
      </c>
      <c r="E806" s="50">
        <v>0</v>
      </c>
      <c r="F806" s="50">
        <v>0</v>
      </c>
      <c r="G806" s="50">
        <v>0</v>
      </c>
      <c r="H806" s="50">
        <v>0</v>
      </c>
      <c r="I806" s="50">
        <v>0</v>
      </c>
      <c r="J806" s="50">
        <v>0</v>
      </c>
      <c r="K806" s="50">
        <v>0</v>
      </c>
      <c r="L806" s="50">
        <v>0</v>
      </c>
      <c r="M806" s="50">
        <v>0</v>
      </c>
      <c r="N806" s="50">
        <v>0</v>
      </c>
      <c r="O806" s="50">
        <v>0</v>
      </c>
      <c r="P806" s="50">
        <v>0</v>
      </c>
      <c r="Q806" s="50">
        <v>0</v>
      </c>
      <c r="R806" s="50">
        <v>0</v>
      </c>
    </row>
    <row r="807" spans="1:18" x14ac:dyDescent="0.25">
      <c r="A807" s="52" t="s">
        <v>494</v>
      </c>
      <c r="B807" s="53"/>
      <c r="C807" s="50"/>
      <c r="D807" s="50"/>
      <c r="E807" s="50"/>
      <c r="F807" s="50"/>
      <c r="G807" s="50"/>
      <c r="H807" s="50"/>
      <c r="I807" s="50"/>
      <c r="J807" s="50"/>
      <c r="K807" s="50"/>
      <c r="L807" s="50"/>
      <c r="M807" s="50"/>
      <c r="N807" s="50"/>
      <c r="O807" s="50"/>
      <c r="P807" s="50"/>
      <c r="Q807" s="50"/>
      <c r="R807" s="50"/>
    </row>
    <row r="808" spans="1:18" x14ac:dyDescent="0.25">
      <c r="A808" s="91" t="s">
        <v>495</v>
      </c>
      <c r="B808" s="136" t="s">
        <v>496</v>
      </c>
      <c r="C808" s="50"/>
      <c r="D808" s="50"/>
      <c r="E808" s="50"/>
      <c r="F808" s="85">
        <v>47835</v>
      </c>
      <c r="G808" s="85">
        <v>4977</v>
      </c>
      <c r="H808" s="50"/>
      <c r="I808" s="50"/>
      <c r="J808" s="50"/>
      <c r="K808" s="50"/>
      <c r="L808" s="50"/>
      <c r="M808" s="50"/>
      <c r="N808" s="50"/>
      <c r="O808" s="50"/>
      <c r="P808" s="50"/>
      <c r="Q808" s="50"/>
      <c r="R808" s="50"/>
    </row>
    <row r="809" spans="1:18" x14ac:dyDescent="0.25">
      <c r="A809" s="91" t="s">
        <v>497</v>
      </c>
      <c r="B809" s="136" t="s">
        <v>496</v>
      </c>
      <c r="C809" s="50"/>
      <c r="D809" s="50"/>
      <c r="E809" s="50"/>
      <c r="F809" s="85">
        <v>0</v>
      </c>
      <c r="G809" s="50"/>
      <c r="H809" s="50"/>
      <c r="I809" s="50"/>
      <c r="J809" s="50"/>
      <c r="K809" s="50"/>
      <c r="L809" s="50"/>
      <c r="M809" s="50"/>
      <c r="N809" s="50"/>
      <c r="O809" s="50"/>
      <c r="P809" s="50"/>
      <c r="Q809" s="50"/>
      <c r="R809" s="50"/>
    </row>
    <row r="810" spans="1:18" x14ac:dyDescent="0.25">
      <c r="A810" s="43" t="s">
        <v>498</v>
      </c>
      <c r="B810" s="53"/>
      <c r="C810" s="59"/>
      <c r="D810" s="50">
        <v>0</v>
      </c>
      <c r="E810" s="50">
        <v>0</v>
      </c>
      <c r="F810" s="50">
        <v>0</v>
      </c>
      <c r="G810" s="50">
        <v>0</v>
      </c>
      <c r="H810" s="50">
        <v>0</v>
      </c>
      <c r="I810" s="50">
        <v>0</v>
      </c>
      <c r="J810" s="50">
        <v>0</v>
      </c>
      <c r="K810" s="50">
        <v>0</v>
      </c>
      <c r="L810" s="50">
        <v>0</v>
      </c>
      <c r="M810" s="50">
        <v>0</v>
      </c>
      <c r="N810" s="50">
        <v>0</v>
      </c>
      <c r="O810" s="50">
        <v>0</v>
      </c>
      <c r="P810" s="50">
        <v>0</v>
      </c>
      <c r="Q810" s="50">
        <v>0</v>
      </c>
      <c r="R810" s="50">
        <v>0</v>
      </c>
    </row>
    <row r="811" spans="1:18" s="43" customFormat="1" x14ac:dyDescent="0.25">
      <c r="A811" s="93" t="s">
        <v>499</v>
      </c>
      <c r="B811" s="96" t="s">
        <v>330</v>
      </c>
      <c r="C811" s="50"/>
      <c r="D811" s="50"/>
      <c r="E811" s="50"/>
      <c r="F811" s="50"/>
      <c r="G811" s="50"/>
      <c r="H811" s="50"/>
      <c r="I811" s="50"/>
      <c r="J811" s="50"/>
      <c r="K811" s="50"/>
      <c r="L811" s="50"/>
      <c r="M811" s="50"/>
      <c r="N811" s="50"/>
    </row>
    <row r="812" spans="1:18" s="43" customFormat="1" x14ac:dyDescent="0.25">
      <c r="A812" s="97" t="s">
        <v>500</v>
      </c>
      <c r="B812" s="96" t="s">
        <v>330</v>
      </c>
      <c r="C812" s="50"/>
      <c r="D812" s="50"/>
      <c r="E812" s="50"/>
      <c r="F812" s="50"/>
      <c r="G812" s="50"/>
      <c r="H812" s="50"/>
      <c r="I812" s="50"/>
      <c r="J812" s="50"/>
      <c r="K812" s="50"/>
      <c r="L812" s="50"/>
      <c r="M812" s="50"/>
      <c r="N812" s="50"/>
    </row>
    <row r="813" spans="1:18" s="43" customFormat="1" x14ac:dyDescent="0.25">
      <c r="A813" s="93" t="s">
        <v>501</v>
      </c>
      <c r="B813" s="96" t="s">
        <v>330</v>
      </c>
      <c r="C813" s="50"/>
      <c r="D813" s="50"/>
      <c r="E813" s="50"/>
      <c r="F813" s="50"/>
      <c r="G813" s="50"/>
      <c r="H813" s="50"/>
      <c r="I813" s="50"/>
      <c r="J813" s="50"/>
      <c r="K813" s="50"/>
      <c r="L813" s="50"/>
      <c r="M813" s="50"/>
      <c r="N813" s="50"/>
    </row>
    <row r="814" spans="1:18" s="43" customFormat="1" x14ac:dyDescent="0.25">
      <c r="A814" s="86" t="s">
        <v>502</v>
      </c>
      <c r="B814" s="136" t="s">
        <v>496</v>
      </c>
      <c r="C814" s="50"/>
      <c r="D814" s="50"/>
      <c r="E814" s="50"/>
      <c r="F814" s="85">
        <v>5972</v>
      </c>
      <c r="G814" s="85">
        <v>15190</v>
      </c>
      <c r="H814" s="50"/>
      <c r="I814" s="50"/>
      <c r="J814" s="50"/>
      <c r="K814" s="50"/>
      <c r="L814" s="50"/>
      <c r="M814" s="50"/>
      <c r="N814" s="50"/>
    </row>
    <row r="815" spans="1:18" s="43" customFormat="1" x14ac:dyDescent="0.25">
      <c r="A815" s="137" t="s">
        <v>503</v>
      </c>
      <c r="B815" s="136" t="s">
        <v>496</v>
      </c>
      <c r="C815" s="50"/>
      <c r="D815" s="50"/>
      <c r="E815" s="50"/>
      <c r="F815" s="85">
        <v>85037</v>
      </c>
      <c r="G815" s="50"/>
      <c r="H815" s="50"/>
      <c r="I815" s="50"/>
      <c r="J815" s="50"/>
      <c r="K815" s="50"/>
      <c r="L815" s="50"/>
      <c r="M815" s="50"/>
      <c r="N815" s="50"/>
    </row>
    <row r="816" spans="1:18" s="43" customFormat="1" x14ac:dyDescent="0.25">
      <c r="A816" s="137" t="s">
        <v>504</v>
      </c>
      <c r="B816" s="136" t="s">
        <v>496</v>
      </c>
      <c r="C816" s="50"/>
      <c r="D816" s="50"/>
      <c r="E816" s="50"/>
      <c r="F816" s="85">
        <v>5900</v>
      </c>
      <c r="G816" s="85">
        <v>71527</v>
      </c>
      <c r="H816" s="50"/>
      <c r="I816" s="50"/>
      <c r="J816" s="50"/>
      <c r="K816" s="50"/>
      <c r="L816" s="50"/>
      <c r="M816" s="50"/>
      <c r="N816" s="50"/>
    </row>
    <row r="817" spans="1:18" s="43" customFormat="1" x14ac:dyDescent="0.25">
      <c r="A817" s="138" t="s">
        <v>505</v>
      </c>
      <c r="B817" s="139" t="s">
        <v>506</v>
      </c>
      <c r="C817" s="50"/>
      <c r="D817" s="50"/>
      <c r="E817" s="50"/>
      <c r="F817" s="50"/>
      <c r="G817" s="50">
        <v>20000</v>
      </c>
      <c r="H817" s="50"/>
      <c r="I817" s="50"/>
      <c r="J817" s="50"/>
      <c r="K817" s="50"/>
      <c r="L817" s="50"/>
      <c r="M817" s="50"/>
      <c r="N817" s="50"/>
    </row>
    <row r="818" spans="1:18" s="43" customFormat="1" x14ac:dyDescent="0.25">
      <c r="A818" s="140" t="s">
        <v>507</v>
      </c>
      <c r="B818" s="139" t="s">
        <v>506</v>
      </c>
      <c r="C818" s="50"/>
      <c r="D818" s="50"/>
      <c r="E818" s="50"/>
      <c r="F818" s="50"/>
      <c r="G818" s="50">
        <v>21900</v>
      </c>
      <c r="H818" s="50"/>
      <c r="I818" s="50"/>
      <c r="J818" s="50"/>
      <c r="K818" s="50"/>
      <c r="L818" s="50"/>
      <c r="M818" s="50"/>
      <c r="N818" s="50"/>
    </row>
    <row r="819" spans="1:18" s="43" customFormat="1" x14ac:dyDescent="0.25">
      <c r="A819" s="137" t="s">
        <v>508</v>
      </c>
      <c r="B819" s="136" t="s">
        <v>496</v>
      </c>
      <c r="C819" s="50"/>
      <c r="D819" s="50"/>
      <c r="E819" s="50"/>
      <c r="F819" s="85">
        <v>0</v>
      </c>
      <c r="G819" s="85">
        <v>2430</v>
      </c>
      <c r="H819" s="50"/>
      <c r="I819" s="50"/>
      <c r="J819" s="50"/>
      <c r="K819" s="50"/>
      <c r="L819" s="50"/>
      <c r="M819" s="50"/>
      <c r="N819" s="50"/>
    </row>
    <row r="820" spans="1:18" s="43" customFormat="1" x14ac:dyDescent="0.25">
      <c r="A820" s="141" t="s">
        <v>509</v>
      </c>
      <c r="B820" s="136"/>
      <c r="C820" s="50"/>
      <c r="D820" s="50"/>
      <c r="E820" s="50"/>
      <c r="F820" s="85"/>
      <c r="G820" s="50"/>
      <c r="H820" s="50"/>
      <c r="I820" s="50"/>
      <c r="J820" s="50"/>
      <c r="K820" s="50"/>
      <c r="L820" s="50"/>
      <c r="M820" s="50"/>
      <c r="N820" s="50"/>
    </row>
    <row r="821" spans="1:18" s="43" customFormat="1" x14ac:dyDescent="0.25">
      <c r="A821" s="92" t="s">
        <v>510</v>
      </c>
      <c r="B821" s="96" t="s">
        <v>330</v>
      </c>
      <c r="C821" s="50"/>
      <c r="D821" s="50"/>
      <c r="E821" s="50"/>
      <c r="F821" s="50"/>
      <c r="G821" s="89"/>
      <c r="H821" s="50"/>
      <c r="I821" s="50"/>
      <c r="J821" s="50"/>
      <c r="K821" s="50"/>
      <c r="L821" s="50"/>
      <c r="M821" s="50"/>
      <c r="N821" s="50"/>
    </row>
    <row r="822" spans="1:18" s="43" customFormat="1" x14ac:dyDescent="0.25">
      <c r="A822" s="142" t="s">
        <v>510</v>
      </c>
      <c r="B822" s="139" t="s">
        <v>506</v>
      </c>
      <c r="C822" s="50"/>
      <c r="D822" s="50"/>
      <c r="E822" s="143">
        <v>0</v>
      </c>
      <c r="F822" s="50">
        <v>30000</v>
      </c>
      <c r="G822" s="50"/>
      <c r="H822" s="50"/>
      <c r="I822" s="50"/>
      <c r="J822" s="50"/>
      <c r="K822" s="50"/>
      <c r="L822" s="50"/>
      <c r="M822" s="50"/>
      <c r="N822" s="50"/>
    </row>
    <row r="823" spans="1:18" s="43" customFormat="1" x14ac:dyDescent="0.25">
      <c r="A823" s="91" t="s">
        <v>511</v>
      </c>
      <c r="B823" s="136" t="s">
        <v>496</v>
      </c>
      <c r="C823" s="50"/>
      <c r="D823" s="50"/>
      <c r="E823" s="50"/>
      <c r="F823" s="85">
        <v>0</v>
      </c>
      <c r="G823" s="50"/>
      <c r="H823" s="50"/>
      <c r="I823" s="50"/>
      <c r="J823" s="50"/>
      <c r="K823" s="50"/>
      <c r="L823" s="50"/>
      <c r="M823" s="50"/>
      <c r="N823" s="50"/>
    </row>
    <row r="824" spans="1:18" s="43" customFormat="1" x14ac:dyDescent="0.25">
      <c r="A824" s="61" t="s">
        <v>510</v>
      </c>
      <c r="B824" s="62" t="s">
        <v>245</v>
      </c>
      <c r="C824" s="50"/>
      <c r="D824" s="63"/>
      <c r="E824" s="63">
        <v>0</v>
      </c>
      <c r="F824" s="50">
        <v>102047</v>
      </c>
      <c r="G824" s="50"/>
      <c r="H824" s="50"/>
      <c r="I824" s="50"/>
      <c r="J824" s="50"/>
      <c r="K824" s="50"/>
      <c r="L824" s="50"/>
      <c r="M824" s="50"/>
      <c r="N824" s="50"/>
    </row>
    <row r="825" spans="1:18" s="145" customFormat="1" x14ac:dyDescent="0.25">
      <c r="A825" s="97" t="s">
        <v>512</v>
      </c>
      <c r="B825" s="96" t="s">
        <v>330</v>
      </c>
      <c r="C825" s="144"/>
      <c r="D825" s="144"/>
      <c r="E825" s="144"/>
      <c r="F825" s="144"/>
      <c r="G825" s="144"/>
      <c r="H825" s="144"/>
      <c r="I825" s="144"/>
      <c r="J825" s="144"/>
      <c r="K825" s="144"/>
      <c r="L825" s="144"/>
      <c r="M825" s="144"/>
      <c r="N825" s="144"/>
    </row>
    <row r="826" spans="1:18" s="43" customFormat="1" x14ac:dyDescent="0.25">
      <c r="A826" s="93" t="s">
        <v>513</v>
      </c>
      <c r="B826" s="96" t="s">
        <v>330</v>
      </c>
      <c r="C826" s="50"/>
      <c r="D826" s="50"/>
      <c r="E826" s="50"/>
      <c r="F826" s="50"/>
      <c r="G826" s="50"/>
      <c r="H826" s="50"/>
      <c r="I826" s="50"/>
      <c r="J826" s="50"/>
      <c r="K826" s="50"/>
      <c r="L826" s="50"/>
      <c r="M826" s="50"/>
      <c r="N826" s="50"/>
    </row>
    <row r="827" spans="1:18" x14ac:dyDescent="0.25">
      <c r="A827" s="126" t="s">
        <v>514</v>
      </c>
      <c r="B827" s="127" t="s">
        <v>468</v>
      </c>
      <c r="C827" s="50"/>
      <c r="D827" s="50"/>
      <c r="E827" s="50">
        <v>0</v>
      </c>
      <c r="F827" s="50">
        <v>0</v>
      </c>
      <c r="G827" s="50">
        <v>0</v>
      </c>
      <c r="H827" s="50">
        <v>0</v>
      </c>
      <c r="I827" s="50">
        <v>0</v>
      </c>
      <c r="J827" s="50">
        <v>0</v>
      </c>
      <c r="K827" s="50">
        <v>0</v>
      </c>
      <c r="L827" s="50">
        <v>0</v>
      </c>
      <c r="M827" s="50">
        <v>0</v>
      </c>
      <c r="N827" s="50">
        <v>0</v>
      </c>
      <c r="O827" s="50">
        <v>0</v>
      </c>
      <c r="P827" s="50">
        <v>0</v>
      </c>
      <c r="Q827" s="50">
        <v>0</v>
      </c>
      <c r="R827" s="50">
        <v>0</v>
      </c>
    </row>
    <row r="828" spans="1:18" s="43" customFormat="1" x14ac:dyDescent="0.25">
      <c r="A828" s="128" t="s">
        <v>515</v>
      </c>
      <c r="B828" s="62" t="s">
        <v>245</v>
      </c>
      <c r="C828" s="50"/>
      <c r="D828" s="130"/>
      <c r="E828" s="50"/>
      <c r="F828" s="50"/>
      <c r="G828" s="50"/>
      <c r="H828" s="50"/>
      <c r="I828" s="50"/>
      <c r="J828" s="50"/>
      <c r="K828" s="50"/>
      <c r="L828" s="50"/>
      <c r="M828" s="50"/>
      <c r="N828" s="50"/>
    </row>
    <row r="829" spans="1:18" s="43" customFormat="1" x14ac:dyDescent="0.25">
      <c r="A829" s="128" t="s">
        <v>516</v>
      </c>
      <c r="B829" s="129" t="s">
        <v>245</v>
      </c>
      <c r="C829" s="50"/>
      <c r="D829" s="130"/>
      <c r="E829" s="130">
        <v>933</v>
      </c>
      <c r="F829" s="50">
        <v>94963.5</v>
      </c>
      <c r="G829" s="50"/>
      <c r="H829" s="50"/>
      <c r="I829" s="50"/>
      <c r="J829" s="50"/>
      <c r="K829" s="50"/>
      <c r="L829" s="50"/>
      <c r="M829" s="50"/>
      <c r="N829" s="50"/>
    </row>
    <row r="830" spans="1:18" s="43" customFormat="1" x14ac:dyDescent="0.25">
      <c r="A830" s="83" t="s">
        <v>517</v>
      </c>
      <c r="B830" s="136" t="s">
        <v>496</v>
      </c>
      <c r="C830" s="50"/>
      <c r="D830" s="50"/>
      <c r="E830" s="50"/>
      <c r="F830" s="50">
        <v>23679</v>
      </c>
      <c r="G830" s="50"/>
      <c r="H830" s="50"/>
      <c r="I830" s="50"/>
      <c r="J830" s="50"/>
      <c r="K830" s="50"/>
      <c r="L830" s="50"/>
      <c r="M830" s="50"/>
      <c r="N830" s="50"/>
    </row>
    <row r="831" spans="1:18" s="43" customFormat="1" x14ac:dyDescent="0.25">
      <c r="A831" s="128" t="s">
        <v>518</v>
      </c>
      <c r="B831" s="129" t="s">
        <v>245</v>
      </c>
      <c r="C831" s="50"/>
      <c r="D831" s="130"/>
      <c r="E831" s="50"/>
      <c r="F831" s="50"/>
      <c r="G831" s="50"/>
      <c r="H831" s="50"/>
      <c r="I831" s="50"/>
      <c r="J831" s="50"/>
      <c r="K831" s="50"/>
      <c r="L831" s="50"/>
      <c r="M831" s="50"/>
      <c r="N831" s="50"/>
    </row>
    <row r="832" spans="1:18" s="43" customFormat="1" x14ac:dyDescent="0.25">
      <c r="A832" s="128" t="s">
        <v>519</v>
      </c>
      <c r="B832" s="129"/>
      <c r="C832" s="50"/>
      <c r="D832" s="130">
        <v>19600</v>
      </c>
      <c r="E832" s="50"/>
      <c r="F832" s="50"/>
      <c r="G832" s="50"/>
      <c r="H832" s="50"/>
      <c r="I832" s="50"/>
      <c r="J832" s="50"/>
      <c r="K832" s="50"/>
      <c r="L832" s="50"/>
      <c r="M832" s="50"/>
      <c r="N832" s="50"/>
    </row>
    <row r="833" spans="1:18" s="43" customFormat="1" x14ac:dyDescent="0.25">
      <c r="A833" s="128" t="s">
        <v>520</v>
      </c>
      <c r="B833" s="129" t="s">
        <v>245</v>
      </c>
      <c r="C833" s="50"/>
      <c r="D833" s="130">
        <v>56900</v>
      </c>
      <c r="E833" s="50"/>
      <c r="F833" s="50"/>
      <c r="G833" s="50"/>
      <c r="H833" s="50"/>
      <c r="I833" s="50"/>
      <c r="J833" s="50"/>
      <c r="K833" s="50"/>
      <c r="L833" s="50"/>
      <c r="M833" s="50"/>
      <c r="N833" s="50"/>
    </row>
    <row r="834" spans="1:18" s="43" customFormat="1" x14ac:dyDescent="0.25">
      <c r="A834" s="146" t="s">
        <v>521</v>
      </c>
      <c r="B834" s="129"/>
      <c r="C834" s="50"/>
      <c r="D834" s="50"/>
      <c r="E834" s="130">
        <v>8530</v>
      </c>
      <c r="F834" s="43">
        <v>400</v>
      </c>
      <c r="G834" s="63">
        <v>9778</v>
      </c>
      <c r="H834" s="50"/>
      <c r="I834" s="50"/>
      <c r="J834" s="50"/>
      <c r="K834" s="50"/>
      <c r="L834" s="50"/>
      <c r="M834" s="50"/>
      <c r="N834" s="50"/>
    </row>
    <row r="835" spans="1:18" s="43" customFormat="1" x14ac:dyDescent="0.25">
      <c r="A835" s="147" t="s">
        <v>522</v>
      </c>
      <c r="B835" s="53"/>
      <c r="C835" s="50"/>
      <c r="D835" s="50"/>
      <c r="E835" s="50"/>
      <c r="G835" s="50">
        <v>5850</v>
      </c>
      <c r="H835" s="50"/>
      <c r="I835" s="50"/>
      <c r="J835" s="50"/>
      <c r="K835" s="50"/>
      <c r="L835" s="50"/>
      <c r="M835" s="50"/>
      <c r="N835" s="50"/>
    </row>
    <row r="836" spans="1:18" s="43" customFormat="1" x14ac:dyDescent="0.25">
      <c r="A836" s="148" t="s">
        <v>523</v>
      </c>
      <c r="B836" s="96" t="s">
        <v>323</v>
      </c>
      <c r="C836" s="50"/>
      <c r="D836" s="50"/>
      <c r="E836" s="50"/>
      <c r="F836" s="50"/>
      <c r="G836" s="50"/>
      <c r="H836" s="50"/>
      <c r="I836" s="50"/>
      <c r="J836" s="50"/>
      <c r="K836" s="50"/>
      <c r="L836" s="50"/>
      <c r="M836" s="50"/>
      <c r="N836" s="50"/>
      <c r="O836" s="89">
        <v>70000</v>
      </c>
    </row>
    <row r="837" spans="1:18" s="43" customFormat="1" x14ac:dyDescent="0.25">
      <c r="A837" s="131" t="s">
        <v>524</v>
      </c>
      <c r="B837" s="132" t="s">
        <v>487</v>
      </c>
      <c r="C837" s="50"/>
      <c r="D837" s="134"/>
      <c r="E837" s="134">
        <v>0</v>
      </c>
      <c r="F837" s="43">
        <v>16456</v>
      </c>
      <c r="G837" s="50"/>
      <c r="H837" s="50"/>
      <c r="I837" s="50"/>
      <c r="J837" s="50"/>
      <c r="K837" s="50"/>
      <c r="L837" s="50"/>
      <c r="M837" s="50"/>
      <c r="N837" s="50"/>
    </row>
    <row r="838" spans="1:18" s="43" customFormat="1" x14ac:dyDescent="0.25">
      <c r="A838" s="131" t="s">
        <v>525</v>
      </c>
      <c r="B838" s="132" t="s">
        <v>487</v>
      </c>
      <c r="C838" s="50"/>
      <c r="D838" s="50"/>
      <c r="E838" s="134">
        <v>0</v>
      </c>
      <c r="F838" s="50"/>
      <c r="G838" s="50"/>
      <c r="H838" s="50"/>
      <c r="I838" s="50"/>
      <c r="J838" s="50"/>
      <c r="K838" s="50"/>
      <c r="L838" s="134">
        <v>2507</v>
      </c>
      <c r="M838" s="50"/>
      <c r="N838" s="50"/>
    </row>
    <row r="839" spans="1:18" s="43" customFormat="1" x14ac:dyDescent="0.25">
      <c r="A839" s="52" t="s">
        <v>526</v>
      </c>
      <c r="B839" s="53"/>
      <c r="C839" s="59"/>
      <c r="D839" s="50"/>
      <c r="E839" s="50"/>
      <c r="F839" s="50"/>
      <c r="G839" s="50"/>
      <c r="H839" s="50"/>
      <c r="I839" s="50"/>
      <c r="J839" s="50"/>
      <c r="K839" s="50"/>
      <c r="L839" s="50"/>
      <c r="M839" s="50"/>
      <c r="N839" s="50"/>
    </row>
    <row r="840" spans="1:18" s="43" customFormat="1" x14ac:dyDescent="0.25">
      <c r="A840" s="92" t="s">
        <v>527</v>
      </c>
      <c r="B840" s="96" t="s">
        <v>330</v>
      </c>
      <c r="C840" s="50"/>
      <c r="D840" s="50"/>
      <c r="E840" s="50"/>
      <c r="F840" s="50"/>
      <c r="G840" s="89"/>
      <c r="H840" s="50"/>
      <c r="I840" s="50"/>
      <c r="J840" s="50"/>
      <c r="K840" s="50"/>
      <c r="L840" s="50"/>
      <c r="M840" s="50"/>
      <c r="N840" s="50"/>
    </row>
    <row r="841" spans="1:18" s="43" customFormat="1" x14ac:dyDescent="0.25">
      <c r="A841" s="92" t="s">
        <v>528</v>
      </c>
      <c r="B841" s="96" t="s">
        <v>330</v>
      </c>
      <c r="C841" s="50"/>
      <c r="D841" s="50"/>
      <c r="E841" s="50"/>
      <c r="F841" s="50"/>
      <c r="G841" s="50"/>
      <c r="H841" s="50"/>
      <c r="I841" s="50"/>
      <c r="J841" s="50"/>
      <c r="K841" s="50"/>
      <c r="L841" s="50"/>
      <c r="M841" s="50"/>
      <c r="N841" s="50"/>
    </row>
    <row r="842" spans="1:18" s="43" customFormat="1" x14ac:dyDescent="0.25">
      <c r="A842" s="146" t="s">
        <v>529</v>
      </c>
      <c r="B842" s="129" t="s">
        <v>245</v>
      </c>
      <c r="C842" s="50"/>
      <c r="D842" s="50"/>
      <c r="E842" s="50"/>
      <c r="F842" s="50"/>
      <c r="G842" s="50"/>
      <c r="H842" s="50"/>
      <c r="I842" s="50"/>
      <c r="J842" s="50"/>
      <c r="K842" s="50"/>
      <c r="L842" s="50"/>
      <c r="M842" s="50"/>
      <c r="N842" s="50"/>
    </row>
    <row r="843" spans="1:18" s="43" customFormat="1" x14ac:dyDescent="0.25">
      <c r="A843" s="146" t="s">
        <v>530</v>
      </c>
      <c r="B843" s="129" t="s">
        <v>245</v>
      </c>
      <c r="C843" s="50"/>
      <c r="D843" s="50"/>
      <c r="E843" s="50"/>
      <c r="F843" s="50"/>
      <c r="G843" s="63">
        <v>150</v>
      </c>
      <c r="H843" s="50"/>
      <c r="I843" s="50"/>
      <c r="J843" s="50"/>
      <c r="K843" s="50"/>
      <c r="L843" s="50"/>
      <c r="M843" s="50"/>
      <c r="N843" s="50"/>
    </row>
    <row r="844" spans="1:18" s="43" customFormat="1" x14ac:dyDescent="0.25">
      <c r="A844" s="92" t="s">
        <v>531</v>
      </c>
      <c r="B844" s="96" t="s">
        <v>323</v>
      </c>
      <c r="C844" s="50"/>
      <c r="D844" s="50"/>
      <c r="E844" s="50"/>
      <c r="F844" s="50"/>
      <c r="G844" s="50"/>
      <c r="H844" s="50"/>
      <c r="I844" s="50"/>
      <c r="J844" s="50"/>
      <c r="K844" s="50"/>
      <c r="L844" s="50"/>
      <c r="M844" s="89">
        <v>90000</v>
      </c>
      <c r="N844" s="50"/>
    </row>
    <row r="845" spans="1:18" s="43" customFormat="1" x14ac:dyDescent="0.25">
      <c r="A845" s="92" t="s">
        <v>532</v>
      </c>
      <c r="B845" s="96" t="s">
        <v>323</v>
      </c>
      <c r="C845" s="50"/>
      <c r="D845" s="50"/>
      <c r="E845" s="50"/>
      <c r="F845" s="50"/>
      <c r="G845" s="50"/>
      <c r="H845" s="50"/>
      <c r="I845" s="89">
        <v>150000</v>
      </c>
      <c r="J845" s="50"/>
      <c r="K845" s="50"/>
      <c r="L845" s="50"/>
      <c r="M845" s="50"/>
      <c r="N845" s="50"/>
    </row>
    <row r="846" spans="1:18" s="43" customFormat="1" x14ac:dyDescent="0.25">
      <c r="A846" s="92" t="s">
        <v>533</v>
      </c>
      <c r="B846" s="96" t="s">
        <v>323</v>
      </c>
      <c r="C846" s="50"/>
      <c r="D846" s="50"/>
      <c r="E846" s="50"/>
      <c r="F846" s="50"/>
      <c r="G846" s="50"/>
      <c r="H846" s="50"/>
      <c r="I846" s="50"/>
      <c r="J846" s="89">
        <v>50000</v>
      </c>
      <c r="K846" s="50"/>
      <c r="L846" s="50"/>
      <c r="M846" s="50"/>
      <c r="N846" s="50"/>
    </row>
    <row r="847" spans="1:18" s="43" customFormat="1" x14ac:dyDescent="0.25">
      <c r="A847" s="92" t="s">
        <v>534</v>
      </c>
      <c r="B847" s="96" t="s">
        <v>323</v>
      </c>
      <c r="C847" s="50"/>
      <c r="D847" s="50"/>
      <c r="E847" s="50"/>
      <c r="F847" s="50"/>
      <c r="G847" s="50"/>
      <c r="H847" s="50"/>
      <c r="I847" s="50"/>
      <c r="J847" s="50"/>
      <c r="K847" s="50"/>
      <c r="L847" s="50"/>
      <c r="M847" s="50"/>
      <c r="N847" s="89">
        <v>60000</v>
      </c>
      <c r="P847" s="149">
        <v>40000</v>
      </c>
    </row>
    <row r="848" spans="1:18" x14ac:dyDescent="0.25">
      <c r="A848" s="131" t="s">
        <v>535</v>
      </c>
      <c r="B848" s="132" t="s">
        <v>487</v>
      </c>
      <c r="C848" s="50"/>
      <c r="D848" s="133">
        <v>8729</v>
      </c>
      <c r="E848" s="50"/>
      <c r="F848" s="50"/>
      <c r="G848" s="50"/>
      <c r="H848" s="50"/>
      <c r="I848" s="50"/>
      <c r="J848" s="50"/>
      <c r="K848" s="50"/>
      <c r="L848" s="134">
        <v>3761</v>
      </c>
      <c r="M848" s="50"/>
      <c r="N848" s="50"/>
      <c r="Q848"/>
      <c r="R848"/>
    </row>
    <row r="849" spans="1:18" x14ac:dyDescent="0.25">
      <c r="A849" s="91" t="s">
        <v>536</v>
      </c>
      <c r="B849" s="136" t="s">
        <v>492</v>
      </c>
      <c r="C849" s="50"/>
      <c r="D849" s="50"/>
      <c r="E849" s="85">
        <v>17295</v>
      </c>
      <c r="F849" s="50"/>
      <c r="G849" s="50"/>
      <c r="H849" s="50"/>
      <c r="I849" s="50"/>
      <c r="J849" s="50"/>
      <c r="K849" s="50"/>
      <c r="L849" s="50"/>
      <c r="M849" s="50"/>
      <c r="N849" s="50"/>
      <c r="Q849"/>
      <c r="R849"/>
    </row>
    <row r="850" spans="1:18" x14ac:dyDescent="0.25">
      <c r="A850" s="91" t="s">
        <v>537</v>
      </c>
      <c r="B850" s="136"/>
      <c r="C850" s="50"/>
      <c r="D850" s="50"/>
      <c r="E850" s="85"/>
      <c r="F850" s="50">
        <v>14091</v>
      </c>
      <c r="G850" s="50"/>
      <c r="H850" s="50"/>
      <c r="I850" s="50"/>
      <c r="J850" s="50"/>
      <c r="K850" s="50"/>
      <c r="L850" s="50"/>
      <c r="M850" s="50"/>
      <c r="N850" s="50"/>
    </row>
    <row r="851" spans="1:18" x14ac:dyDescent="0.25">
      <c r="A851" s="91" t="s">
        <v>538</v>
      </c>
      <c r="B851" s="136" t="s">
        <v>492</v>
      </c>
      <c r="C851" s="50"/>
      <c r="D851" s="50"/>
      <c r="E851" s="50"/>
      <c r="F851" s="50"/>
      <c r="G851" s="50"/>
      <c r="H851" s="50"/>
      <c r="I851" s="50"/>
      <c r="J851" s="50"/>
      <c r="K851" s="50"/>
      <c r="L851" s="50"/>
      <c r="M851" s="50"/>
      <c r="N851" s="50">
        <v>0</v>
      </c>
    </row>
    <row r="852" spans="1:18" x14ac:dyDescent="0.25">
      <c r="A852" s="128" t="s">
        <v>539</v>
      </c>
      <c r="B852" s="129" t="s">
        <v>245</v>
      </c>
      <c r="C852" s="52">
        <v>10314</v>
      </c>
      <c r="D852" s="50"/>
      <c r="E852" s="50"/>
      <c r="F852" s="50"/>
      <c r="G852" s="50"/>
      <c r="H852" s="50"/>
      <c r="I852" s="50"/>
      <c r="J852" s="50"/>
      <c r="K852" s="50"/>
      <c r="L852" s="50"/>
      <c r="M852" s="50"/>
      <c r="N852" s="50"/>
    </row>
    <row r="853" spans="1:18" s="43" customFormat="1" x14ac:dyDescent="0.25">
      <c r="A853" s="92" t="s">
        <v>540</v>
      </c>
      <c r="B853" s="96" t="s">
        <v>330</v>
      </c>
      <c r="C853" s="50"/>
      <c r="D853" s="50"/>
      <c r="E853" s="50"/>
      <c r="F853" s="50"/>
      <c r="G853" s="50"/>
      <c r="H853" s="50"/>
      <c r="I853" s="50"/>
      <c r="J853" s="50"/>
      <c r="K853" s="50"/>
      <c r="L853" s="50"/>
      <c r="M853" s="50"/>
      <c r="N853" s="50"/>
    </row>
    <row r="854" spans="1:18" s="43" customFormat="1" x14ac:dyDescent="0.25">
      <c r="A854" s="92" t="s">
        <v>541</v>
      </c>
      <c r="B854" s="96" t="s">
        <v>323</v>
      </c>
      <c r="C854" s="50"/>
      <c r="D854" s="50"/>
      <c r="E854" s="50"/>
      <c r="F854" s="50"/>
      <c r="G854" s="50"/>
      <c r="H854" s="50"/>
      <c r="I854" s="50"/>
      <c r="J854" s="50"/>
      <c r="K854" s="50"/>
      <c r="L854" s="50"/>
      <c r="M854" s="50"/>
      <c r="N854" s="50"/>
      <c r="Q854" s="149">
        <v>65000</v>
      </c>
      <c r="R854" s="149"/>
    </row>
    <row r="855" spans="1:18" x14ac:dyDescent="0.25">
      <c r="A855" s="43" t="s">
        <v>542</v>
      </c>
      <c r="B855" s="53"/>
      <c r="C855" s="50"/>
      <c r="D855" s="50">
        <v>0</v>
      </c>
      <c r="E855" s="50">
        <v>0</v>
      </c>
      <c r="F855" s="50">
        <v>0</v>
      </c>
      <c r="G855" s="50">
        <v>0</v>
      </c>
      <c r="H855" s="50">
        <v>0</v>
      </c>
      <c r="I855" s="50">
        <v>0</v>
      </c>
      <c r="J855" s="50">
        <v>0</v>
      </c>
      <c r="K855" s="50">
        <v>0</v>
      </c>
      <c r="L855" s="50">
        <v>0</v>
      </c>
      <c r="M855" s="50">
        <v>0</v>
      </c>
      <c r="N855" s="50">
        <v>0</v>
      </c>
    </row>
    <row r="856" spans="1:18" x14ac:dyDescent="0.25">
      <c r="A856" s="150" t="s">
        <v>543</v>
      </c>
      <c r="B856" s="127" t="s">
        <v>468</v>
      </c>
      <c r="C856" s="50"/>
      <c r="D856" s="50">
        <v>0</v>
      </c>
      <c r="E856" s="50">
        <v>0</v>
      </c>
      <c r="F856" s="50">
        <v>0</v>
      </c>
      <c r="G856" s="50">
        <v>0</v>
      </c>
      <c r="H856" s="50">
        <v>0</v>
      </c>
      <c r="I856" s="50">
        <v>0</v>
      </c>
      <c r="J856" s="50">
        <v>0</v>
      </c>
      <c r="K856" s="50">
        <v>0</v>
      </c>
      <c r="L856" s="50">
        <v>0</v>
      </c>
      <c r="M856" s="50">
        <v>0</v>
      </c>
      <c r="N856" s="50">
        <v>0</v>
      </c>
    </row>
    <row r="857" spans="1:18" s="43" customFormat="1" x14ac:dyDescent="0.25">
      <c r="A857" s="92" t="s">
        <v>544</v>
      </c>
      <c r="B857" s="96" t="s">
        <v>323</v>
      </c>
      <c r="C857" s="50"/>
      <c r="D857" s="50"/>
      <c r="E857" s="50"/>
      <c r="F857" s="50"/>
      <c r="G857" s="50"/>
      <c r="H857" s="50"/>
      <c r="I857" s="50"/>
      <c r="J857" s="50"/>
      <c r="K857" s="50"/>
      <c r="L857" s="50"/>
      <c r="M857" s="50"/>
      <c r="N857" s="50"/>
      <c r="Q857" s="149">
        <v>250000</v>
      </c>
      <c r="R857" s="149"/>
    </row>
    <row r="858" spans="1:18" x14ac:dyDescent="0.25">
      <c r="A858" s="151" t="s">
        <v>545</v>
      </c>
      <c r="B858" s="127" t="s">
        <v>468</v>
      </c>
      <c r="C858" s="59"/>
      <c r="D858" s="50">
        <v>0</v>
      </c>
      <c r="E858" s="50">
        <v>0</v>
      </c>
      <c r="F858" s="50">
        <v>0</v>
      </c>
      <c r="G858" s="50">
        <v>0</v>
      </c>
      <c r="H858" s="50">
        <v>0</v>
      </c>
      <c r="I858" s="50">
        <v>0</v>
      </c>
      <c r="J858" s="50">
        <v>0</v>
      </c>
      <c r="K858" s="50">
        <v>0</v>
      </c>
      <c r="L858" s="50">
        <v>0</v>
      </c>
      <c r="M858" s="50">
        <v>0</v>
      </c>
      <c r="N858" s="50">
        <v>0</v>
      </c>
      <c r="O858" s="50"/>
      <c r="P858" s="50"/>
      <c r="Q858" s="50"/>
      <c r="R858" s="50"/>
    </row>
    <row r="859" spans="1:18" s="43" customFormat="1" x14ac:dyDescent="0.25">
      <c r="A859" s="91" t="s">
        <v>546</v>
      </c>
      <c r="B859" s="136" t="s">
        <v>492</v>
      </c>
      <c r="C859" s="52"/>
      <c r="D859" s="50"/>
      <c r="E859" s="50"/>
      <c r="F859" s="50"/>
      <c r="G859" s="50">
        <v>2850</v>
      </c>
      <c r="H859" s="50"/>
      <c r="I859" s="50"/>
      <c r="J859" s="50"/>
      <c r="K859" s="50"/>
      <c r="L859" s="50"/>
      <c r="M859" s="50"/>
      <c r="N859" s="50"/>
      <c r="O859" s="50">
        <v>0</v>
      </c>
      <c r="P859" s="50">
        <v>0</v>
      </c>
      <c r="Q859" s="50">
        <v>0</v>
      </c>
      <c r="R859" s="50">
        <v>0</v>
      </c>
    </row>
    <row r="860" spans="1:18" x14ac:dyDescent="0.25">
      <c r="A860" s="128" t="s">
        <v>547</v>
      </c>
      <c r="B860" s="129" t="s">
        <v>245</v>
      </c>
      <c r="C860" s="54">
        <v>7219</v>
      </c>
      <c r="D860" s="130">
        <v>12730</v>
      </c>
      <c r="E860" s="50"/>
      <c r="F860" s="50"/>
      <c r="G860" s="50"/>
      <c r="H860" s="50"/>
      <c r="I860" s="50"/>
      <c r="J860" s="50"/>
      <c r="K860" s="50"/>
      <c r="L860" s="50"/>
      <c r="M860" s="50"/>
      <c r="N860" s="50"/>
    </row>
    <row r="861" spans="1:18" x14ac:dyDescent="0.25">
      <c r="A861" s="131" t="s">
        <v>548</v>
      </c>
      <c r="B861" s="132" t="s">
        <v>487</v>
      </c>
      <c r="C861" s="50"/>
      <c r="D861" s="133">
        <v>170</v>
      </c>
      <c r="E861" s="50"/>
      <c r="F861" s="50"/>
      <c r="G861" s="50"/>
      <c r="H861" s="50"/>
      <c r="I861" s="50"/>
      <c r="J861" s="50"/>
      <c r="K861" s="50"/>
      <c r="L861" s="134">
        <v>6269</v>
      </c>
      <c r="M861" s="50"/>
      <c r="N861" s="50"/>
    </row>
    <row r="862" spans="1:18" x14ac:dyDescent="0.25">
      <c r="A862" s="131" t="s">
        <v>549</v>
      </c>
      <c r="B862" s="132" t="s">
        <v>487</v>
      </c>
      <c r="C862" s="50"/>
      <c r="D862" s="50"/>
      <c r="E862" s="134">
        <v>0</v>
      </c>
      <c r="F862" s="50"/>
      <c r="G862" s="50"/>
      <c r="H862" s="50"/>
      <c r="I862" s="50"/>
      <c r="J862" s="134">
        <v>5955</v>
      </c>
      <c r="K862" s="50"/>
      <c r="L862" s="50"/>
      <c r="M862" s="50"/>
      <c r="N862" s="50"/>
    </row>
    <row r="863" spans="1:18" s="43" customFormat="1" x14ac:dyDescent="0.25">
      <c r="A863" s="52" t="s">
        <v>550</v>
      </c>
      <c r="B863" s="53"/>
      <c r="C863" s="50"/>
      <c r="D863" s="50"/>
      <c r="E863" s="50"/>
      <c r="F863" s="50"/>
      <c r="G863" s="50"/>
      <c r="H863" s="50"/>
      <c r="I863" s="50"/>
      <c r="J863" s="50"/>
      <c r="K863" s="50"/>
      <c r="L863" s="50"/>
      <c r="M863" s="50"/>
      <c r="N863" s="50"/>
    </row>
    <row r="864" spans="1:18" s="43" customFormat="1" x14ac:dyDescent="0.25">
      <c r="A864" s="92" t="s">
        <v>551</v>
      </c>
      <c r="B864" s="96" t="s">
        <v>330</v>
      </c>
      <c r="C864" s="50"/>
      <c r="D864" s="50"/>
      <c r="E864" s="50"/>
      <c r="F864" s="50"/>
      <c r="G864" s="50"/>
      <c r="H864" s="50"/>
      <c r="I864" s="50"/>
      <c r="J864" s="50"/>
      <c r="K864" s="50"/>
      <c r="L864" s="50"/>
      <c r="M864" s="50"/>
      <c r="N864" s="50"/>
      <c r="O864" s="43">
        <v>0</v>
      </c>
      <c r="P864" s="43">
        <v>0</v>
      </c>
      <c r="Q864" s="43">
        <v>0</v>
      </c>
      <c r="R864" s="43">
        <v>0</v>
      </c>
    </row>
    <row r="865" spans="1:18" s="43" customFormat="1" x14ac:dyDescent="0.25">
      <c r="A865" s="92" t="s">
        <v>552</v>
      </c>
      <c r="B865" s="96" t="s">
        <v>330</v>
      </c>
      <c r="C865" s="50"/>
      <c r="D865" s="50"/>
      <c r="E865" s="50"/>
      <c r="F865" s="50"/>
      <c r="G865" s="50"/>
      <c r="H865" s="50"/>
      <c r="I865" s="50"/>
      <c r="J865" s="50"/>
      <c r="K865" s="50"/>
      <c r="L865" s="50"/>
      <c r="M865" s="50"/>
      <c r="N865" s="50"/>
    </row>
    <row r="866" spans="1:18" s="43" customFormat="1" x14ac:dyDescent="0.25">
      <c r="A866" s="153" t="s">
        <v>552</v>
      </c>
      <c r="B866" s="96" t="s">
        <v>323</v>
      </c>
      <c r="C866" s="50"/>
      <c r="D866" s="50"/>
      <c r="E866" s="50"/>
      <c r="F866" s="50"/>
      <c r="G866" s="50"/>
      <c r="H866" s="50"/>
      <c r="I866" s="50"/>
      <c r="J866" s="50"/>
      <c r="K866" s="50"/>
      <c r="L866" s="50"/>
      <c r="M866" s="50"/>
      <c r="N866" s="50"/>
      <c r="O866" s="89">
        <v>60000</v>
      </c>
    </row>
    <row r="867" spans="1:18" s="43" customFormat="1" x14ac:dyDescent="0.25">
      <c r="A867" s="153" t="s">
        <v>553</v>
      </c>
      <c r="B867" s="96" t="s">
        <v>323</v>
      </c>
      <c r="C867" s="50"/>
      <c r="D867" s="50"/>
      <c r="E867" s="50"/>
      <c r="F867" s="50"/>
      <c r="G867" s="50"/>
      <c r="H867" s="50"/>
      <c r="I867" s="50"/>
      <c r="J867" s="50"/>
      <c r="K867" s="50"/>
      <c r="L867" s="50"/>
      <c r="M867" s="89">
        <v>60000</v>
      </c>
      <c r="N867" s="50"/>
      <c r="O867" s="50"/>
    </row>
    <row r="868" spans="1:18" s="43" customFormat="1" x14ac:dyDescent="0.25">
      <c r="A868" s="153" t="s">
        <v>554</v>
      </c>
      <c r="B868" s="96" t="s">
        <v>323</v>
      </c>
      <c r="C868" s="50"/>
      <c r="D868" s="50"/>
      <c r="E868" s="50"/>
      <c r="F868" s="50"/>
      <c r="G868" s="50"/>
      <c r="H868" s="50"/>
      <c r="I868" s="50"/>
      <c r="J868" s="89">
        <v>80000</v>
      </c>
      <c r="K868" s="50"/>
      <c r="L868" s="50"/>
      <c r="M868" s="50"/>
      <c r="N868" s="50"/>
      <c r="O868" s="50"/>
    </row>
    <row r="869" spans="1:18" x14ac:dyDescent="0.25">
      <c r="A869" s="128" t="s">
        <v>555</v>
      </c>
      <c r="B869" s="129" t="s">
        <v>245</v>
      </c>
      <c r="C869" s="54">
        <v>21670</v>
      </c>
      <c r="D869" s="130">
        <v>8600</v>
      </c>
      <c r="E869" s="50"/>
      <c r="F869" s="50"/>
      <c r="G869" s="50"/>
      <c r="H869" s="50"/>
      <c r="I869" s="50"/>
      <c r="J869" s="50"/>
      <c r="K869" s="50"/>
      <c r="L869" s="50"/>
      <c r="M869" s="50"/>
      <c r="N869" s="50"/>
      <c r="O869" s="50"/>
    </row>
    <row r="870" spans="1:18" s="43" customFormat="1" x14ac:dyDescent="0.25">
      <c r="A870" s="83" t="s">
        <v>556</v>
      </c>
      <c r="B870" s="53"/>
      <c r="C870" s="50"/>
      <c r="D870" s="85">
        <v>35105</v>
      </c>
      <c r="E870" s="50"/>
      <c r="F870" s="50"/>
      <c r="G870" s="50"/>
      <c r="H870" s="50"/>
      <c r="I870" s="50"/>
      <c r="J870" s="50"/>
      <c r="K870" s="50"/>
      <c r="L870" s="50"/>
      <c r="M870" s="50"/>
      <c r="N870" s="50"/>
      <c r="O870" s="50"/>
    </row>
    <row r="871" spans="1:18" s="43" customFormat="1" x14ac:dyDescent="0.25">
      <c r="A871" s="92" t="s">
        <v>557</v>
      </c>
      <c r="B871" s="96" t="s">
        <v>323</v>
      </c>
      <c r="C871" s="50"/>
      <c r="D871" s="50"/>
      <c r="E871" s="50"/>
      <c r="F871" s="50"/>
      <c r="G871" s="50"/>
      <c r="H871" s="50"/>
      <c r="I871" s="50"/>
      <c r="J871" s="50"/>
      <c r="K871" s="50"/>
      <c r="L871" s="50"/>
      <c r="M871" s="50"/>
      <c r="N871" s="50"/>
      <c r="O871" s="50"/>
      <c r="R871" s="89">
        <v>80000</v>
      </c>
    </row>
    <row r="872" spans="1:18" s="43" customFormat="1" x14ac:dyDescent="0.25">
      <c r="A872" s="92" t="s">
        <v>558</v>
      </c>
      <c r="B872" s="96" t="s">
        <v>323</v>
      </c>
      <c r="C872" s="50"/>
      <c r="D872" s="50"/>
      <c r="E872" s="50"/>
      <c r="F872" s="50"/>
      <c r="G872" s="50"/>
      <c r="H872" s="50"/>
      <c r="I872" s="50"/>
      <c r="J872" s="50"/>
      <c r="K872" s="50"/>
      <c r="L872" s="50"/>
      <c r="M872" s="50"/>
      <c r="N872" s="50"/>
      <c r="O872" s="89">
        <v>60000</v>
      </c>
    </row>
    <row r="873" spans="1:18" s="43" customFormat="1" x14ac:dyDescent="0.25">
      <c r="A873" s="52" t="s">
        <v>559</v>
      </c>
      <c r="B873" s="53"/>
      <c r="C873" s="54">
        <v>1338</v>
      </c>
      <c r="D873" s="50">
        <v>13333</v>
      </c>
      <c r="E873" s="50"/>
      <c r="F873" s="50"/>
      <c r="G873" s="50"/>
      <c r="H873" s="50"/>
      <c r="I873" s="50"/>
      <c r="J873" s="50"/>
      <c r="K873" s="50"/>
      <c r="L873" s="50"/>
      <c r="M873" s="50"/>
      <c r="N873" s="50"/>
    </row>
    <row r="874" spans="1:18" s="43" customFormat="1" x14ac:dyDescent="0.25">
      <c r="A874" s="43" t="s">
        <v>560</v>
      </c>
      <c r="B874" s="53"/>
      <c r="C874" s="50"/>
      <c r="D874" s="50"/>
      <c r="E874" s="50"/>
      <c r="F874" s="50"/>
      <c r="G874" s="50"/>
      <c r="H874" s="50"/>
      <c r="I874" s="50"/>
      <c r="J874" s="50"/>
      <c r="K874" s="50"/>
      <c r="L874" s="50"/>
      <c r="M874" s="50"/>
      <c r="N874" s="50"/>
    </row>
    <row r="875" spans="1:18" x14ac:dyDescent="0.25">
      <c r="A875" s="91" t="s">
        <v>561</v>
      </c>
      <c r="B875" s="84" t="s">
        <v>317</v>
      </c>
      <c r="C875" s="54">
        <v>99533</v>
      </c>
      <c r="D875" s="85">
        <v>6209</v>
      </c>
      <c r="E875" s="50"/>
      <c r="F875" s="50"/>
      <c r="G875" s="50"/>
      <c r="H875" s="50"/>
      <c r="I875" s="50"/>
      <c r="J875" s="50"/>
      <c r="K875" s="50"/>
      <c r="L875" s="50"/>
      <c r="M875" s="50"/>
      <c r="N875" s="50"/>
    </row>
    <row r="876" spans="1:18" s="43" customFormat="1" x14ac:dyDescent="0.25">
      <c r="A876" s="43" t="s">
        <v>562</v>
      </c>
      <c r="B876" s="53"/>
      <c r="C876" s="50"/>
      <c r="D876" s="50"/>
      <c r="E876" s="50"/>
      <c r="F876" s="50"/>
      <c r="G876" s="50"/>
      <c r="H876" s="50"/>
      <c r="I876" s="50"/>
      <c r="J876" s="50"/>
      <c r="K876" s="50"/>
      <c r="L876" s="50"/>
      <c r="M876" s="50"/>
      <c r="N876" s="50"/>
    </row>
    <row r="877" spans="1:18" x14ac:dyDescent="0.25">
      <c r="A877" s="128" t="s">
        <v>563</v>
      </c>
      <c r="B877" s="129" t="s">
        <v>245</v>
      </c>
      <c r="C877" s="50"/>
      <c r="D877" s="50"/>
      <c r="E877" s="50"/>
      <c r="F877" s="50"/>
      <c r="G877" s="50"/>
      <c r="H877" s="50"/>
      <c r="I877" s="50"/>
      <c r="J877" s="50"/>
      <c r="K877" s="50"/>
      <c r="L877" s="50"/>
      <c r="M877" s="50"/>
      <c r="N877" s="50"/>
    </row>
    <row r="878" spans="1:18" x14ac:dyDescent="0.25">
      <c r="A878" s="128" t="s">
        <v>564</v>
      </c>
      <c r="B878" s="129" t="s">
        <v>245</v>
      </c>
      <c r="C878" s="54"/>
      <c r="D878" s="63">
        <v>19977</v>
      </c>
      <c r="E878" s="50"/>
      <c r="F878" s="50"/>
      <c r="G878" s="50"/>
      <c r="H878" s="50"/>
      <c r="I878" s="50"/>
      <c r="J878" s="50"/>
      <c r="K878" s="50"/>
      <c r="L878" s="50"/>
      <c r="M878" s="50"/>
      <c r="N878" s="50"/>
    </row>
    <row r="879" spans="1:18" x14ac:dyDescent="0.25">
      <c r="A879" s="83" t="s">
        <v>564</v>
      </c>
      <c r="B879" s="84" t="s">
        <v>317</v>
      </c>
      <c r="C879" s="50">
        <v>47108</v>
      </c>
      <c r="D879" s="85">
        <v>119092</v>
      </c>
      <c r="E879" s="50"/>
      <c r="F879" s="50"/>
      <c r="G879" s="50"/>
      <c r="H879" s="50"/>
      <c r="I879" s="50"/>
      <c r="J879" s="50"/>
      <c r="K879" s="50"/>
      <c r="L879" s="50"/>
      <c r="M879" s="50"/>
      <c r="N879" s="50"/>
    </row>
    <row r="880" spans="1:18" x14ac:dyDescent="0.25">
      <c r="A880" s="126" t="s">
        <v>565</v>
      </c>
      <c r="B880" s="127" t="s">
        <v>468</v>
      </c>
      <c r="C880" s="50"/>
      <c r="D880" s="50">
        <v>0</v>
      </c>
      <c r="E880" s="50">
        <v>0</v>
      </c>
      <c r="F880" s="50">
        <v>0</v>
      </c>
      <c r="G880" s="50">
        <v>0</v>
      </c>
      <c r="H880" s="50">
        <v>0</v>
      </c>
      <c r="I880" s="50">
        <v>0</v>
      </c>
      <c r="J880" s="50">
        <v>0</v>
      </c>
      <c r="K880" s="50">
        <v>0</v>
      </c>
      <c r="L880" s="50">
        <v>0</v>
      </c>
      <c r="M880" s="50">
        <v>0</v>
      </c>
      <c r="N880" s="50"/>
      <c r="O880" s="50"/>
      <c r="P880" s="50"/>
      <c r="Q880" s="50"/>
      <c r="R880" s="50"/>
    </row>
    <row r="881" spans="1:18" x14ac:dyDescent="0.25">
      <c r="A881" s="91" t="s">
        <v>566</v>
      </c>
      <c r="B881" s="84" t="s">
        <v>317</v>
      </c>
      <c r="C881" s="50"/>
      <c r="D881" s="85"/>
      <c r="E881" s="85">
        <v>10382</v>
      </c>
      <c r="F881" s="50"/>
      <c r="G881" s="50"/>
      <c r="H881" s="50"/>
      <c r="I881" s="50"/>
      <c r="J881" s="50"/>
      <c r="K881" s="50"/>
      <c r="L881" s="50"/>
      <c r="M881" s="50"/>
      <c r="N881" s="50"/>
      <c r="O881" s="50"/>
      <c r="P881" s="50"/>
      <c r="Q881" s="50"/>
      <c r="R881" s="50"/>
    </row>
    <row r="882" spans="1:18" s="43" customFormat="1" x14ac:dyDescent="0.25">
      <c r="A882" s="92" t="s">
        <v>567</v>
      </c>
      <c r="B882" s="96" t="s">
        <v>330</v>
      </c>
      <c r="C882" s="50"/>
      <c r="D882" s="50"/>
      <c r="E882" s="50"/>
      <c r="F882" s="50"/>
      <c r="G882" s="50"/>
      <c r="H882" s="50"/>
      <c r="I882" s="50"/>
      <c r="J882" s="50"/>
      <c r="K882" s="50"/>
      <c r="L882" s="50"/>
      <c r="M882" s="50"/>
      <c r="N882" s="50"/>
      <c r="O882" s="50"/>
      <c r="P882" s="50"/>
      <c r="Q882" s="50"/>
      <c r="R882" s="50"/>
    </row>
    <row r="883" spans="1:18" s="43" customFormat="1" x14ac:dyDescent="0.25">
      <c r="A883" s="92" t="s">
        <v>568</v>
      </c>
      <c r="B883" s="96"/>
      <c r="C883" s="50"/>
      <c r="D883" s="50"/>
      <c r="E883" s="50"/>
      <c r="F883" s="50"/>
      <c r="G883" s="50"/>
      <c r="H883" s="50"/>
      <c r="I883" s="50"/>
      <c r="J883" s="50"/>
      <c r="K883" s="50"/>
      <c r="L883" s="50"/>
      <c r="M883" s="50"/>
      <c r="N883" s="50"/>
      <c r="O883" s="50"/>
      <c r="P883" s="50"/>
      <c r="Q883" s="50"/>
      <c r="R883" s="50"/>
    </row>
    <row r="884" spans="1:18" s="43" customFormat="1" x14ac:dyDescent="0.25">
      <c r="A884" s="153" t="s">
        <v>569</v>
      </c>
      <c r="B884" s="96" t="s">
        <v>323</v>
      </c>
      <c r="C884" s="50"/>
      <c r="D884" s="50"/>
      <c r="E884" s="50"/>
      <c r="F884" s="50"/>
      <c r="G884" s="50"/>
      <c r="H884" s="50"/>
      <c r="I884" s="50"/>
      <c r="J884" s="50"/>
      <c r="K884" s="50"/>
      <c r="L884" s="50"/>
      <c r="M884" s="50"/>
      <c r="N884" s="50"/>
      <c r="O884" s="50"/>
      <c r="P884" s="89">
        <v>70000</v>
      </c>
      <c r="Q884" s="50"/>
      <c r="R884" s="50"/>
    </row>
    <row r="885" spans="1:18" s="43" customFormat="1" x14ac:dyDescent="0.25">
      <c r="A885" s="153" t="s">
        <v>570</v>
      </c>
      <c r="B885" s="96" t="s">
        <v>323</v>
      </c>
      <c r="C885" s="50"/>
      <c r="D885" s="50"/>
      <c r="E885" s="50"/>
      <c r="F885" s="50"/>
      <c r="G885" s="50"/>
      <c r="H885" s="50"/>
      <c r="I885" s="50"/>
      <c r="J885" s="50"/>
      <c r="K885" s="50"/>
      <c r="L885" s="50"/>
      <c r="M885" s="50"/>
      <c r="N885" s="89">
        <v>55000</v>
      </c>
      <c r="O885" s="50"/>
      <c r="P885" s="50"/>
      <c r="Q885" s="50"/>
      <c r="R885" s="50"/>
    </row>
    <row r="886" spans="1:18" s="43" customFormat="1" x14ac:dyDescent="0.25">
      <c r="A886" s="153" t="s">
        <v>571</v>
      </c>
      <c r="B886" s="96" t="s">
        <v>323</v>
      </c>
      <c r="C886" s="50"/>
      <c r="D886" s="50"/>
      <c r="E886" s="50"/>
      <c r="F886" s="50"/>
      <c r="G886" s="50"/>
      <c r="H886" s="50"/>
      <c r="I886" s="50"/>
      <c r="J886" s="50"/>
      <c r="K886" s="89">
        <v>25000</v>
      </c>
      <c r="L886" s="50"/>
      <c r="M886" s="50"/>
      <c r="N886" s="50"/>
      <c r="O886" s="50"/>
      <c r="P886" s="50"/>
      <c r="Q886" s="50"/>
      <c r="R886" s="50"/>
    </row>
    <row r="887" spans="1:18" s="43" customFormat="1" x14ac:dyDescent="0.25">
      <c r="A887" s="153" t="s">
        <v>572</v>
      </c>
      <c r="B887" s="96" t="s">
        <v>323</v>
      </c>
      <c r="C887" s="50"/>
      <c r="D887" s="50"/>
      <c r="E887" s="50"/>
      <c r="F887" s="50"/>
      <c r="G887" s="50"/>
      <c r="H887" s="50"/>
      <c r="I887" s="50"/>
      <c r="J887" s="50"/>
      <c r="K887" s="50"/>
      <c r="L887" s="89">
        <v>20000</v>
      </c>
      <c r="M887" s="50"/>
      <c r="N887" s="50"/>
      <c r="O887" s="50"/>
      <c r="P887" s="50"/>
      <c r="Q887" s="50"/>
      <c r="R887" s="50"/>
    </row>
    <row r="888" spans="1:18" s="43" customFormat="1" x14ac:dyDescent="0.25">
      <c r="A888" s="147" t="s">
        <v>573</v>
      </c>
      <c r="B888" s="53"/>
      <c r="C888" s="50"/>
      <c r="D888" s="50"/>
      <c r="E888" s="50"/>
      <c r="F888" s="50"/>
      <c r="G888" s="50">
        <v>2850</v>
      </c>
      <c r="H888" s="50"/>
      <c r="I888" s="50"/>
      <c r="J888" s="50"/>
      <c r="K888" s="50"/>
      <c r="L888" s="50"/>
      <c r="M888" s="50"/>
      <c r="N888" s="50"/>
      <c r="O888" s="50"/>
      <c r="P888" s="50"/>
      <c r="Q888" s="50"/>
      <c r="R888" s="50"/>
    </row>
    <row r="889" spans="1:18" x14ac:dyDescent="0.25">
      <c r="A889" s="126" t="s">
        <v>574</v>
      </c>
      <c r="B889" s="127" t="s">
        <v>468</v>
      </c>
      <c r="C889" s="50"/>
      <c r="D889" s="50">
        <v>0</v>
      </c>
      <c r="E889" s="50">
        <v>0</v>
      </c>
      <c r="F889" s="50">
        <v>0</v>
      </c>
      <c r="G889" s="50">
        <v>0</v>
      </c>
      <c r="H889" s="50">
        <v>0</v>
      </c>
      <c r="I889" s="50">
        <v>0</v>
      </c>
      <c r="J889" s="50">
        <v>0</v>
      </c>
      <c r="K889" s="50">
        <v>0</v>
      </c>
      <c r="L889" s="50">
        <v>0</v>
      </c>
      <c r="M889" s="50">
        <v>0</v>
      </c>
      <c r="N889" s="50">
        <v>0</v>
      </c>
      <c r="O889" s="50">
        <v>0</v>
      </c>
      <c r="P889" s="50">
        <v>0</v>
      </c>
      <c r="Q889" s="50">
        <v>0</v>
      </c>
      <c r="R889" s="50">
        <v>0</v>
      </c>
    </row>
    <row r="890" spans="1:18" x14ac:dyDescent="0.25">
      <c r="A890" s="128" t="s">
        <v>575</v>
      </c>
      <c r="B890" s="129" t="s">
        <v>245</v>
      </c>
      <c r="C890" s="59">
        <v>7659</v>
      </c>
      <c r="D890" s="63">
        <v>23680</v>
      </c>
      <c r="E890" s="50"/>
      <c r="F890" s="50"/>
      <c r="G890" s="50"/>
      <c r="H890" s="50"/>
      <c r="I890" s="50"/>
      <c r="J890" s="50"/>
      <c r="K890" s="50"/>
      <c r="L890" s="50"/>
      <c r="M890" s="50"/>
      <c r="N890" s="50"/>
      <c r="O890" s="50"/>
      <c r="P890" s="50"/>
      <c r="Q890" s="50"/>
      <c r="R890" s="50"/>
    </row>
    <row r="891" spans="1:18" x14ac:dyDescent="0.25">
      <c r="A891" s="150" t="s">
        <v>576</v>
      </c>
      <c r="B891" s="154" t="s">
        <v>468</v>
      </c>
      <c r="C891" s="50">
        <v>51000</v>
      </c>
      <c r="D891" s="50">
        <v>0</v>
      </c>
      <c r="E891" s="50">
        <v>0</v>
      </c>
      <c r="F891" s="50">
        <v>0</v>
      </c>
      <c r="G891" s="50">
        <v>0</v>
      </c>
      <c r="H891" s="50">
        <v>0</v>
      </c>
      <c r="I891" s="50">
        <v>0</v>
      </c>
      <c r="J891" s="50">
        <v>0</v>
      </c>
      <c r="K891" s="50">
        <v>0</v>
      </c>
      <c r="L891" s="50">
        <v>0</v>
      </c>
      <c r="M891" s="50">
        <v>0</v>
      </c>
      <c r="N891" s="50">
        <v>0</v>
      </c>
      <c r="O891" s="50">
        <v>0</v>
      </c>
      <c r="P891" s="50">
        <v>0</v>
      </c>
      <c r="Q891" s="50">
        <v>0</v>
      </c>
      <c r="R891" s="50">
        <v>0</v>
      </c>
    </row>
    <row r="892" spans="1:18" x14ac:dyDescent="0.25">
      <c r="A892" s="150" t="s">
        <v>577</v>
      </c>
      <c r="B892" s="127" t="s">
        <v>468</v>
      </c>
      <c r="C892" s="50"/>
      <c r="D892" s="50">
        <v>0</v>
      </c>
      <c r="E892" s="50">
        <v>0</v>
      </c>
      <c r="F892" s="50">
        <v>0</v>
      </c>
      <c r="G892" s="50">
        <v>0</v>
      </c>
      <c r="H892" s="50">
        <v>0</v>
      </c>
      <c r="I892" s="50">
        <v>0</v>
      </c>
      <c r="J892" s="50">
        <v>0</v>
      </c>
      <c r="K892" s="50">
        <v>0</v>
      </c>
      <c r="L892" s="50">
        <v>0</v>
      </c>
      <c r="M892" s="50">
        <v>0</v>
      </c>
      <c r="N892" s="50">
        <v>0</v>
      </c>
      <c r="O892" s="50">
        <v>0</v>
      </c>
      <c r="P892" s="50">
        <v>0</v>
      </c>
      <c r="Q892" s="50">
        <v>0</v>
      </c>
      <c r="R892" s="50">
        <v>0</v>
      </c>
    </row>
    <row r="893" spans="1:18" x14ac:dyDescent="0.25">
      <c r="A893" s="150" t="s">
        <v>578</v>
      </c>
      <c r="B893" s="127" t="s">
        <v>468</v>
      </c>
      <c r="C893" s="59"/>
      <c r="D893" s="50"/>
      <c r="E893" s="50"/>
      <c r="F893" s="50">
        <v>0</v>
      </c>
      <c r="G893" s="50">
        <v>0</v>
      </c>
      <c r="H893" s="50">
        <v>0</v>
      </c>
      <c r="I893" s="50">
        <v>0</v>
      </c>
      <c r="J893" s="50">
        <v>0</v>
      </c>
      <c r="K893" s="50">
        <v>0</v>
      </c>
      <c r="L893" s="50">
        <v>0</v>
      </c>
      <c r="M893" s="50">
        <v>0</v>
      </c>
      <c r="N893" s="50">
        <v>0</v>
      </c>
      <c r="O893" s="50">
        <v>0</v>
      </c>
      <c r="P893" s="50">
        <v>0</v>
      </c>
      <c r="Q893" s="50">
        <v>0</v>
      </c>
      <c r="R893" s="50">
        <v>0</v>
      </c>
    </row>
    <row r="894" spans="1:18" x14ac:dyDescent="0.25">
      <c r="A894" s="91" t="s">
        <v>579</v>
      </c>
      <c r="B894" s="84" t="s">
        <v>317</v>
      </c>
      <c r="C894" s="50">
        <v>19444</v>
      </c>
      <c r="D894" s="85">
        <v>6151</v>
      </c>
      <c r="E894" s="50"/>
      <c r="F894" s="50"/>
      <c r="G894" s="50"/>
      <c r="H894" s="50"/>
      <c r="I894" s="50"/>
      <c r="J894" s="50"/>
      <c r="K894" s="50"/>
      <c r="L894" s="50"/>
      <c r="M894" s="50"/>
      <c r="N894" s="50"/>
      <c r="O894" s="50">
        <v>0</v>
      </c>
      <c r="P894" s="50">
        <v>0</v>
      </c>
      <c r="Q894" s="50">
        <v>0</v>
      </c>
      <c r="R894" s="50">
        <v>0</v>
      </c>
    </row>
    <row r="895" spans="1:18" x14ac:dyDescent="0.25">
      <c r="A895" s="155" t="s">
        <v>580</v>
      </c>
      <c r="B895" s="156"/>
      <c r="C895" s="50"/>
      <c r="D895" s="50">
        <v>7533</v>
      </c>
      <c r="E895" s="50"/>
      <c r="F895" s="50"/>
      <c r="G895" s="50"/>
      <c r="H895" s="50"/>
      <c r="I895" s="50"/>
      <c r="J895" s="50"/>
      <c r="K895" s="50"/>
      <c r="L895" s="50"/>
      <c r="M895" s="50"/>
      <c r="N895" s="50"/>
      <c r="O895" s="50"/>
      <c r="P895" s="50"/>
      <c r="Q895" s="50"/>
      <c r="R895" s="50"/>
    </row>
    <row r="896" spans="1:18" s="43" customFormat="1" x14ac:dyDescent="0.25">
      <c r="A896" s="92" t="s">
        <v>581</v>
      </c>
      <c r="B896" s="96" t="s">
        <v>330</v>
      </c>
      <c r="C896" s="50"/>
      <c r="D896" s="50"/>
      <c r="E896" s="50"/>
      <c r="F896" s="50"/>
      <c r="G896" s="50"/>
      <c r="H896" s="50"/>
      <c r="I896" s="50"/>
      <c r="J896" s="50"/>
      <c r="K896" s="50"/>
      <c r="L896" s="50"/>
      <c r="M896" s="50"/>
      <c r="N896" s="50"/>
    </row>
    <row r="897" spans="1:18" s="43" customFormat="1" x14ac:dyDescent="0.25">
      <c r="A897" s="92" t="s">
        <v>581</v>
      </c>
      <c r="B897" s="96" t="s">
        <v>323</v>
      </c>
      <c r="C897" s="50"/>
      <c r="D897" s="50"/>
      <c r="E897" s="50"/>
      <c r="F897" s="50"/>
      <c r="G897" s="50"/>
      <c r="H897" s="50"/>
      <c r="I897" s="50"/>
      <c r="J897" s="50"/>
      <c r="K897" s="50"/>
      <c r="L897" s="50"/>
      <c r="M897" s="89">
        <v>45000</v>
      </c>
      <c r="N897" s="50"/>
    </row>
    <row r="898" spans="1:18" x14ac:dyDescent="0.25">
      <c r="A898" s="91" t="s">
        <v>582</v>
      </c>
      <c r="B898" s="84" t="s">
        <v>317</v>
      </c>
      <c r="C898" s="50"/>
      <c r="D898" s="50"/>
      <c r="E898" s="85">
        <v>33563</v>
      </c>
      <c r="F898" s="50">
        <v>27453</v>
      </c>
      <c r="G898" s="50">
        <v>15694</v>
      </c>
      <c r="H898" s="50"/>
      <c r="I898" s="50"/>
      <c r="J898" s="50"/>
      <c r="K898" s="50"/>
      <c r="L898" s="50"/>
      <c r="M898" s="50"/>
      <c r="N898" s="50"/>
      <c r="O898" s="50">
        <v>0</v>
      </c>
      <c r="P898" s="50">
        <v>0</v>
      </c>
      <c r="Q898" s="50">
        <v>0</v>
      </c>
      <c r="R898" s="50">
        <v>0</v>
      </c>
    </row>
    <row r="899" spans="1:18" x14ac:dyDescent="0.25">
      <c r="A899" s="91" t="s">
        <v>583</v>
      </c>
      <c r="B899" s="84" t="s">
        <v>317</v>
      </c>
      <c r="C899" s="50"/>
      <c r="D899" s="50"/>
      <c r="E899" s="50"/>
      <c r="F899" s="50">
        <v>24375</v>
      </c>
      <c r="G899" s="50"/>
      <c r="H899" s="50"/>
      <c r="I899" s="50"/>
      <c r="J899" s="50"/>
      <c r="K899" s="50"/>
      <c r="L899" s="50"/>
      <c r="M899" s="50"/>
      <c r="N899" s="50"/>
      <c r="O899" s="50"/>
      <c r="P899" s="50"/>
      <c r="Q899" s="50"/>
      <c r="R899" s="50"/>
    </row>
    <row r="900" spans="1:18" x14ac:dyDescent="0.25">
      <c r="A900" s="91" t="s">
        <v>584</v>
      </c>
      <c r="B900" s="84" t="s">
        <v>317</v>
      </c>
      <c r="C900" s="50"/>
      <c r="D900" s="50"/>
      <c r="E900" s="85">
        <v>23403</v>
      </c>
      <c r="F900" s="50"/>
      <c r="G900" s="50"/>
      <c r="H900" s="50"/>
      <c r="I900" s="50"/>
      <c r="J900" s="50"/>
      <c r="K900" s="50"/>
      <c r="L900" s="50"/>
      <c r="M900" s="50"/>
      <c r="N900" s="50"/>
      <c r="O900" s="50"/>
      <c r="P900" s="50"/>
      <c r="Q900" s="50"/>
      <c r="R900" s="50"/>
    </row>
    <row r="901" spans="1:18" x14ac:dyDescent="0.25">
      <c r="A901" s="146" t="s">
        <v>460</v>
      </c>
      <c r="B901" s="129" t="s">
        <v>245</v>
      </c>
      <c r="C901" s="50"/>
      <c r="D901" s="50"/>
      <c r="E901" s="63">
        <v>61733</v>
      </c>
      <c r="F901" s="50"/>
      <c r="G901" s="63">
        <v>0</v>
      </c>
      <c r="H901" s="63">
        <v>30000</v>
      </c>
      <c r="I901" s="50"/>
      <c r="J901" s="50"/>
      <c r="K901" s="50"/>
      <c r="L901" s="50"/>
      <c r="M901" s="50"/>
      <c r="N901" s="50"/>
    </row>
    <row r="902" spans="1:18" s="43" customFormat="1" x14ac:dyDescent="0.25">
      <c r="A902" s="52" t="s">
        <v>585</v>
      </c>
      <c r="B902" s="53"/>
      <c r="C902" s="50"/>
      <c r="D902" s="50">
        <v>5924</v>
      </c>
      <c r="E902" s="50">
        <v>7227</v>
      </c>
      <c r="F902" s="50"/>
      <c r="G902" s="50"/>
      <c r="H902" s="50"/>
      <c r="I902" s="50"/>
      <c r="J902" s="50"/>
      <c r="K902" s="50"/>
      <c r="L902" s="50"/>
      <c r="M902" s="50"/>
      <c r="N902" s="50"/>
    </row>
    <row r="903" spans="1:18" s="43" customFormat="1" x14ac:dyDescent="0.25">
      <c r="A903" s="92" t="s">
        <v>586</v>
      </c>
      <c r="B903" s="96" t="s">
        <v>323</v>
      </c>
      <c r="C903" s="50"/>
      <c r="D903" s="50"/>
      <c r="E903" s="50"/>
      <c r="F903" s="50"/>
      <c r="G903" s="50"/>
      <c r="H903" s="50"/>
      <c r="I903" s="50"/>
      <c r="J903" s="89">
        <v>25000</v>
      </c>
      <c r="K903" s="50"/>
      <c r="L903" s="50"/>
      <c r="M903" s="50"/>
      <c r="N903" s="50"/>
    </row>
    <row r="904" spans="1:18" x14ac:dyDescent="0.25">
      <c r="A904" s="146" t="s">
        <v>587</v>
      </c>
      <c r="B904" s="129" t="s">
        <v>245</v>
      </c>
      <c r="C904" s="50"/>
      <c r="D904" s="50"/>
      <c r="E904" s="50"/>
      <c r="F904" s="63"/>
      <c r="G904" s="63">
        <v>2680</v>
      </c>
      <c r="H904" s="50"/>
      <c r="I904" s="50"/>
      <c r="J904" s="50"/>
      <c r="K904" s="50"/>
      <c r="L904" s="50"/>
      <c r="M904" s="50"/>
      <c r="N904" s="50"/>
    </row>
    <row r="905" spans="1:18" s="43" customFormat="1" x14ac:dyDescent="0.25">
      <c r="A905" s="52" t="s">
        <v>588</v>
      </c>
      <c r="B905" s="53"/>
      <c r="C905" s="50"/>
      <c r="D905" s="157">
        <v>61020</v>
      </c>
      <c r="E905" s="50"/>
      <c r="F905" s="50"/>
      <c r="G905" s="50"/>
      <c r="H905" s="50"/>
      <c r="I905" s="50"/>
      <c r="J905" s="50"/>
      <c r="K905" s="50"/>
      <c r="L905" s="50"/>
      <c r="M905" s="50"/>
      <c r="N905" s="50"/>
    </row>
    <row r="906" spans="1:18" x14ac:dyDescent="0.25">
      <c r="A906" s="158" t="s">
        <v>589</v>
      </c>
      <c r="B906" s="159" t="s">
        <v>590</v>
      </c>
      <c r="C906" s="50">
        <v>24200</v>
      </c>
      <c r="D906" s="160"/>
      <c r="E906" s="160">
        <v>21120</v>
      </c>
      <c r="F906" s="50"/>
      <c r="G906" s="50"/>
      <c r="H906" s="160">
        <v>45256</v>
      </c>
      <c r="I906" s="50"/>
      <c r="J906" s="50"/>
      <c r="K906" s="160">
        <v>24439</v>
      </c>
      <c r="L906" s="50"/>
      <c r="M906" s="161">
        <v>25726</v>
      </c>
      <c r="N906" s="162">
        <v>52431</v>
      </c>
      <c r="O906" s="162">
        <v>52431</v>
      </c>
      <c r="P906" s="162">
        <v>52431</v>
      </c>
      <c r="Q906" s="162">
        <v>52431</v>
      </c>
      <c r="R906" s="162">
        <v>52431</v>
      </c>
    </row>
    <row r="907" spans="1:18" x14ac:dyDescent="0.25">
      <c r="A907" s="158" t="s">
        <v>591</v>
      </c>
      <c r="B907" s="159" t="s">
        <v>590</v>
      </c>
      <c r="C907" s="50"/>
      <c r="D907" s="160"/>
      <c r="E907" s="160"/>
      <c r="F907" s="50">
        <v>28128</v>
      </c>
      <c r="G907" s="50"/>
      <c r="H907" s="50"/>
      <c r="I907" s="50"/>
      <c r="J907" s="50"/>
      <c r="K907" s="160"/>
      <c r="L907" s="50"/>
      <c r="M907" s="161"/>
      <c r="N907" s="162"/>
      <c r="O907" s="162"/>
      <c r="P907" s="162"/>
      <c r="Q907" s="162"/>
      <c r="R907" s="162"/>
    </row>
    <row r="908" spans="1:18" s="43" customFormat="1" x14ac:dyDescent="0.25">
      <c r="A908" s="52" t="s">
        <v>591</v>
      </c>
      <c r="B908" s="53"/>
      <c r="C908" s="50"/>
      <c r="D908" s="50"/>
      <c r="E908" s="50"/>
      <c r="F908" s="50"/>
      <c r="G908" s="50"/>
      <c r="H908" s="50"/>
      <c r="I908" s="50"/>
      <c r="J908" s="50"/>
      <c r="K908" s="50"/>
      <c r="L908" s="50"/>
      <c r="M908" s="50"/>
    </row>
    <row r="909" spans="1:18" x14ac:dyDescent="0.25">
      <c r="A909" s="158" t="s">
        <v>592</v>
      </c>
      <c r="B909" s="159"/>
      <c r="C909" s="50"/>
      <c r="D909" s="160"/>
      <c r="E909" s="160"/>
      <c r="F909" s="50"/>
      <c r="G909" s="50"/>
      <c r="H909" s="50"/>
      <c r="I909" s="50"/>
      <c r="J909" s="50"/>
      <c r="K909" s="160"/>
      <c r="L909" s="50"/>
      <c r="M909" s="161"/>
      <c r="N909" s="162"/>
      <c r="O909" s="162"/>
      <c r="P909" s="162"/>
      <c r="Q909" s="162"/>
      <c r="R909" s="162"/>
    </row>
    <row r="910" spans="1:18" x14ac:dyDescent="0.25">
      <c r="A910" s="158" t="s">
        <v>593</v>
      </c>
      <c r="B910" s="159" t="s">
        <v>590</v>
      </c>
      <c r="C910" s="50"/>
      <c r="D910" s="160"/>
      <c r="E910" s="160">
        <v>4400</v>
      </c>
      <c r="F910" s="160">
        <v>0</v>
      </c>
      <c r="G910" s="160">
        <v>0</v>
      </c>
      <c r="H910" s="160">
        <v>2263</v>
      </c>
      <c r="I910" s="160">
        <v>2317</v>
      </c>
      <c r="J910" s="160">
        <v>4764</v>
      </c>
      <c r="K910" s="160">
        <v>2444</v>
      </c>
      <c r="L910" s="160">
        <v>2507</v>
      </c>
      <c r="M910" s="161">
        <v>5118</v>
      </c>
      <c r="N910" s="162">
        <v>2627</v>
      </c>
      <c r="O910" s="162">
        <v>2627</v>
      </c>
      <c r="P910" s="162">
        <v>2627</v>
      </c>
      <c r="Q910" s="162">
        <v>2627</v>
      </c>
      <c r="R910" s="162">
        <v>2627</v>
      </c>
    </row>
    <row r="911" spans="1:18" s="43" customFormat="1" x14ac:dyDescent="0.25">
      <c r="A911" s="158" t="s">
        <v>594</v>
      </c>
      <c r="B911" s="159" t="s">
        <v>590</v>
      </c>
      <c r="C911" s="50"/>
      <c r="D911" s="50"/>
      <c r="E911" s="160">
        <v>2200</v>
      </c>
      <c r="F911" s="50"/>
      <c r="G911" s="50"/>
      <c r="H911" s="50"/>
      <c r="I911" s="50"/>
      <c r="J911" s="50"/>
      <c r="K911" s="50"/>
      <c r="L911" s="50"/>
      <c r="M911" s="50"/>
      <c r="N911" s="50"/>
    </row>
    <row r="912" spans="1:18" s="43" customFormat="1" x14ac:dyDescent="0.25">
      <c r="A912" s="158" t="s">
        <v>595</v>
      </c>
      <c r="B912" s="159"/>
      <c r="C912" s="50"/>
      <c r="D912" s="50"/>
      <c r="E912" s="160"/>
      <c r="F912" s="50"/>
      <c r="G912" s="50"/>
      <c r="H912" s="50"/>
      <c r="I912" s="50"/>
      <c r="J912" s="50"/>
      <c r="K912" s="50"/>
      <c r="L912" s="50"/>
      <c r="M912" s="50"/>
      <c r="N912" s="50"/>
    </row>
    <row r="913" spans="1:18" s="43" customFormat="1" x14ac:dyDescent="0.25">
      <c r="A913" s="158" t="s">
        <v>596</v>
      </c>
      <c r="B913" s="159" t="s">
        <v>590</v>
      </c>
      <c r="C913" s="50"/>
      <c r="D913" s="50"/>
      <c r="E913" s="160">
        <v>0</v>
      </c>
      <c r="F913" s="50"/>
      <c r="G913" s="50"/>
      <c r="H913" s="50"/>
      <c r="I913" s="50"/>
      <c r="J913" s="50"/>
      <c r="K913" s="50"/>
      <c r="L913" s="50"/>
      <c r="M913" s="50"/>
      <c r="N913" s="50"/>
    </row>
    <row r="914" spans="1:18" s="43" customFormat="1" x14ac:dyDescent="0.25">
      <c r="A914" s="92" t="s">
        <v>597</v>
      </c>
      <c r="B914" s="96" t="s">
        <v>330</v>
      </c>
      <c r="C914" s="50"/>
      <c r="D914" s="50"/>
      <c r="E914" s="50"/>
      <c r="F914" s="50"/>
      <c r="G914" s="50"/>
      <c r="H914" s="50"/>
      <c r="I914" s="50"/>
      <c r="J914" s="50"/>
      <c r="K914" s="50"/>
      <c r="L914" s="50"/>
      <c r="M914" s="50"/>
      <c r="N914" s="50"/>
    </row>
    <row r="915" spans="1:18" s="43" customFormat="1" x14ac:dyDescent="0.25">
      <c r="A915" s="153" t="s">
        <v>598</v>
      </c>
      <c r="B915" s="96" t="s">
        <v>323</v>
      </c>
      <c r="C915" s="50"/>
      <c r="D915" s="50"/>
      <c r="E915" s="50"/>
      <c r="F915" s="50"/>
      <c r="G915" s="50"/>
      <c r="H915" s="50"/>
      <c r="I915" s="50"/>
      <c r="J915" s="89">
        <v>150000</v>
      </c>
      <c r="K915" s="89">
        <v>50000</v>
      </c>
      <c r="L915" s="50"/>
      <c r="M915" s="50"/>
      <c r="N915" s="50"/>
    </row>
    <row r="916" spans="1:18" s="43" customFormat="1" x14ac:dyDescent="0.25">
      <c r="A916" s="153" t="s">
        <v>599</v>
      </c>
      <c r="B916" s="96" t="s">
        <v>323</v>
      </c>
      <c r="C916" s="50"/>
      <c r="D916" s="50"/>
      <c r="E916" s="50"/>
      <c r="F916" s="50"/>
      <c r="G916" s="50"/>
      <c r="H916" s="50"/>
      <c r="I916" s="50"/>
      <c r="J916" s="89">
        <v>100000</v>
      </c>
      <c r="K916" s="50"/>
      <c r="L916" s="50"/>
      <c r="M916" s="50"/>
      <c r="N916" s="50"/>
    </row>
    <row r="917" spans="1:18" s="43" customFormat="1" x14ac:dyDescent="0.25">
      <c r="A917" s="153" t="s">
        <v>600</v>
      </c>
      <c r="B917" s="96" t="s">
        <v>323</v>
      </c>
      <c r="C917" s="50"/>
      <c r="D917" s="50"/>
      <c r="E917" s="50"/>
      <c r="F917" s="50"/>
      <c r="G917" s="50"/>
      <c r="H917" s="50"/>
      <c r="I917" s="50"/>
      <c r="J917" s="50"/>
      <c r="K917" s="50"/>
      <c r="L917" s="89">
        <v>25000</v>
      </c>
      <c r="M917" s="50"/>
      <c r="N917" s="50"/>
    </row>
    <row r="918" spans="1:18" s="43" customFormat="1" x14ac:dyDescent="0.25">
      <c r="A918" s="153" t="s">
        <v>601</v>
      </c>
      <c r="B918" s="96" t="s">
        <v>323</v>
      </c>
      <c r="C918" s="50"/>
      <c r="D918" s="50"/>
      <c r="E918" s="50"/>
      <c r="F918" s="50"/>
      <c r="G918" s="50"/>
      <c r="H918" s="50"/>
      <c r="I918" s="50"/>
      <c r="J918" s="50"/>
      <c r="K918" s="89">
        <v>60000</v>
      </c>
      <c r="L918" s="50"/>
      <c r="M918" s="50"/>
      <c r="N918" s="50"/>
      <c r="O918" s="89">
        <v>40000</v>
      </c>
      <c r="P918" s="149">
        <v>20000</v>
      </c>
      <c r="Q918" s="149">
        <v>20000</v>
      </c>
      <c r="R918" s="149"/>
    </row>
    <row r="919" spans="1:18" s="43" customFormat="1" x14ac:dyDescent="0.25">
      <c r="A919" s="52" t="s">
        <v>602</v>
      </c>
      <c r="B919" s="53"/>
      <c r="C919" s="59"/>
      <c r="D919" s="50"/>
      <c r="E919" s="50"/>
      <c r="F919" s="50"/>
      <c r="G919" s="50"/>
      <c r="H919" s="50"/>
      <c r="I919" s="50"/>
      <c r="J919" s="50"/>
      <c r="K919" s="50"/>
      <c r="L919" s="50"/>
      <c r="M919" s="50"/>
      <c r="N919" s="50"/>
    </row>
    <row r="920" spans="1:18" s="43" customFormat="1" x14ac:dyDescent="0.25">
      <c r="A920" s="61" t="s">
        <v>589</v>
      </c>
      <c r="B920" s="53"/>
      <c r="C920" s="59"/>
      <c r="D920" s="50"/>
      <c r="E920" s="50"/>
      <c r="F920" s="50"/>
      <c r="G920" s="50"/>
      <c r="H920" s="63">
        <v>100000</v>
      </c>
      <c r="I920" s="50"/>
      <c r="J920" s="50"/>
      <c r="K920" s="50"/>
      <c r="L920" s="50"/>
      <c r="M920" s="50"/>
      <c r="N920" s="50"/>
    </row>
    <row r="921" spans="1:18" x14ac:dyDescent="0.25">
      <c r="A921" s="52" t="s">
        <v>603</v>
      </c>
      <c r="B921" s="53"/>
      <c r="C921" s="50"/>
      <c r="D921" s="50"/>
      <c r="E921" s="50"/>
      <c r="F921" s="50"/>
      <c r="G921" s="50"/>
      <c r="H921" s="50"/>
      <c r="I921" s="50"/>
      <c r="J921" s="50"/>
      <c r="K921" s="50"/>
      <c r="L921" s="50"/>
      <c r="M921" s="50"/>
      <c r="N921" s="50"/>
    </row>
    <row r="922" spans="1:18" x14ac:dyDescent="0.25">
      <c r="A922" s="52" t="s">
        <v>604</v>
      </c>
      <c r="B922" s="53"/>
      <c r="C922" s="50"/>
      <c r="D922" s="50">
        <v>0</v>
      </c>
      <c r="E922" s="50">
        <v>0</v>
      </c>
      <c r="F922" s="50">
        <v>0</v>
      </c>
      <c r="G922" s="50">
        <v>0</v>
      </c>
      <c r="H922" s="50">
        <v>0</v>
      </c>
      <c r="I922" s="50">
        <v>0</v>
      </c>
      <c r="J922" s="50">
        <v>0</v>
      </c>
      <c r="K922" s="50">
        <v>0</v>
      </c>
      <c r="L922" s="50">
        <v>0</v>
      </c>
      <c r="M922" s="50">
        <v>0</v>
      </c>
      <c r="N922" s="50">
        <v>0</v>
      </c>
      <c r="O922" s="50">
        <v>0</v>
      </c>
      <c r="P922" s="50">
        <v>0</v>
      </c>
      <c r="Q922" s="50">
        <v>0</v>
      </c>
      <c r="R922" s="50">
        <v>0</v>
      </c>
    </row>
    <row r="923" spans="1:18" x14ac:dyDescent="0.25">
      <c r="A923" s="91" t="s">
        <v>605</v>
      </c>
      <c r="B923" s="84" t="s">
        <v>317</v>
      </c>
      <c r="C923" s="50"/>
      <c r="D923" s="50"/>
      <c r="E923" s="85">
        <v>410</v>
      </c>
      <c r="F923" s="50"/>
      <c r="G923" s="50"/>
      <c r="H923" s="50"/>
      <c r="I923" s="50"/>
      <c r="J923" s="50"/>
      <c r="K923" s="50"/>
      <c r="L923" s="50"/>
      <c r="M923" s="50"/>
      <c r="N923" s="50"/>
    </row>
    <row r="924" spans="1:18" x14ac:dyDescent="0.25">
      <c r="A924" s="52" t="s">
        <v>606</v>
      </c>
      <c r="B924" s="53"/>
      <c r="C924" s="50"/>
      <c r="D924" s="50"/>
      <c r="E924" s="50"/>
      <c r="F924" s="50"/>
      <c r="G924" s="50"/>
      <c r="H924" s="50"/>
      <c r="I924" s="50"/>
      <c r="J924" s="50"/>
      <c r="K924" s="50"/>
      <c r="L924" s="50"/>
      <c r="M924" s="50"/>
      <c r="N924" s="50"/>
    </row>
    <row r="925" spans="1:18" x14ac:dyDescent="0.25">
      <c r="A925" s="52" t="s">
        <v>607</v>
      </c>
      <c r="B925" s="53"/>
      <c r="C925" s="50"/>
      <c r="D925" s="50">
        <v>0</v>
      </c>
      <c r="E925" s="50">
        <v>0</v>
      </c>
      <c r="F925" s="50">
        <v>0</v>
      </c>
      <c r="G925" s="50">
        <v>0</v>
      </c>
      <c r="H925" s="50">
        <v>0</v>
      </c>
      <c r="I925" s="50">
        <v>0</v>
      </c>
      <c r="J925" s="50">
        <v>0</v>
      </c>
      <c r="K925" s="50">
        <v>0</v>
      </c>
      <c r="L925" s="50">
        <v>0</v>
      </c>
      <c r="M925" s="50">
        <v>0</v>
      </c>
      <c r="N925" s="50">
        <v>0</v>
      </c>
      <c r="O925" s="50">
        <v>0</v>
      </c>
      <c r="P925" s="50">
        <v>0</v>
      </c>
      <c r="Q925" s="50">
        <v>0</v>
      </c>
      <c r="R925" s="50">
        <v>0</v>
      </c>
    </row>
    <row r="926" spans="1:18" x14ac:dyDescent="0.25">
      <c r="A926" s="150" t="s">
        <v>608</v>
      </c>
      <c r="B926" s="136" t="s">
        <v>317</v>
      </c>
      <c r="C926" s="50">
        <v>19175</v>
      </c>
      <c r="D926" s="50">
        <v>0</v>
      </c>
      <c r="E926" s="50">
        <v>0</v>
      </c>
      <c r="F926" s="50">
        <v>0</v>
      </c>
      <c r="G926" s="50">
        <v>0</v>
      </c>
      <c r="H926" s="50">
        <v>0</v>
      </c>
      <c r="I926" s="50">
        <v>0</v>
      </c>
      <c r="J926" s="50">
        <v>0</v>
      </c>
      <c r="K926" s="50">
        <v>0</v>
      </c>
      <c r="L926" s="50">
        <v>0</v>
      </c>
      <c r="M926" s="50">
        <v>0</v>
      </c>
      <c r="N926" s="50"/>
    </row>
    <row r="927" spans="1:18" s="43" customFormat="1" x14ac:dyDescent="0.25">
      <c r="A927" s="97" t="s">
        <v>609</v>
      </c>
      <c r="B927" s="96" t="s">
        <v>330</v>
      </c>
      <c r="C927" s="50"/>
      <c r="D927" s="50"/>
      <c r="E927" s="50"/>
      <c r="F927" s="50"/>
      <c r="G927" s="50"/>
      <c r="H927" s="50"/>
      <c r="I927" s="50"/>
      <c r="J927" s="50"/>
      <c r="K927" s="50"/>
      <c r="L927" s="50"/>
      <c r="M927" s="50"/>
      <c r="N927" s="50"/>
    </row>
    <row r="928" spans="1:18" s="43" customFormat="1" x14ac:dyDescent="0.25">
      <c r="A928" s="87" t="s">
        <v>610</v>
      </c>
      <c r="B928" s="96" t="s">
        <v>323</v>
      </c>
      <c r="C928" s="50"/>
      <c r="D928" s="50"/>
      <c r="E928" s="50"/>
      <c r="F928" s="50"/>
      <c r="G928" s="50"/>
      <c r="H928" s="50"/>
      <c r="I928" s="95">
        <v>15000</v>
      </c>
      <c r="J928" s="50"/>
      <c r="K928" s="50"/>
      <c r="L928" s="50"/>
      <c r="M928" s="50"/>
      <c r="N928" s="50"/>
      <c r="O928" s="50"/>
      <c r="P928" s="149">
        <v>15000</v>
      </c>
    </row>
    <row r="929" spans="1:18" s="43" customFormat="1" x14ac:dyDescent="0.25">
      <c r="A929" s="87" t="s">
        <v>611</v>
      </c>
      <c r="B929" s="96" t="s">
        <v>323</v>
      </c>
      <c r="C929" s="50"/>
      <c r="D929" s="50"/>
      <c r="E929" s="50"/>
      <c r="F929" s="50"/>
      <c r="G929" s="50"/>
      <c r="H929" s="50"/>
      <c r="I929" s="50"/>
      <c r="J929" s="89">
        <v>35000</v>
      </c>
      <c r="K929" s="50"/>
      <c r="L929" s="50"/>
      <c r="M929" s="50"/>
      <c r="N929" s="89">
        <v>25000</v>
      </c>
    </row>
    <row r="930" spans="1:18" s="43" customFormat="1" x14ac:dyDescent="0.25">
      <c r="A930" s="153" t="s">
        <v>612</v>
      </c>
      <c r="B930" s="96" t="s">
        <v>323</v>
      </c>
      <c r="C930" s="50"/>
      <c r="D930" s="50"/>
      <c r="E930" s="50"/>
      <c r="F930" s="50"/>
      <c r="G930" s="50"/>
      <c r="H930" s="50"/>
      <c r="I930" s="50"/>
      <c r="J930" s="50"/>
      <c r="K930" s="50"/>
      <c r="L930" s="50"/>
      <c r="M930" s="50"/>
      <c r="N930" s="89">
        <v>200000</v>
      </c>
    </row>
    <row r="931" spans="1:18" x14ac:dyDescent="0.25">
      <c r="A931" s="41" t="s">
        <v>613</v>
      </c>
      <c r="B931" s="44"/>
      <c r="C931" s="50"/>
      <c r="D931" s="50"/>
      <c r="E931" s="50"/>
      <c r="F931" s="50"/>
      <c r="G931" s="50"/>
      <c r="H931" s="50"/>
      <c r="I931" s="50"/>
      <c r="J931" s="50"/>
      <c r="K931" s="50"/>
      <c r="L931" s="50"/>
      <c r="M931" s="50"/>
      <c r="N931" s="50"/>
    </row>
    <row r="932" spans="1:18" x14ac:dyDescent="0.25">
      <c r="A932" s="91" t="s">
        <v>614</v>
      </c>
      <c r="B932" s="163" t="s">
        <v>317</v>
      </c>
      <c r="C932" s="50"/>
      <c r="D932" s="50">
        <v>0</v>
      </c>
      <c r="E932" s="50">
        <v>0</v>
      </c>
      <c r="F932" s="50">
        <v>0</v>
      </c>
      <c r="G932" s="50">
        <v>0</v>
      </c>
      <c r="H932" s="50">
        <v>0</v>
      </c>
      <c r="I932" s="50">
        <v>0</v>
      </c>
      <c r="J932" s="50">
        <v>0</v>
      </c>
      <c r="K932" s="50">
        <v>0</v>
      </c>
      <c r="L932" s="50">
        <v>0</v>
      </c>
      <c r="M932" s="50">
        <v>0</v>
      </c>
      <c r="N932" s="50">
        <v>0</v>
      </c>
    </row>
    <row r="933" spans="1:18" x14ac:dyDescent="0.25">
      <c r="A933" s="91" t="s">
        <v>400</v>
      </c>
      <c r="B933" s="163" t="s">
        <v>317</v>
      </c>
      <c r="C933" s="50">
        <v>4670</v>
      </c>
      <c r="D933" s="50">
        <v>0</v>
      </c>
      <c r="E933" s="50">
        <v>0</v>
      </c>
      <c r="F933" s="50">
        <v>0</v>
      </c>
      <c r="G933" s="50">
        <v>0</v>
      </c>
      <c r="H933" s="50">
        <v>0</v>
      </c>
      <c r="I933" s="50">
        <v>0</v>
      </c>
      <c r="J933" s="50">
        <v>0</v>
      </c>
      <c r="K933" s="50">
        <v>0</v>
      </c>
      <c r="L933" s="50">
        <v>0</v>
      </c>
      <c r="M933" s="50">
        <v>0</v>
      </c>
      <c r="N933" s="50"/>
    </row>
    <row r="934" spans="1:18" x14ac:dyDescent="0.25">
      <c r="A934" s="91" t="s">
        <v>615</v>
      </c>
      <c r="B934" s="163" t="s">
        <v>317</v>
      </c>
      <c r="C934" s="50"/>
      <c r="D934" s="50"/>
      <c r="E934" s="50"/>
      <c r="F934" s="50">
        <v>21820</v>
      </c>
      <c r="G934" s="50"/>
      <c r="H934" s="50"/>
      <c r="I934" s="50"/>
      <c r="J934" s="50"/>
      <c r="K934" s="50"/>
      <c r="L934" s="50"/>
      <c r="M934" s="50"/>
      <c r="N934" s="50"/>
    </row>
    <row r="935" spans="1:18" s="43" customFormat="1" x14ac:dyDescent="0.25">
      <c r="A935" s="93" t="s">
        <v>616</v>
      </c>
      <c r="B935" s="96" t="s">
        <v>330</v>
      </c>
      <c r="C935" s="50"/>
      <c r="D935" s="50"/>
      <c r="E935" s="50"/>
      <c r="F935" s="50"/>
      <c r="G935" s="50"/>
      <c r="H935" s="50"/>
      <c r="I935" s="50"/>
      <c r="J935" s="50"/>
      <c r="K935" s="50"/>
      <c r="L935" s="50"/>
      <c r="M935" s="50"/>
      <c r="N935" s="50"/>
      <c r="R935" s="89">
        <v>100000</v>
      </c>
    </row>
    <row r="936" spans="1:18" s="43" customFormat="1" x14ac:dyDescent="0.25">
      <c r="A936" s="92" t="s">
        <v>617</v>
      </c>
      <c r="B936" s="96" t="s">
        <v>330</v>
      </c>
      <c r="C936" s="59"/>
      <c r="D936" s="50"/>
      <c r="E936" s="50"/>
      <c r="F936" s="50"/>
      <c r="G936" s="50"/>
      <c r="H936" s="50"/>
      <c r="I936" s="50"/>
      <c r="J936" s="50"/>
      <c r="K936" s="50"/>
      <c r="L936" s="50"/>
      <c r="M936" s="50"/>
      <c r="N936" s="50"/>
      <c r="O936" s="50"/>
      <c r="P936" s="50"/>
      <c r="Q936" s="50"/>
      <c r="R936" s="50"/>
    </row>
    <row r="937" spans="1:18" s="43" customFormat="1" x14ac:dyDescent="0.25">
      <c r="A937" s="87" t="s">
        <v>322</v>
      </c>
      <c r="B937" s="96" t="s">
        <v>323</v>
      </c>
      <c r="C937" s="59"/>
      <c r="D937" s="50"/>
      <c r="E937" s="50"/>
      <c r="F937" s="50"/>
      <c r="G937" s="50"/>
      <c r="H937" s="50"/>
      <c r="I937" s="50"/>
      <c r="J937" s="50"/>
      <c r="K937" s="50"/>
      <c r="L937" s="50"/>
      <c r="M937" s="50"/>
      <c r="N937" s="50"/>
      <c r="O937" s="89">
        <v>20000</v>
      </c>
      <c r="P937" s="50"/>
      <c r="Q937" s="50"/>
      <c r="R937" s="50"/>
    </row>
    <row r="938" spans="1:18" s="43" customFormat="1" x14ac:dyDescent="0.25">
      <c r="A938" s="87" t="s">
        <v>618</v>
      </c>
      <c r="B938" s="96" t="s">
        <v>323</v>
      </c>
      <c r="C938" s="59"/>
      <c r="D938" s="50"/>
      <c r="E938" s="50"/>
      <c r="F938" s="50"/>
      <c r="G938" s="50"/>
      <c r="H938" s="50"/>
      <c r="I938" s="50"/>
      <c r="J938" s="50"/>
      <c r="K938" s="50"/>
      <c r="L938" s="50"/>
      <c r="M938" s="50"/>
      <c r="N938" s="50"/>
      <c r="O938" s="50"/>
      <c r="P938" s="50"/>
      <c r="Q938" s="50"/>
      <c r="R938" s="50"/>
    </row>
    <row r="939" spans="1:18" s="43" customFormat="1" x14ac:dyDescent="0.25">
      <c r="A939" s="87" t="s">
        <v>324</v>
      </c>
      <c r="B939" s="96" t="s">
        <v>323</v>
      </c>
      <c r="C939" s="59"/>
      <c r="D939" s="50"/>
      <c r="E939" s="50"/>
      <c r="F939" s="50"/>
      <c r="G939" s="50"/>
      <c r="H939" s="50"/>
      <c r="I939" s="50"/>
      <c r="J939" s="50"/>
      <c r="K939" s="50"/>
      <c r="L939" s="89">
        <v>25000</v>
      </c>
      <c r="M939" s="50"/>
      <c r="N939" s="50"/>
      <c r="O939" s="50"/>
      <c r="P939" s="89">
        <v>25000</v>
      </c>
      <c r="Q939" s="50"/>
      <c r="R939" s="50"/>
    </row>
    <row r="940" spans="1:18" s="43" customFormat="1" x14ac:dyDescent="0.25">
      <c r="A940" s="91" t="s">
        <v>619</v>
      </c>
      <c r="B940" s="163" t="s">
        <v>317</v>
      </c>
      <c r="C940" s="59"/>
      <c r="D940" s="50"/>
      <c r="E940" s="50"/>
      <c r="F940" s="50"/>
      <c r="G940" s="50"/>
      <c r="H940" s="50"/>
      <c r="I940" s="50"/>
      <c r="J940" s="50"/>
      <c r="K940" s="50"/>
      <c r="L940" s="50"/>
      <c r="M940" s="50"/>
      <c r="N940" s="50">
        <v>0</v>
      </c>
    </row>
    <row r="941" spans="1:18" x14ac:dyDescent="0.25">
      <c r="A941" s="43" t="s">
        <v>620</v>
      </c>
      <c r="C941" s="50"/>
      <c r="D941" s="50"/>
      <c r="E941" s="50"/>
      <c r="F941" s="50"/>
      <c r="G941" s="50"/>
      <c r="H941" s="50"/>
      <c r="I941" s="50"/>
      <c r="J941" s="50"/>
      <c r="K941" s="50"/>
      <c r="L941" s="50"/>
      <c r="M941" s="50"/>
      <c r="N941" s="50"/>
    </row>
    <row r="942" spans="1:18" x14ac:dyDescent="0.25">
      <c r="A942" s="43" t="s">
        <v>621</v>
      </c>
      <c r="C942" s="50"/>
      <c r="D942" s="50">
        <v>0</v>
      </c>
      <c r="E942" s="50">
        <v>0</v>
      </c>
      <c r="F942" s="50">
        <v>0</v>
      </c>
      <c r="G942" s="50">
        <v>0</v>
      </c>
      <c r="H942" s="50">
        <v>0</v>
      </c>
      <c r="I942" s="50">
        <v>0</v>
      </c>
      <c r="J942" s="50">
        <v>0</v>
      </c>
      <c r="K942" s="50">
        <v>0</v>
      </c>
      <c r="L942" s="50">
        <v>0</v>
      </c>
      <c r="M942" s="50">
        <v>0</v>
      </c>
      <c r="N942" s="50">
        <v>0</v>
      </c>
      <c r="O942" s="50"/>
      <c r="P942" s="50"/>
      <c r="Q942" s="50"/>
      <c r="R942" s="50"/>
    </row>
    <row r="943" spans="1:18" x14ac:dyDescent="0.25">
      <c r="A943" s="64" t="s">
        <v>622</v>
      </c>
      <c r="B943" s="164" t="s">
        <v>245</v>
      </c>
      <c r="C943" s="50">
        <v>59932</v>
      </c>
      <c r="D943" s="50"/>
      <c r="E943" s="50"/>
      <c r="F943" s="63"/>
      <c r="G943" s="50"/>
      <c r="H943" s="50"/>
      <c r="I943" s="50"/>
      <c r="J943" s="50"/>
      <c r="K943" s="50"/>
      <c r="L943" s="50"/>
      <c r="M943" s="50"/>
      <c r="N943" s="50"/>
    </row>
    <row r="944" spans="1:18" x14ac:dyDescent="0.25">
      <c r="A944" s="128" t="s">
        <v>623</v>
      </c>
      <c r="B944" s="165" t="s">
        <v>245</v>
      </c>
      <c r="C944" s="50"/>
      <c r="D944" s="50"/>
      <c r="E944" s="50"/>
      <c r="F944" s="50"/>
      <c r="G944" s="63">
        <v>0</v>
      </c>
      <c r="H944" s="166"/>
      <c r="I944" s="166"/>
      <c r="J944" s="50"/>
      <c r="K944" s="50"/>
      <c r="L944" s="50"/>
      <c r="M944" s="50"/>
      <c r="N944" s="50"/>
    </row>
    <row r="945" spans="1:18" x14ac:dyDescent="0.25">
      <c r="A945" s="43" t="s">
        <v>624</v>
      </c>
      <c r="C945" s="50"/>
      <c r="D945" s="50">
        <v>0</v>
      </c>
      <c r="E945" s="50">
        <v>0</v>
      </c>
      <c r="F945" s="50">
        <v>0</v>
      </c>
      <c r="G945" s="50">
        <v>0</v>
      </c>
      <c r="H945" s="50">
        <v>0</v>
      </c>
      <c r="I945" s="50">
        <v>0</v>
      </c>
      <c r="J945" s="50">
        <v>0</v>
      </c>
      <c r="K945" s="50">
        <v>0</v>
      </c>
      <c r="L945" s="50">
        <v>0</v>
      </c>
      <c r="M945" s="50">
        <v>0</v>
      </c>
      <c r="N945" s="50">
        <v>0</v>
      </c>
    </row>
    <row r="946" spans="1:18" x14ac:dyDescent="0.25">
      <c r="A946" s="43" t="s">
        <v>625</v>
      </c>
      <c r="B946" s="165" t="s">
        <v>626</v>
      </c>
      <c r="C946" s="50">
        <v>97973</v>
      </c>
      <c r="D946" s="63">
        <v>322630</v>
      </c>
      <c r="E946" s="63">
        <v>140445</v>
      </c>
      <c r="F946" s="50">
        <v>0</v>
      </c>
      <c r="G946" s="50">
        <v>0</v>
      </c>
      <c r="H946" s="50">
        <v>0</v>
      </c>
      <c r="I946" s="50">
        <v>0</v>
      </c>
      <c r="J946" s="50">
        <v>0</v>
      </c>
      <c r="K946" s="50">
        <v>0</v>
      </c>
      <c r="L946" s="50">
        <v>0</v>
      </c>
      <c r="M946" s="50">
        <v>0</v>
      </c>
      <c r="N946" s="50">
        <v>0</v>
      </c>
    </row>
    <row r="947" spans="1:18" x14ac:dyDescent="0.25">
      <c r="A947" s="52" t="s">
        <v>627</v>
      </c>
      <c r="C947" s="68">
        <v>17700</v>
      </c>
      <c r="D947" s="50"/>
      <c r="E947" s="50"/>
      <c r="F947" s="50"/>
      <c r="G947" s="50"/>
      <c r="H947" s="50"/>
      <c r="I947" s="50"/>
      <c r="J947" s="50"/>
      <c r="K947" s="50"/>
      <c r="L947" s="50"/>
      <c r="M947" s="50"/>
      <c r="N947" s="50"/>
    </row>
    <row r="948" spans="1:18" x14ac:dyDescent="0.25">
      <c r="A948" s="91" t="s">
        <v>628</v>
      </c>
      <c r="B948" s="163" t="s">
        <v>317</v>
      </c>
      <c r="C948" s="68"/>
      <c r="D948" s="50"/>
      <c r="E948" s="50"/>
      <c r="F948" s="43">
        <v>13520</v>
      </c>
      <c r="G948" s="50"/>
      <c r="H948" s="50"/>
      <c r="I948" s="50"/>
      <c r="J948" s="50"/>
      <c r="K948" s="50"/>
      <c r="L948" s="50"/>
      <c r="M948" s="50"/>
      <c r="N948" s="50"/>
    </row>
    <row r="949" spans="1:18" x14ac:dyDescent="0.25">
      <c r="A949" s="61" t="s">
        <v>629</v>
      </c>
      <c r="C949" s="68"/>
      <c r="D949" s="63">
        <v>4577</v>
      </c>
      <c r="E949" s="63">
        <v>18889</v>
      </c>
      <c r="F949" s="43">
        <v>134465</v>
      </c>
      <c r="G949" s="50"/>
      <c r="H949" s="50"/>
      <c r="I949" s="50"/>
      <c r="J949" s="50"/>
      <c r="K949" s="50"/>
      <c r="L949" s="50"/>
      <c r="M949" s="50"/>
      <c r="N949" s="50"/>
    </row>
    <row r="950" spans="1:18" x14ac:dyDescent="0.25">
      <c r="A950" s="41" t="s">
        <v>630</v>
      </c>
      <c r="B950" s="44"/>
      <c r="C950" s="50"/>
      <c r="D950" s="50"/>
      <c r="E950" s="50"/>
      <c r="F950" s="50"/>
      <c r="G950" s="50"/>
      <c r="H950" s="50"/>
      <c r="I950" s="50"/>
      <c r="J950" s="50"/>
      <c r="K950" s="50"/>
      <c r="L950" s="50"/>
      <c r="M950" s="50"/>
      <c r="N950" s="50"/>
    </row>
    <row r="951" spans="1:18" x14ac:dyDescent="0.25">
      <c r="A951" s="83" t="s">
        <v>631</v>
      </c>
      <c r="B951" s="163" t="s">
        <v>317</v>
      </c>
      <c r="C951" s="50"/>
      <c r="D951" s="85"/>
      <c r="E951" s="85">
        <v>0</v>
      </c>
      <c r="F951" s="50">
        <v>0</v>
      </c>
      <c r="G951" s="50">
        <v>0</v>
      </c>
      <c r="H951" s="50">
        <v>0</v>
      </c>
      <c r="I951" s="50">
        <v>0</v>
      </c>
      <c r="J951" s="50">
        <v>0</v>
      </c>
      <c r="K951" s="50">
        <v>0</v>
      </c>
      <c r="L951" s="89">
        <v>180000</v>
      </c>
      <c r="M951" s="50">
        <v>0</v>
      </c>
      <c r="N951" s="50">
        <v>0</v>
      </c>
      <c r="O951" s="50">
        <v>0</v>
      </c>
      <c r="P951" s="50">
        <v>0</v>
      </c>
      <c r="Q951" s="50">
        <v>0</v>
      </c>
      <c r="R951" s="50">
        <v>0</v>
      </c>
    </row>
    <row r="952" spans="1:18" x14ac:dyDescent="0.25">
      <c r="A952" s="43" t="s">
        <v>456</v>
      </c>
      <c r="C952" s="59"/>
      <c r="D952" s="50">
        <v>0</v>
      </c>
      <c r="E952" s="50">
        <v>0</v>
      </c>
      <c r="F952" s="50">
        <v>0</v>
      </c>
      <c r="G952" s="50">
        <v>0</v>
      </c>
      <c r="H952" s="50">
        <v>0</v>
      </c>
      <c r="I952" s="50">
        <v>0</v>
      </c>
      <c r="J952" s="50">
        <v>0</v>
      </c>
      <c r="K952" s="50">
        <v>0</v>
      </c>
      <c r="L952" s="50">
        <v>0</v>
      </c>
      <c r="M952" s="50">
        <v>0</v>
      </c>
      <c r="N952" s="50">
        <v>0</v>
      </c>
    </row>
    <row r="953" spans="1:18" x14ac:dyDescent="0.25">
      <c r="A953" s="52" t="s">
        <v>632</v>
      </c>
      <c r="C953" s="59"/>
      <c r="D953" s="50"/>
      <c r="E953" s="50"/>
      <c r="F953" s="50"/>
      <c r="G953" s="50"/>
      <c r="H953" s="50"/>
      <c r="I953" s="50"/>
      <c r="J953" s="50"/>
      <c r="K953" s="50"/>
      <c r="L953" s="50"/>
      <c r="M953" s="50"/>
      <c r="N953" s="50"/>
    </row>
    <row r="954" spans="1:18" x14ac:dyDescent="0.25">
      <c r="A954" s="91" t="s">
        <v>633</v>
      </c>
      <c r="B954" s="163" t="s">
        <v>317</v>
      </c>
      <c r="C954" s="50"/>
      <c r="D954" s="50"/>
      <c r="E954" s="50"/>
      <c r="F954" s="50"/>
      <c r="G954" s="50"/>
      <c r="H954" s="50"/>
      <c r="I954" s="50"/>
      <c r="J954" s="50"/>
      <c r="K954" s="50"/>
      <c r="L954" s="50"/>
      <c r="M954" s="50"/>
      <c r="N954" s="50"/>
    </row>
    <row r="955" spans="1:18" x14ac:dyDescent="0.25">
      <c r="A955" s="91" t="s">
        <v>634</v>
      </c>
      <c r="B955" s="163" t="s">
        <v>317</v>
      </c>
      <c r="C955" s="50"/>
      <c r="D955" s="85">
        <v>70395</v>
      </c>
      <c r="E955" s="50"/>
      <c r="F955" s="50"/>
      <c r="G955" s="50"/>
      <c r="H955" s="50"/>
      <c r="I955" s="50"/>
      <c r="J955" s="50"/>
      <c r="K955" s="50"/>
      <c r="L955" s="50"/>
      <c r="M955" s="50"/>
      <c r="N955" s="50"/>
    </row>
    <row r="956" spans="1:18" x14ac:dyDescent="0.25">
      <c r="A956" s="97" t="s">
        <v>635</v>
      </c>
      <c r="B956" s="96" t="s">
        <v>330</v>
      </c>
      <c r="C956" s="50"/>
      <c r="D956" s="50"/>
      <c r="E956" s="50"/>
      <c r="F956" s="50"/>
      <c r="G956" s="50"/>
      <c r="H956" s="50"/>
      <c r="I956" s="50"/>
      <c r="J956" s="50"/>
      <c r="K956" s="50"/>
      <c r="L956" s="50"/>
      <c r="M956" s="50"/>
      <c r="N956" s="50"/>
      <c r="O956" s="50"/>
      <c r="P956" s="50"/>
      <c r="Q956" s="50"/>
      <c r="R956" s="50"/>
    </row>
    <row r="957" spans="1:18" s="43" customFormat="1" x14ac:dyDescent="0.25">
      <c r="A957" s="167" t="s">
        <v>100</v>
      </c>
      <c r="B957" s="129" t="s">
        <v>245</v>
      </c>
      <c r="C957" s="50"/>
      <c r="D957" s="50"/>
      <c r="E957" s="50"/>
      <c r="F957" s="50"/>
      <c r="G957" s="50"/>
      <c r="H957" s="50"/>
      <c r="I957" s="50">
        <f t="shared" ref="I957:R957" si="521">I706/2</f>
        <v>168794.99999999997</v>
      </c>
      <c r="J957" s="50">
        <f t="shared" si="521"/>
        <v>172846.07999999999</v>
      </c>
      <c r="K957" s="50">
        <f t="shared" si="521"/>
        <v>176994.38592</v>
      </c>
      <c r="L957" s="50">
        <f t="shared" si="521"/>
        <v>181065.25679615999</v>
      </c>
      <c r="M957" s="50">
        <f t="shared" si="521"/>
        <v>185048.69244567552</v>
      </c>
      <c r="N957" s="50">
        <f t="shared" si="521"/>
        <v>189304.81237192603</v>
      </c>
      <c r="O957" s="50">
        <f t="shared" si="521"/>
        <v>194037.43268122416</v>
      </c>
      <c r="P957" s="50">
        <f t="shared" si="521"/>
        <v>198888.36849825474</v>
      </c>
      <c r="Q957" s="50">
        <f t="shared" si="521"/>
        <v>203661.68934221286</v>
      </c>
      <c r="R957" s="50">
        <f t="shared" si="521"/>
        <v>208549.56988642598</v>
      </c>
    </row>
    <row r="958" spans="1:18" s="43" customFormat="1" x14ac:dyDescent="0.25">
      <c r="A958" s="168" t="s">
        <v>636</v>
      </c>
      <c r="B958" s="62" t="s">
        <v>245</v>
      </c>
      <c r="C958" s="50"/>
      <c r="D958" s="50"/>
      <c r="E958" s="50"/>
      <c r="F958" s="50"/>
      <c r="G958" s="50"/>
      <c r="H958" s="50"/>
      <c r="I958" s="50">
        <f t="shared" ref="I958:R958" si="522">I706/2</f>
        <v>168794.99999999997</v>
      </c>
      <c r="J958" s="50">
        <f t="shared" si="522"/>
        <v>172846.07999999999</v>
      </c>
      <c r="K958" s="50">
        <f t="shared" si="522"/>
        <v>176994.38592</v>
      </c>
      <c r="L958" s="50">
        <f t="shared" si="522"/>
        <v>181065.25679615999</v>
      </c>
      <c r="M958" s="50">
        <f t="shared" si="522"/>
        <v>185048.69244567552</v>
      </c>
      <c r="N958" s="50">
        <f t="shared" si="522"/>
        <v>189304.81237192603</v>
      </c>
      <c r="O958" s="50">
        <f t="shared" si="522"/>
        <v>194037.43268122416</v>
      </c>
      <c r="P958" s="50">
        <f t="shared" si="522"/>
        <v>198888.36849825474</v>
      </c>
      <c r="Q958" s="50">
        <f t="shared" si="522"/>
        <v>203661.68934221286</v>
      </c>
      <c r="R958" s="50">
        <f t="shared" si="522"/>
        <v>208549.56988642598</v>
      </c>
    </row>
    <row r="959" spans="1:18" s="43" customFormat="1" x14ac:dyDescent="0.25">
      <c r="A959" s="141"/>
      <c r="B959" s="53"/>
      <c r="C959" s="50"/>
      <c r="D959" s="50"/>
      <c r="E959" s="50"/>
      <c r="F959" s="50"/>
      <c r="G959" s="50"/>
      <c r="H959" s="50"/>
      <c r="I959" s="50"/>
      <c r="J959" s="50"/>
      <c r="K959" s="50"/>
      <c r="L959" s="50"/>
      <c r="M959" s="50"/>
      <c r="N959" s="50"/>
      <c r="O959" s="50"/>
      <c r="P959" s="50"/>
      <c r="Q959" s="50"/>
      <c r="R959" s="50"/>
    </row>
    <row r="960" spans="1:18" x14ac:dyDescent="0.25">
      <c r="A960" s="41" t="s">
        <v>107</v>
      </c>
      <c r="B960" s="44"/>
      <c r="C960" s="51">
        <f>SUM(C801:C959)</f>
        <v>491208</v>
      </c>
      <c r="D960" s="51">
        <f>SUM(D801:D959)</f>
        <v>846481</v>
      </c>
      <c r="E960" s="51">
        <f>SUM(E801:E959)</f>
        <v>350530</v>
      </c>
      <c r="F960" s="51">
        <f>SUM(F801:F959)</f>
        <v>676141.5</v>
      </c>
      <c r="G960" s="51">
        <f t="shared" ref="G960:R960" si="523">SUM(G801:G959)</f>
        <v>179176</v>
      </c>
      <c r="H960" s="51">
        <f t="shared" si="523"/>
        <v>194490</v>
      </c>
      <c r="I960" s="51">
        <f t="shared" si="523"/>
        <v>504907</v>
      </c>
      <c r="J960" s="51">
        <f t="shared" si="523"/>
        <v>796411.15999999992</v>
      </c>
      <c r="K960" s="51">
        <f t="shared" si="523"/>
        <v>515871.77184000006</v>
      </c>
      <c r="L960" s="51">
        <f t="shared" si="523"/>
        <v>627174.51359232003</v>
      </c>
      <c r="M960" s="51">
        <f t="shared" si="523"/>
        <v>595941.38489135099</v>
      </c>
      <c r="N960" s="51">
        <f t="shared" si="523"/>
        <v>773667.62474385207</v>
      </c>
      <c r="O960" s="51">
        <f t="shared" si="523"/>
        <v>693132.86536244838</v>
      </c>
      <c r="P960" s="51">
        <f t="shared" si="523"/>
        <v>622834.73699650948</v>
      </c>
      <c r="Q960" s="51">
        <f t="shared" si="523"/>
        <v>797381.37868442573</v>
      </c>
      <c r="R960" s="51">
        <f t="shared" si="523"/>
        <v>652157.13977285195</v>
      </c>
    </row>
    <row r="961" spans="1:18" x14ac:dyDescent="0.25">
      <c r="C961" s="50"/>
      <c r="D961" s="50"/>
      <c r="E961" s="50"/>
      <c r="F961" s="50"/>
      <c r="G961" s="50"/>
      <c r="H961" s="50"/>
      <c r="I961" s="50"/>
      <c r="J961" s="50"/>
      <c r="K961" s="50"/>
      <c r="L961" s="50"/>
      <c r="M961" s="50"/>
      <c r="N961" s="50"/>
      <c r="O961" s="50"/>
      <c r="P961" s="50"/>
      <c r="Q961" s="50"/>
      <c r="R961" s="50"/>
    </row>
    <row r="962" spans="1:18" x14ac:dyDescent="0.25">
      <c r="A962" s="41" t="s">
        <v>637</v>
      </c>
      <c r="B962" s="44"/>
      <c r="C962" s="51">
        <f>C960+C772-C717-C796</f>
        <v>868011</v>
      </c>
      <c r="D962" s="51">
        <f>D960+D772-D717-D796</f>
        <v>819867</v>
      </c>
      <c r="E962" s="51">
        <f>E960+E772-E717-E796</f>
        <v>702018</v>
      </c>
      <c r="F962" s="51">
        <f>F960+F772-F717-F796</f>
        <v>896789.32000000007</v>
      </c>
      <c r="G962" s="51">
        <f t="shared" ref="G962:R962" si="524">G960+G772-G717-G796</f>
        <v>469827</v>
      </c>
      <c r="H962" s="51">
        <f t="shared" si="524"/>
        <v>776987.69576680008</v>
      </c>
      <c r="I962" s="51">
        <f t="shared" si="524"/>
        <v>1214185.9430784164</v>
      </c>
      <c r="J962" s="51">
        <f t="shared" si="524"/>
        <v>1474574.3680754195</v>
      </c>
      <c r="K962" s="51">
        <f t="shared" si="524"/>
        <v>1213748.58331426</v>
      </c>
      <c r="L962" s="51">
        <f t="shared" si="524"/>
        <v>1346243.7366149505</v>
      </c>
      <c r="M962" s="51">
        <f t="shared" si="524"/>
        <v>1336420.6752100601</v>
      </c>
      <c r="N962" s="51">
        <f t="shared" si="524"/>
        <v>1535046.6107298711</v>
      </c>
      <c r="O962" s="51">
        <f t="shared" si="524"/>
        <v>1477427.516018796</v>
      </c>
      <c r="P962" s="51">
        <f t="shared" si="524"/>
        <v>1432302.9877904321</v>
      </c>
      <c r="Q962" s="51">
        <f t="shared" si="524"/>
        <v>1632248.27722474</v>
      </c>
      <c r="R962" s="51">
        <f t="shared" si="524"/>
        <v>1505371.5163976206</v>
      </c>
    </row>
    <row r="963" spans="1:18" x14ac:dyDescent="0.25">
      <c r="C963" s="50"/>
      <c r="D963" s="50"/>
      <c r="E963" s="50"/>
      <c r="F963" s="50"/>
      <c r="G963" s="50"/>
      <c r="H963" s="50"/>
      <c r="I963" s="50"/>
      <c r="J963" s="50"/>
      <c r="K963" s="50"/>
      <c r="L963" s="50"/>
      <c r="M963" s="50"/>
      <c r="N963" s="50"/>
      <c r="O963" s="50"/>
      <c r="P963" s="50"/>
      <c r="Q963" s="50"/>
      <c r="R963" s="50"/>
    </row>
    <row r="964" spans="1:18" x14ac:dyDescent="0.25">
      <c r="A964" s="41" t="s">
        <v>638</v>
      </c>
      <c r="B964" s="44"/>
      <c r="C964" s="50"/>
      <c r="D964" s="50"/>
      <c r="E964" s="50"/>
      <c r="F964" s="50"/>
      <c r="G964" s="50"/>
      <c r="H964" s="50"/>
      <c r="I964" s="50"/>
      <c r="J964" s="50"/>
      <c r="K964" s="50"/>
      <c r="L964" s="50"/>
      <c r="M964" s="50"/>
      <c r="N964" s="50"/>
      <c r="O964" s="50"/>
      <c r="P964" s="50"/>
      <c r="Q964" s="50"/>
      <c r="R964" s="50"/>
    </row>
    <row r="965" spans="1:18" x14ac:dyDescent="0.25">
      <c r="A965" s="41"/>
      <c r="B965" s="44"/>
      <c r="C965" s="50"/>
      <c r="D965" s="50"/>
      <c r="E965" s="50"/>
      <c r="F965" s="50"/>
      <c r="G965" s="50"/>
      <c r="H965" s="50"/>
      <c r="I965" s="50"/>
      <c r="J965" s="50"/>
      <c r="K965" s="50"/>
      <c r="L965" s="50"/>
      <c r="M965" s="50"/>
      <c r="N965" s="50"/>
      <c r="O965" s="50"/>
      <c r="P965" s="50"/>
      <c r="Q965" s="50"/>
      <c r="R965" s="50"/>
    </row>
    <row r="966" spans="1:18" x14ac:dyDescent="0.25">
      <c r="A966" s="41" t="s">
        <v>202</v>
      </c>
      <c r="B966" s="44"/>
      <c r="C966" s="50"/>
      <c r="D966" s="50"/>
      <c r="E966" s="50"/>
      <c r="F966" s="50"/>
      <c r="G966" s="50"/>
      <c r="H966" s="50"/>
      <c r="I966" s="50"/>
      <c r="J966" s="50"/>
      <c r="K966" s="50"/>
      <c r="L966" s="50"/>
      <c r="M966" s="50"/>
      <c r="N966" s="50"/>
      <c r="O966" s="50"/>
      <c r="P966" s="50"/>
      <c r="Q966" s="50"/>
      <c r="R966" s="50"/>
    </row>
    <row r="967" spans="1:18" x14ac:dyDescent="0.25">
      <c r="C967" s="50"/>
      <c r="D967" s="50"/>
      <c r="E967" s="50"/>
      <c r="F967" s="50"/>
      <c r="G967" s="50"/>
      <c r="H967" s="50"/>
      <c r="I967" s="50"/>
      <c r="J967" s="50"/>
      <c r="K967" s="50"/>
      <c r="L967" s="50"/>
      <c r="M967" s="50"/>
      <c r="N967" s="50"/>
      <c r="O967" s="50"/>
      <c r="P967" s="50"/>
      <c r="Q967" s="50"/>
      <c r="R967" s="50"/>
    </row>
    <row r="968" spans="1:18" x14ac:dyDescent="0.25">
      <c r="A968" s="43" t="s">
        <v>639</v>
      </c>
      <c r="C968" s="50"/>
      <c r="D968" s="50"/>
      <c r="E968" s="50"/>
      <c r="F968" s="50"/>
      <c r="G968" s="50"/>
      <c r="H968" s="50"/>
      <c r="I968" s="50"/>
      <c r="J968" s="50"/>
      <c r="K968" s="50"/>
      <c r="L968" s="50"/>
      <c r="M968" s="50"/>
      <c r="N968" s="50"/>
      <c r="O968" s="50"/>
      <c r="P968" s="50"/>
      <c r="Q968" s="50"/>
      <c r="R968" s="50"/>
    </row>
    <row r="969" spans="1:18" x14ac:dyDescent="0.25">
      <c r="A969" s="43" t="s">
        <v>640</v>
      </c>
      <c r="C969" s="54">
        <v>51737</v>
      </c>
      <c r="D969" s="54">
        <v>47758</v>
      </c>
      <c r="E969" s="50">
        <v>35251</v>
      </c>
      <c r="F969" s="54">
        <v>0</v>
      </c>
      <c r="G969" s="54">
        <v>0</v>
      </c>
      <c r="H969" s="54">
        <v>0</v>
      </c>
      <c r="I969" s="54">
        <v>0</v>
      </c>
      <c r="J969" s="54">
        <v>0</v>
      </c>
      <c r="K969" s="54">
        <v>0</v>
      </c>
      <c r="L969" s="54">
        <v>0</v>
      </c>
      <c r="M969" s="54">
        <v>0</v>
      </c>
      <c r="N969" s="54">
        <v>0</v>
      </c>
      <c r="O969" s="54">
        <v>0</v>
      </c>
      <c r="P969" s="54">
        <v>0</v>
      </c>
      <c r="Q969" s="54">
        <v>0</v>
      </c>
      <c r="R969" s="54">
        <v>0</v>
      </c>
    </row>
    <row r="970" spans="1:18" x14ac:dyDescent="0.25">
      <c r="A970" s="43" t="s">
        <v>641</v>
      </c>
      <c r="C970" s="54">
        <v>15294</v>
      </c>
      <c r="D970" s="54">
        <v>14303</v>
      </c>
      <c r="E970" s="43">
        <v>11805</v>
      </c>
      <c r="F970" s="54">
        <v>17516</v>
      </c>
      <c r="G970" s="54">
        <v>16655</v>
      </c>
      <c r="H970" s="54">
        <v>16000</v>
      </c>
      <c r="I970" s="54">
        <f>H970*1.023</f>
        <v>16367.999999999998</v>
      </c>
      <c r="J970" s="54">
        <f t="shared" ref="J970:K975" si="525">I970*1.024</f>
        <v>16760.831999999999</v>
      </c>
      <c r="K970" s="54">
        <f t="shared" si="525"/>
        <v>17163.091968000001</v>
      </c>
      <c r="L970" s="54">
        <f t="shared" ref="L970:L975" si="526">K970*1.023</f>
        <v>17557.843083264001</v>
      </c>
      <c r="M970" s="54">
        <f t="shared" ref="M970:M975" si="527">L970*1.022</f>
        <v>17944.11563109581</v>
      </c>
      <c r="N970" s="54">
        <f t="shared" ref="N970:N975" si="528">M970*1.023</f>
        <v>18356.830290611011</v>
      </c>
      <c r="O970" s="54">
        <f t="shared" ref="O970:P975" si="529">N970*1.025</f>
        <v>18815.751047876285</v>
      </c>
      <c r="P970" s="54">
        <f t="shared" si="529"/>
        <v>19286.144824073192</v>
      </c>
      <c r="Q970" s="54">
        <f t="shared" ref="Q970:R975" si="530">P970*1.024</f>
        <v>19749.012299850947</v>
      </c>
      <c r="R970" s="54">
        <f t="shared" si="530"/>
        <v>20222.988595047369</v>
      </c>
    </row>
    <row r="971" spans="1:18" x14ac:dyDescent="0.25">
      <c r="A971" s="43" t="s">
        <v>642</v>
      </c>
      <c r="C971" s="54">
        <v>19504</v>
      </c>
      <c r="D971" s="54">
        <v>20367</v>
      </c>
      <c r="E971" s="43">
        <v>22584</v>
      </c>
      <c r="F971" s="54">
        <v>23900</v>
      </c>
      <c r="G971" s="54">
        <v>24231</v>
      </c>
      <c r="H971" s="54">
        <v>24700</v>
      </c>
      <c r="I971" s="54">
        <f>H971*1.023</f>
        <v>25268.1</v>
      </c>
      <c r="J971" s="54">
        <f t="shared" si="525"/>
        <v>25874.5344</v>
      </c>
      <c r="K971" s="54">
        <f t="shared" si="525"/>
        <v>26495.523225600002</v>
      </c>
      <c r="L971" s="54">
        <f t="shared" si="526"/>
        <v>27104.9202597888</v>
      </c>
      <c r="M971" s="54">
        <f t="shared" si="527"/>
        <v>27701.228505504154</v>
      </c>
      <c r="N971" s="54">
        <f t="shared" si="528"/>
        <v>28338.356761130748</v>
      </c>
      <c r="O971" s="54">
        <f t="shared" si="529"/>
        <v>29046.815680159016</v>
      </c>
      <c r="P971" s="54">
        <f t="shared" si="529"/>
        <v>29772.986072162988</v>
      </c>
      <c r="Q971" s="54">
        <f t="shared" si="530"/>
        <v>30487.537737894902</v>
      </c>
      <c r="R971" s="54">
        <f t="shared" si="530"/>
        <v>31219.238643604378</v>
      </c>
    </row>
    <row r="972" spans="1:18" x14ac:dyDescent="0.25">
      <c r="A972" s="52" t="s">
        <v>643</v>
      </c>
      <c r="B972" s="53"/>
      <c r="C972" s="54">
        <v>6992</v>
      </c>
      <c r="D972" s="54">
        <v>12476</v>
      </c>
      <c r="E972" s="43">
        <v>10092</v>
      </c>
      <c r="F972" s="54">
        <v>18507</v>
      </c>
      <c r="G972" s="50">
        <v>26804</v>
      </c>
      <c r="H972" s="50">
        <v>32000</v>
      </c>
      <c r="I972" s="54">
        <f t="shared" ref="I972:I975" si="531">H972*1.023</f>
        <v>32735.999999999996</v>
      </c>
      <c r="J972" s="54">
        <f t="shared" si="525"/>
        <v>33521.663999999997</v>
      </c>
      <c r="K972" s="54">
        <f t="shared" si="525"/>
        <v>34326.183936000001</v>
      </c>
      <c r="L972" s="54">
        <f t="shared" si="526"/>
        <v>35115.686166528001</v>
      </c>
      <c r="M972" s="54">
        <f t="shared" si="527"/>
        <v>35888.231262191621</v>
      </c>
      <c r="N972" s="54">
        <f t="shared" si="528"/>
        <v>36713.660581222022</v>
      </c>
      <c r="O972" s="54">
        <f t="shared" si="529"/>
        <v>37631.50209575257</v>
      </c>
      <c r="P972" s="54">
        <f t="shared" si="529"/>
        <v>38572.289648146383</v>
      </c>
      <c r="Q972" s="54">
        <f t="shared" si="530"/>
        <v>39498.024599701894</v>
      </c>
      <c r="R972" s="54">
        <f t="shared" si="530"/>
        <v>40445.977190094738</v>
      </c>
    </row>
    <row r="973" spans="1:18" x14ac:dyDescent="0.25">
      <c r="A973" s="150" t="s">
        <v>644</v>
      </c>
      <c r="B973" s="127" t="s">
        <v>468</v>
      </c>
      <c r="C973" s="54">
        <v>42292</v>
      </c>
      <c r="D973" s="54">
        <v>34349</v>
      </c>
      <c r="E973" s="43">
        <v>36067</v>
      </c>
      <c r="F973" s="54">
        <v>37870</v>
      </c>
      <c r="G973" s="54">
        <v>39764</v>
      </c>
      <c r="H973" s="54">
        <v>37200</v>
      </c>
      <c r="I973" s="54">
        <f t="shared" si="531"/>
        <v>38055.599999999999</v>
      </c>
      <c r="J973" s="54">
        <f t="shared" si="525"/>
        <v>38968.934399999998</v>
      </c>
      <c r="K973" s="54">
        <f t="shared" si="525"/>
        <v>39904.188825600002</v>
      </c>
      <c r="L973" s="54">
        <f t="shared" si="526"/>
        <v>40821.985168588799</v>
      </c>
      <c r="M973" s="54">
        <f t="shared" si="527"/>
        <v>41720.068842297755</v>
      </c>
      <c r="N973" s="54">
        <f t="shared" si="528"/>
        <v>42679.630425670599</v>
      </c>
      <c r="O973" s="54">
        <f t="shared" si="529"/>
        <v>43746.621186312361</v>
      </c>
      <c r="P973" s="54">
        <f t="shared" si="529"/>
        <v>44840.286715970164</v>
      </c>
      <c r="Q973" s="54">
        <f t="shared" si="530"/>
        <v>45916.45359715345</v>
      </c>
      <c r="R973" s="54">
        <f t="shared" si="530"/>
        <v>47018.448483485132</v>
      </c>
    </row>
    <row r="974" spans="1:18" x14ac:dyDescent="0.25">
      <c r="A974" s="52" t="s">
        <v>645</v>
      </c>
      <c r="B974" s="53"/>
      <c r="C974" s="54">
        <v>37319</v>
      </c>
      <c r="D974" s="54">
        <v>32008</v>
      </c>
      <c r="E974" s="43">
        <v>30328</v>
      </c>
      <c r="F974" s="54">
        <v>36720</v>
      </c>
      <c r="G974" s="54">
        <v>35730</v>
      </c>
      <c r="H974" s="54">
        <v>35200</v>
      </c>
      <c r="I974" s="54">
        <f t="shared" si="531"/>
        <v>36009.599999999999</v>
      </c>
      <c r="J974" s="54">
        <f t="shared" si="525"/>
        <v>36873.830399999999</v>
      </c>
      <c r="K974" s="54">
        <f t="shared" si="525"/>
        <v>37758.802329600003</v>
      </c>
      <c r="L974" s="54">
        <f t="shared" si="526"/>
        <v>38627.254783180797</v>
      </c>
      <c r="M974" s="54">
        <f t="shared" si="527"/>
        <v>39477.054388410776</v>
      </c>
      <c r="N974" s="54">
        <f t="shared" si="528"/>
        <v>40385.026639344222</v>
      </c>
      <c r="O974" s="54">
        <f t="shared" si="529"/>
        <v>41394.652305327822</v>
      </c>
      <c r="P974" s="54">
        <f t="shared" si="529"/>
        <v>42429.518612961016</v>
      </c>
      <c r="Q974" s="54">
        <f t="shared" si="530"/>
        <v>43447.827059672083</v>
      </c>
      <c r="R974" s="54">
        <f t="shared" si="530"/>
        <v>44490.574909104216</v>
      </c>
    </row>
    <row r="975" spans="1:18" x14ac:dyDescent="0.25">
      <c r="A975" s="52" t="s">
        <v>646</v>
      </c>
      <c r="B975" s="53"/>
      <c r="C975" s="54"/>
      <c r="D975" s="54"/>
      <c r="F975" s="54"/>
      <c r="G975" s="54"/>
      <c r="H975" s="54">
        <v>208000</v>
      </c>
      <c r="I975" s="54">
        <f t="shared" si="531"/>
        <v>212783.99999999997</v>
      </c>
      <c r="J975" s="54">
        <f t="shared" si="525"/>
        <v>217890.81599999996</v>
      </c>
      <c r="K975" s="54">
        <f t="shared" si="525"/>
        <v>223120.19558399997</v>
      </c>
      <c r="L975" s="54">
        <f t="shared" si="526"/>
        <v>228251.96008243196</v>
      </c>
      <c r="M975" s="54">
        <f t="shared" si="527"/>
        <v>233273.50320424547</v>
      </c>
      <c r="N975" s="54">
        <f t="shared" si="528"/>
        <v>238638.79377794309</v>
      </c>
      <c r="O975" s="54">
        <f t="shared" si="529"/>
        <v>244604.76362239165</v>
      </c>
      <c r="P975" s="54">
        <f t="shared" si="529"/>
        <v>250719.88271295142</v>
      </c>
      <c r="Q975" s="54">
        <f t="shared" si="530"/>
        <v>256737.15989806227</v>
      </c>
      <c r="R975" s="54">
        <f t="shared" si="530"/>
        <v>262898.85173561575</v>
      </c>
    </row>
    <row r="976" spans="1:18" x14ac:dyDescent="0.25">
      <c r="C976" s="50"/>
      <c r="D976" s="50"/>
      <c r="E976" s="50"/>
      <c r="F976" s="50"/>
      <c r="G976" s="50"/>
      <c r="H976" s="50"/>
      <c r="I976" s="50"/>
      <c r="J976" s="50"/>
      <c r="K976" s="50"/>
      <c r="L976" s="50"/>
      <c r="M976" s="50"/>
      <c r="N976" s="50"/>
      <c r="O976" s="50"/>
      <c r="P976" s="50"/>
      <c r="Q976" s="50"/>
      <c r="R976" s="50"/>
    </row>
    <row r="977" spans="1:18" x14ac:dyDescent="0.25">
      <c r="A977" s="41" t="s">
        <v>216</v>
      </c>
      <c r="B977" s="44"/>
      <c r="C977" s="51">
        <f t="shared" ref="C977" si="532">SUM(C968:C976)</f>
        <v>173138</v>
      </c>
      <c r="D977" s="51">
        <f t="shared" ref="D977:R977" si="533">SUM(D968:D976)</f>
        <v>161261</v>
      </c>
      <c r="E977" s="51">
        <f t="shared" si="533"/>
        <v>146127</v>
      </c>
      <c r="F977" s="51">
        <f t="shared" si="533"/>
        <v>134513</v>
      </c>
      <c r="G977" s="51">
        <f t="shared" si="533"/>
        <v>143184</v>
      </c>
      <c r="H977" s="51">
        <f t="shared" si="533"/>
        <v>353100</v>
      </c>
      <c r="I977" s="51">
        <f t="shared" si="533"/>
        <v>361221.29999999993</v>
      </c>
      <c r="J977" s="51">
        <f t="shared" si="533"/>
        <v>369890.61119999993</v>
      </c>
      <c r="K977" s="51">
        <f t="shared" si="533"/>
        <v>378767.98586879997</v>
      </c>
      <c r="L977" s="51">
        <f t="shared" si="533"/>
        <v>387479.64954378235</v>
      </c>
      <c r="M977" s="51">
        <f t="shared" si="533"/>
        <v>396004.20183374558</v>
      </c>
      <c r="N977" s="51">
        <f t="shared" si="533"/>
        <v>405112.29847592174</v>
      </c>
      <c r="O977" s="51">
        <f t="shared" si="533"/>
        <v>415240.1059378197</v>
      </c>
      <c r="P977" s="51">
        <f t="shared" si="533"/>
        <v>425621.10858626518</v>
      </c>
      <c r="Q977" s="51">
        <f t="shared" si="533"/>
        <v>435836.01519233559</v>
      </c>
      <c r="R977" s="51">
        <f t="shared" si="533"/>
        <v>446296.07955695159</v>
      </c>
    </row>
    <row r="978" spans="1:18" x14ac:dyDescent="0.25">
      <c r="C978" s="50"/>
      <c r="D978" s="50"/>
      <c r="E978" s="50"/>
      <c r="F978" s="50"/>
      <c r="G978" s="50"/>
      <c r="H978" s="50"/>
      <c r="I978" s="50"/>
      <c r="J978" s="50"/>
      <c r="K978" s="50"/>
      <c r="L978" s="50"/>
      <c r="M978" s="50"/>
      <c r="N978" s="50"/>
      <c r="O978" s="50"/>
      <c r="P978" s="50"/>
      <c r="Q978" s="50"/>
      <c r="R978" s="50"/>
    </row>
    <row r="979" spans="1:18" x14ac:dyDescent="0.25">
      <c r="A979" s="41" t="s">
        <v>165</v>
      </c>
      <c r="B979" s="44"/>
      <c r="C979" s="50"/>
      <c r="D979" s="50"/>
      <c r="E979" s="50"/>
      <c r="F979" s="50"/>
      <c r="G979" s="50"/>
      <c r="H979" s="50"/>
      <c r="I979" s="50"/>
      <c r="J979" s="50"/>
      <c r="K979" s="50"/>
      <c r="L979" s="50"/>
      <c r="M979" s="50"/>
      <c r="N979" s="50"/>
      <c r="O979" s="50"/>
      <c r="P979" s="50"/>
      <c r="Q979" s="50"/>
      <c r="R979" s="50"/>
    </row>
    <row r="980" spans="1:18" x14ac:dyDescent="0.25">
      <c r="C980" s="50"/>
      <c r="D980" s="50"/>
      <c r="E980" s="50"/>
      <c r="F980" s="50"/>
      <c r="G980" s="50"/>
      <c r="H980" s="50"/>
      <c r="I980" s="50"/>
      <c r="J980" s="50"/>
      <c r="K980" s="50"/>
      <c r="L980" s="50"/>
      <c r="M980" s="50"/>
      <c r="N980" s="50"/>
      <c r="O980" s="50"/>
      <c r="P980" s="50"/>
      <c r="Q980" s="50"/>
      <c r="R980" s="50"/>
    </row>
    <row r="981" spans="1:18" x14ac:dyDescent="0.25">
      <c r="A981" s="43" t="s">
        <v>217</v>
      </c>
      <c r="C981" s="50">
        <v>60335</v>
      </c>
      <c r="D981">
        <v>57659</v>
      </c>
      <c r="E981" s="43">
        <v>48664</v>
      </c>
      <c r="F981" s="43">
        <v>65003</v>
      </c>
      <c r="G981" s="43">
        <v>58001</v>
      </c>
      <c r="H981" s="43">
        <v>73900</v>
      </c>
      <c r="I981" s="50">
        <f>H981*1.025</f>
        <v>75747.5</v>
      </c>
      <c r="J981" s="50">
        <f>I981*1.029</f>
        <v>77944.177499999991</v>
      </c>
      <c r="K981" s="54">
        <f>J981*1.031</f>
        <v>80360.44700249999</v>
      </c>
      <c r="L981" s="54">
        <f>K981*1.033</f>
        <v>83012.341753582485</v>
      </c>
      <c r="M981" s="54">
        <f>L981*1.032</f>
        <v>85668.736689697122</v>
      </c>
      <c r="N981" s="54">
        <f>M981*1.03</f>
        <v>88238.798790388042</v>
      </c>
      <c r="O981" s="54">
        <f>N981*1.032</f>
        <v>91062.44035168046</v>
      </c>
      <c r="P981" s="54">
        <f>O981*1.034</f>
        <v>94158.563323637602</v>
      </c>
      <c r="Q981" s="54">
        <f>P981*1.034</f>
        <v>97359.954476641287</v>
      </c>
      <c r="R981" s="54">
        <f>Q981*1.034</f>
        <v>100670.1929288471</v>
      </c>
    </row>
    <row r="982" spans="1:18" x14ac:dyDescent="0.25">
      <c r="A982" t="s">
        <v>219</v>
      </c>
      <c r="C982" s="50"/>
      <c r="D982"/>
      <c r="G982">
        <v>4102</v>
      </c>
      <c r="H982">
        <v>9400</v>
      </c>
      <c r="I982" s="54">
        <f t="shared" ref="I982" si="534">H982*1.023</f>
        <v>9616.1999999999989</v>
      </c>
      <c r="J982" s="54">
        <f t="shared" ref="J982:K982" si="535">I982*1.024</f>
        <v>9846.9887999999992</v>
      </c>
      <c r="K982" s="54">
        <f t="shared" si="535"/>
        <v>10083.3165312</v>
      </c>
      <c r="L982" s="54">
        <f t="shared" ref="L982" si="536">K982*1.023</f>
        <v>10315.2328114176</v>
      </c>
      <c r="M982" s="54">
        <f t="shared" ref="M982" si="537">L982*1.022</f>
        <v>10542.167933268787</v>
      </c>
      <c r="N982" s="54">
        <f t="shared" ref="N982" si="538">M982*1.023</f>
        <v>10784.637795733968</v>
      </c>
      <c r="O982" s="54">
        <f t="shared" ref="O982:P982" si="539">N982*1.025</f>
        <v>11054.253740627317</v>
      </c>
      <c r="P982" s="54">
        <f t="shared" si="539"/>
        <v>11330.610084142998</v>
      </c>
      <c r="Q982" s="54">
        <f t="shared" ref="Q982:R982" si="540">P982*1.024</f>
        <v>11602.54472616243</v>
      </c>
      <c r="R982" s="54">
        <f t="shared" si="540"/>
        <v>11881.00579959033</v>
      </c>
    </row>
    <row r="983" spans="1:18" x14ac:dyDescent="0.25">
      <c r="A983" s="43" t="s">
        <v>220</v>
      </c>
      <c r="C983" s="50">
        <v>-3575</v>
      </c>
      <c r="D983" s="50">
        <v>10663</v>
      </c>
      <c r="E983" s="50">
        <v>12212</v>
      </c>
      <c r="F983" s="50">
        <v>8764</v>
      </c>
      <c r="G983" s="52">
        <v>39395</v>
      </c>
      <c r="H983" s="52">
        <v>10200</v>
      </c>
      <c r="I983" s="50">
        <f>H983*1.025</f>
        <v>10455</v>
      </c>
      <c r="J983" s="50">
        <f>I983*1.029</f>
        <v>10758.195</v>
      </c>
      <c r="K983" s="54">
        <f>J983*1.031</f>
        <v>11091.699044999999</v>
      </c>
      <c r="L983" s="54">
        <f>K983*1.033</f>
        <v>11457.725113484998</v>
      </c>
      <c r="M983" s="54">
        <f>L983*1.032</f>
        <v>11824.372317116518</v>
      </c>
      <c r="N983" s="54">
        <f>M983*1.03</f>
        <v>12179.103486630014</v>
      </c>
      <c r="O983" s="54">
        <f>N983*1.032</f>
        <v>12568.834798202175</v>
      </c>
      <c r="P983" s="54">
        <f>O983*1.034</f>
        <v>12996.17518134105</v>
      </c>
      <c r="Q983" s="54">
        <f>P983*1.034</f>
        <v>13438.045137506646</v>
      </c>
      <c r="R983" s="54">
        <f>Q983*1.034</f>
        <v>13894.938672181872</v>
      </c>
    </row>
    <row r="984" spans="1:18" x14ac:dyDescent="0.25">
      <c r="A984" s="43" t="s">
        <v>221</v>
      </c>
      <c r="C984" s="50"/>
      <c r="D984" s="50"/>
      <c r="E984" s="50"/>
      <c r="F984" s="50"/>
      <c r="G984" s="52"/>
      <c r="H984" s="60">
        <v>9400</v>
      </c>
      <c r="I984" s="60">
        <v>9400</v>
      </c>
      <c r="J984" s="58">
        <v>9700</v>
      </c>
      <c r="K984" s="58">
        <v>9700</v>
      </c>
      <c r="L984" s="169">
        <v>10400</v>
      </c>
      <c r="M984" s="169">
        <v>10400</v>
      </c>
      <c r="N984" s="169">
        <v>10400</v>
      </c>
      <c r="O984" s="169">
        <v>10700</v>
      </c>
      <c r="P984" s="169">
        <v>10700</v>
      </c>
      <c r="Q984" s="169">
        <v>10700</v>
      </c>
      <c r="R984" s="169">
        <v>10700</v>
      </c>
    </row>
    <row r="985" spans="1:18" x14ac:dyDescent="0.25">
      <c r="A985" s="52" t="s">
        <v>647</v>
      </c>
      <c r="B985" s="53"/>
      <c r="C985" s="50"/>
      <c r="D985" s="50"/>
      <c r="E985" s="50"/>
      <c r="F985" s="50"/>
      <c r="G985" s="50"/>
      <c r="H985" s="50"/>
      <c r="I985" s="50"/>
      <c r="J985" s="50"/>
      <c r="K985" s="50"/>
      <c r="L985" s="50"/>
      <c r="M985" s="50"/>
      <c r="N985" s="50"/>
      <c r="O985" s="50"/>
      <c r="P985" s="50"/>
      <c r="Q985" s="50"/>
      <c r="R985" s="50"/>
    </row>
    <row r="986" spans="1:18" x14ac:dyDescent="0.25">
      <c r="A986" s="43" t="s">
        <v>640</v>
      </c>
      <c r="C986" s="50">
        <f>8936+46</f>
        <v>8982</v>
      </c>
      <c r="D986" s="50">
        <v>8043</v>
      </c>
      <c r="E986" s="50">
        <v>8598</v>
      </c>
      <c r="F986" s="50">
        <v>0</v>
      </c>
      <c r="G986" s="50">
        <v>0</v>
      </c>
      <c r="H986" s="50">
        <v>0</v>
      </c>
      <c r="I986" s="50">
        <v>0</v>
      </c>
      <c r="J986" s="50">
        <v>0</v>
      </c>
      <c r="K986" s="50">
        <v>0</v>
      </c>
      <c r="L986" s="50">
        <v>0</v>
      </c>
      <c r="M986" s="50">
        <v>0</v>
      </c>
      <c r="N986" s="50">
        <v>0</v>
      </c>
      <c r="O986" s="50">
        <v>0</v>
      </c>
      <c r="P986" s="50">
        <v>0</v>
      </c>
      <c r="Q986" s="50">
        <v>0</v>
      </c>
      <c r="R986" s="50">
        <v>0</v>
      </c>
    </row>
    <row r="987" spans="1:18" x14ac:dyDescent="0.25">
      <c r="A987" s="43" t="s">
        <v>304</v>
      </c>
      <c r="C987" s="105">
        <v>1333</v>
      </c>
      <c r="D987" s="105">
        <v>1333</v>
      </c>
      <c r="E987" s="72">
        <v>0</v>
      </c>
      <c r="F987" s="50">
        <v>0</v>
      </c>
      <c r="G987" s="50">
        <v>0</v>
      </c>
      <c r="H987" s="50">
        <v>0</v>
      </c>
      <c r="I987" s="50">
        <v>0</v>
      </c>
      <c r="J987" s="50">
        <v>0</v>
      </c>
      <c r="K987" s="50">
        <v>0</v>
      </c>
      <c r="L987" s="50">
        <v>0</v>
      </c>
      <c r="M987" s="50">
        <v>0</v>
      </c>
      <c r="N987" s="50">
        <v>0</v>
      </c>
      <c r="O987" s="50">
        <v>0</v>
      </c>
      <c r="P987" s="50">
        <v>0</v>
      </c>
      <c r="Q987" s="50">
        <v>0</v>
      </c>
      <c r="R987" s="50">
        <v>0</v>
      </c>
    </row>
    <row r="988" spans="1:18" x14ac:dyDescent="0.25">
      <c r="A988" s="52" t="s">
        <v>648</v>
      </c>
      <c r="B988" s="53"/>
      <c r="C988" s="50">
        <v>22544</v>
      </c>
      <c r="D988" s="50">
        <v>29047</v>
      </c>
      <c r="E988" s="50">
        <v>24000</v>
      </c>
      <c r="F988" s="50">
        <v>31088</v>
      </c>
      <c r="G988" s="50">
        <v>21918</v>
      </c>
      <c r="H988" s="50">
        <v>30640</v>
      </c>
      <c r="I988" s="50">
        <v>31406.799999999996</v>
      </c>
      <c r="J988" s="50">
        <v>32230.75</v>
      </c>
      <c r="K988" s="50">
        <v>33091.326155000002</v>
      </c>
      <c r="L988" s="50">
        <v>33969.013795014995</v>
      </c>
      <c r="M988" s="50">
        <v>34841.858043972483</v>
      </c>
      <c r="N988" s="50">
        <v>35745.495787852968</v>
      </c>
      <c r="O988" s="50">
        <v>36735.68064323334</v>
      </c>
      <c r="P988" s="50">
        <v>37770.951491770902</v>
      </c>
      <c r="Q988" s="50">
        <v>38812.651508211398</v>
      </c>
      <c r="R988" s="50">
        <v>39884.662850951012</v>
      </c>
    </row>
    <row r="989" spans="1:18" x14ac:dyDescent="0.25">
      <c r="A989" s="43" t="s">
        <v>649</v>
      </c>
      <c r="C989" s="170">
        <v>1091</v>
      </c>
      <c r="D989" s="170">
        <v>1091</v>
      </c>
      <c r="E989" s="70">
        <v>1091</v>
      </c>
      <c r="F989" s="104">
        <v>1091</v>
      </c>
      <c r="G989" s="104">
        <v>1153</v>
      </c>
      <c r="H989" s="70">
        <v>1120</v>
      </c>
      <c r="I989" s="70">
        <v>1150</v>
      </c>
      <c r="J989" s="70">
        <v>1180</v>
      </c>
      <c r="K989" s="70">
        <v>1210</v>
      </c>
      <c r="L989" s="70">
        <v>1230</v>
      </c>
      <c r="M989" s="70">
        <v>1260</v>
      </c>
      <c r="N989" s="70">
        <v>1290</v>
      </c>
      <c r="O989" s="70">
        <v>1320</v>
      </c>
      <c r="P989" s="70">
        <v>1360</v>
      </c>
      <c r="Q989" s="70">
        <v>1390</v>
      </c>
      <c r="R989" s="70">
        <v>1390</v>
      </c>
    </row>
    <row r="990" spans="1:18" x14ac:dyDescent="0.25">
      <c r="A990" s="43" t="s">
        <v>304</v>
      </c>
      <c r="C990" s="105">
        <v>14554</v>
      </c>
      <c r="D990" s="105">
        <v>14626</v>
      </c>
      <c r="E990" s="72">
        <v>14948</v>
      </c>
      <c r="F990" s="105">
        <v>15548</v>
      </c>
      <c r="G990" s="105">
        <v>15548</v>
      </c>
      <c r="H990" s="74">
        <v>14860</v>
      </c>
      <c r="I990" s="74">
        <v>15200</v>
      </c>
      <c r="J990" s="74">
        <v>15570</v>
      </c>
      <c r="K990" s="74">
        <v>15940</v>
      </c>
      <c r="L990" s="74">
        <v>16310</v>
      </c>
      <c r="M990" s="74">
        <v>16670</v>
      </c>
      <c r="N990" s="74">
        <v>17050</v>
      </c>
      <c r="O990" s="74">
        <v>17480</v>
      </c>
      <c r="P990" s="74">
        <v>17910</v>
      </c>
      <c r="Q990" s="74">
        <v>18340</v>
      </c>
      <c r="R990" s="74">
        <v>18340</v>
      </c>
    </row>
    <row r="991" spans="1:18" x14ac:dyDescent="0.25">
      <c r="A991" s="52" t="s">
        <v>650</v>
      </c>
      <c r="B991" s="53"/>
      <c r="C991" s="50">
        <v>12428</v>
      </c>
      <c r="D991" s="50">
        <v>15286</v>
      </c>
      <c r="E991" s="50">
        <v>17072</v>
      </c>
      <c r="F991" s="50">
        <v>16483</v>
      </c>
      <c r="G991" s="50">
        <v>8477</v>
      </c>
      <c r="H991" s="50">
        <v>15600</v>
      </c>
      <c r="I991" s="50">
        <v>16002.799999999996</v>
      </c>
      <c r="J991" s="50">
        <v>16431.122799999997</v>
      </c>
      <c r="K991" s="50">
        <v>16878.480087200005</v>
      </c>
      <c r="L991" s="50">
        <v>17336.325895255592</v>
      </c>
      <c r="M991" s="50">
        <v>17793.966079142192</v>
      </c>
      <c r="N991" s="50">
        <v>18266.942538754243</v>
      </c>
      <c r="O991" s="50">
        <v>18781.608788461519</v>
      </c>
      <c r="P991" s="50">
        <v>19319.677626609511</v>
      </c>
      <c r="Q991" s="50">
        <v>19863.311138741694</v>
      </c>
      <c r="R991" s="50">
        <v>20423.241024252777</v>
      </c>
    </row>
    <row r="992" spans="1:18" x14ac:dyDescent="0.25">
      <c r="A992" s="43" t="s">
        <v>649</v>
      </c>
      <c r="C992" s="170">
        <v>0</v>
      </c>
      <c r="D992" s="69">
        <v>0</v>
      </c>
      <c r="E992" s="76">
        <v>0</v>
      </c>
      <c r="F992" s="76">
        <v>0</v>
      </c>
      <c r="G992" s="76">
        <v>0</v>
      </c>
      <c r="H992" s="76">
        <v>0</v>
      </c>
      <c r="I992" s="76">
        <v>0</v>
      </c>
      <c r="J992" s="76">
        <v>0</v>
      </c>
      <c r="K992" s="76">
        <v>0</v>
      </c>
      <c r="L992" s="76">
        <v>0</v>
      </c>
      <c r="M992" s="76">
        <v>0</v>
      </c>
      <c r="N992" s="76">
        <v>0</v>
      </c>
      <c r="O992" s="76">
        <v>0</v>
      </c>
      <c r="P992" s="76">
        <v>0</v>
      </c>
      <c r="Q992" s="76">
        <v>0</v>
      </c>
      <c r="R992" s="76">
        <v>0</v>
      </c>
    </row>
    <row r="993" spans="1:18" x14ac:dyDescent="0.25">
      <c r="A993" s="43" t="s">
        <v>304</v>
      </c>
      <c r="C993" s="105">
        <v>24435</v>
      </c>
      <c r="D993" s="74">
        <v>24435</v>
      </c>
      <c r="E993" s="72">
        <v>24435</v>
      </c>
      <c r="F993" s="72">
        <v>27243</v>
      </c>
      <c r="G993" s="72">
        <v>27243</v>
      </c>
      <c r="H993" s="71">
        <v>14170</v>
      </c>
      <c r="I993" s="71">
        <v>14500</v>
      </c>
      <c r="J993" s="71">
        <v>14850</v>
      </c>
      <c r="K993" s="71">
        <v>15210</v>
      </c>
      <c r="L993" s="71">
        <v>15560</v>
      </c>
      <c r="M993" s="71">
        <v>15900</v>
      </c>
      <c r="N993" s="71">
        <v>16270</v>
      </c>
      <c r="O993" s="71">
        <v>16670</v>
      </c>
      <c r="P993" s="71">
        <v>17090</v>
      </c>
      <c r="Q993" s="71">
        <v>17500</v>
      </c>
      <c r="R993" s="71">
        <v>17500</v>
      </c>
    </row>
    <row r="994" spans="1:18" x14ac:dyDescent="0.25">
      <c r="A994" s="52" t="s">
        <v>651</v>
      </c>
      <c r="B994" s="53"/>
      <c r="C994" s="50">
        <f>195548-11534</f>
        <v>184014</v>
      </c>
      <c r="D994" s="50">
        <v>176928</v>
      </c>
      <c r="E994" s="50">
        <v>171052</v>
      </c>
      <c r="F994" s="50">
        <v>170598</v>
      </c>
      <c r="G994" s="50">
        <v>158269</v>
      </c>
      <c r="H994" s="50">
        <v>215400</v>
      </c>
      <c r="I994" s="50">
        <v>220801.59999999998</v>
      </c>
      <c r="J994" s="50">
        <v>226481.7469</v>
      </c>
      <c r="K994" s="50">
        <v>232340.15048810001</v>
      </c>
      <c r="L994" s="50">
        <v>238182.7505802013</v>
      </c>
      <c r="M994" s="50">
        <v>243963.9186179321</v>
      </c>
      <c r="N994" s="50">
        <v>250079.85735006066</v>
      </c>
      <c r="O994" s="50">
        <v>256816.55305419897</v>
      </c>
      <c r="P994" s="50">
        <v>263772.51245557819</v>
      </c>
      <c r="Q994" s="50">
        <v>270701.45963900496</v>
      </c>
      <c r="R994" s="50">
        <v>277824.11909861001</v>
      </c>
    </row>
    <row r="995" spans="1:18" x14ac:dyDescent="0.25">
      <c r="A995" s="43" t="s">
        <v>649</v>
      </c>
      <c r="C995" s="170">
        <v>11534</v>
      </c>
      <c r="D995" s="69">
        <v>11534</v>
      </c>
      <c r="E995" s="70">
        <v>13257</v>
      </c>
      <c r="F995" s="104">
        <v>16234</v>
      </c>
      <c r="G995" s="104">
        <v>15190</v>
      </c>
      <c r="H995" s="70">
        <v>16620</v>
      </c>
      <c r="I995" s="70">
        <v>17120</v>
      </c>
      <c r="J995" s="70">
        <v>17540</v>
      </c>
      <c r="K995" s="70">
        <v>17950</v>
      </c>
      <c r="L995" s="70">
        <v>18360</v>
      </c>
      <c r="M995" s="70">
        <v>18770</v>
      </c>
      <c r="N995" s="70">
        <v>19200</v>
      </c>
      <c r="O995" s="70">
        <v>19680</v>
      </c>
      <c r="P995" s="70">
        <v>20170</v>
      </c>
      <c r="Q995" s="70">
        <v>20650</v>
      </c>
      <c r="R995" s="70">
        <v>20650</v>
      </c>
    </row>
    <row r="996" spans="1:18" x14ac:dyDescent="0.25">
      <c r="A996" s="43" t="s">
        <v>304</v>
      </c>
      <c r="C996" s="120">
        <v>0</v>
      </c>
      <c r="D996" s="74">
        <v>0</v>
      </c>
      <c r="E996" s="100">
        <v>0</v>
      </c>
      <c r="F996" s="100">
        <v>0</v>
      </c>
      <c r="G996" s="100">
        <v>0</v>
      </c>
      <c r="H996" s="100">
        <v>0</v>
      </c>
      <c r="I996" s="100">
        <v>0</v>
      </c>
      <c r="J996" s="100">
        <v>0</v>
      </c>
      <c r="K996" s="100">
        <v>0</v>
      </c>
      <c r="L996" s="100">
        <v>0</v>
      </c>
      <c r="M996" s="100">
        <v>0</v>
      </c>
      <c r="N996" s="100">
        <v>0</v>
      </c>
      <c r="O996" s="100">
        <v>0</v>
      </c>
      <c r="P996" s="100">
        <v>0</v>
      </c>
      <c r="Q996" s="100">
        <v>0</v>
      </c>
      <c r="R996" s="100">
        <v>0</v>
      </c>
    </row>
    <row r="997" spans="1:18" x14ac:dyDescent="0.25">
      <c r="A997" s="52" t="s">
        <v>652</v>
      </c>
      <c r="C997" s="117">
        <v>1414</v>
      </c>
      <c r="D997" s="81">
        <v>1932</v>
      </c>
      <c r="E997" s="171">
        <v>1793</v>
      </c>
      <c r="F997" s="171">
        <v>1793</v>
      </c>
      <c r="G997" s="171">
        <v>1793</v>
      </c>
      <c r="H997" s="171">
        <v>1840</v>
      </c>
      <c r="I997" s="171">
        <v>1880</v>
      </c>
      <c r="J997" s="171">
        <v>1920</v>
      </c>
      <c r="K997" s="171">
        <v>1980</v>
      </c>
      <c r="L997" s="171">
        <v>2010</v>
      </c>
      <c r="M997" s="171">
        <v>2050</v>
      </c>
      <c r="N997" s="171">
        <v>2110</v>
      </c>
      <c r="O997" s="171">
        <v>2150</v>
      </c>
      <c r="P997" s="171">
        <v>2220</v>
      </c>
      <c r="Q997" s="171">
        <v>2260</v>
      </c>
      <c r="R997" s="171">
        <v>2260</v>
      </c>
    </row>
    <row r="998" spans="1:18" x14ac:dyDescent="0.25">
      <c r="A998" s="52" t="s">
        <v>645</v>
      </c>
      <c r="C998" s="50">
        <v>4519</v>
      </c>
      <c r="D998">
        <v>3919</v>
      </c>
      <c r="E998">
        <v>15095</v>
      </c>
      <c r="F998" s="54">
        <v>7188</v>
      </c>
      <c r="G998" s="54">
        <v>8502</v>
      </c>
      <c r="H998" s="54">
        <v>9410</v>
      </c>
      <c r="I998" s="50">
        <v>9648.6499999999978</v>
      </c>
      <c r="J998" s="50">
        <v>9896.4689499999986</v>
      </c>
      <c r="K998" s="50">
        <v>10151.55616355</v>
      </c>
      <c r="L998" s="50">
        <v>10408.68888304915</v>
      </c>
      <c r="M998" s="50">
        <v>10666.734609832723</v>
      </c>
      <c r="N998" s="50">
        <v>10936.574690833146</v>
      </c>
      <c r="O998" s="50">
        <v>11226.012342333388</v>
      </c>
      <c r="P998" s="50">
        <v>11524.181308231349</v>
      </c>
      <c r="Q998" s="50">
        <v>11824.47973976898</v>
      </c>
      <c r="R998" s="50">
        <v>12133.000118337573</v>
      </c>
    </row>
    <row r="999" spans="1:18" s="43" customFormat="1" x14ac:dyDescent="0.25">
      <c r="A999" s="43" t="s">
        <v>304</v>
      </c>
      <c r="B999" s="42"/>
      <c r="C999" s="120">
        <v>1333</v>
      </c>
      <c r="D999" s="120">
        <v>1333</v>
      </c>
      <c r="E999" s="72">
        <v>1333</v>
      </c>
      <c r="F999" s="105">
        <v>1333</v>
      </c>
      <c r="G999" s="105">
        <v>1333</v>
      </c>
      <c r="H999" s="71">
        <v>1390</v>
      </c>
      <c r="I999" s="71">
        <v>1420</v>
      </c>
      <c r="J999" s="71">
        <v>1450</v>
      </c>
      <c r="K999" s="71">
        <v>1480</v>
      </c>
      <c r="L999" s="71">
        <v>1520</v>
      </c>
      <c r="M999" s="71">
        <v>1550</v>
      </c>
      <c r="N999" s="71">
        <v>1580</v>
      </c>
      <c r="O999" s="71">
        <v>1620</v>
      </c>
      <c r="P999" s="71">
        <v>1670</v>
      </c>
      <c r="Q999" s="71">
        <v>1670</v>
      </c>
      <c r="R999" s="71">
        <v>1670</v>
      </c>
    </row>
    <row r="1000" spans="1:18" x14ac:dyDescent="0.25">
      <c r="A1000" s="43" t="s">
        <v>653</v>
      </c>
      <c r="C1000" s="50">
        <v>0</v>
      </c>
      <c r="D1000" s="54">
        <v>0</v>
      </c>
      <c r="E1000" s="54">
        <v>0</v>
      </c>
      <c r="F1000" s="54">
        <v>0</v>
      </c>
      <c r="G1000" s="54">
        <v>0</v>
      </c>
      <c r="H1000" s="54">
        <v>0</v>
      </c>
      <c r="I1000" s="54">
        <f>H1000*1.026</f>
        <v>0</v>
      </c>
      <c r="J1000" s="54">
        <f t="shared" ref="J1000" si="541">I1000*1.033</f>
        <v>0</v>
      </c>
      <c r="K1000" s="54">
        <f t="shared" ref="K1000" si="542">J1000*1.035</f>
        <v>0</v>
      </c>
      <c r="L1000" s="54">
        <f t="shared" ref="L1000:M1000" si="543">K1000*1.036</f>
        <v>0</v>
      </c>
      <c r="M1000" s="54">
        <f t="shared" si="543"/>
        <v>0</v>
      </c>
      <c r="N1000" s="54">
        <f t="shared" ref="N1000" si="544">M1000*1.034</f>
        <v>0</v>
      </c>
      <c r="O1000" s="54">
        <f t="shared" ref="O1000" si="545">N1000*1.032</f>
        <v>0</v>
      </c>
      <c r="P1000" s="54">
        <f t="shared" ref="P1000:R1000" si="546">O1000*1.034</f>
        <v>0</v>
      </c>
      <c r="Q1000" s="54">
        <f t="shared" si="546"/>
        <v>0</v>
      </c>
      <c r="R1000" s="54">
        <f t="shared" si="546"/>
        <v>0</v>
      </c>
    </row>
    <row r="1001" spans="1:18" x14ac:dyDescent="0.25">
      <c r="A1001" s="43" t="s">
        <v>654</v>
      </c>
      <c r="C1001" s="50">
        <v>0</v>
      </c>
      <c r="D1001" s="54">
        <v>0</v>
      </c>
      <c r="E1001" s="54">
        <v>0</v>
      </c>
      <c r="F1001" s="54">
        <v>0</v>
      </c>
      <c r="G1001" s="54">
        <v>0</v>
      </c>
      <c r="H1001" s="54">
        <v>0</v>
      </c>
      <c r="I1001" s="54">
        <v>0</v>
      </c>
      <c r="J1001" s="54">
        <v>0</v>
      </c>
      <c r="K1001" s="54">
        <v>0</v>
      </c>
      <c r="L1001" s="54">
        <v>0</v>
      </c>
      <c r="M1001" s="54">
        <v>0</v>
      </c>
      <c r="N1001" s="54">
        <v>0</v>
      </c>
      <c r="O1001" s="54">
        <v>0</v>
      </c>
      <c r="P1001" s="54">
        <v>0</v>
      </c>
      <c r="Q1001" s="54">
        <f t="shared" ref="Q1001:R1001" si="547">P1001*1.037</f>
        <v>0</v>
      </c>
      <c r="R1001" s="54">
        <f t="shared" si="547"/>
        <v>0</v>
      </c>
    </row>
    <row r="1002" spans="1:18" x14ac:dyDescent="0.25">
      <c r="C1002" s="50"/>
      <c r="D1002" s="50"/>
      <c r="E1002" s="50"/>
      <c r="F1002" s="50"/>
      <c r="G1002" s="50"/>
      <c r="H1002" s="50"/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</row>
    <row r="1003" spans="1:18" x14ac:dyDescent="0.25">
      <c r="A1003" s="41" t="s">
        <v>230</v>
      </c>
      <c r="B1003" s="44"/>
      <c r="C1003" s="51">
        <f t="shared" ref="C1003" si="548">SUM(C981:C1002)</f>
        <v>344941</v>
      </c>
      <c r="D1003" s="51">
        <f t="shared" ref="D1003:R1003" si="549">SUM(D981:D1002)</f>
        <v>357829</v>
      </c>
      <c r="E1003" s="51">
        <f t="shared" si="549"/>
        <v>353550</v>
      </c>
      <c r="F1003" s="51">
        <f t="shared" si="549"/>
        <v>362366</v>
      </c>
      <c r="G1003" s="51">
        <f t="shared" si="549"/>
        <v>360924</v>
      </c>
      <c r="H1003" s="51">
        <f t="shared" si="549"/>
        <v>423950</v>
      </c>
      <c r="I1003" s="51">
        <f t="shared" si="549"/>
        <v>434348.55</v>
      </c>
      <c r="J1003" s="51">
        <f t="shared" si="549"/>
        <v>445799.44995000004</v>
      </c>
      <c r="K1003" s="51">
        <f t="shared" si="549"/>
        <v>457466.97547255002</v>
      </c>
      <c r="L1003" s="51">
        <f t="shared" si="549"/>
        <v>470072.07883200614</v>
      </c>
      <c r="M1003" s="51">
        <f t="shared" si="549"/>
        <v>481901.75429096195</v>
      </c>
      <c r="N1003" s="51">
        <f t="shared" si="549"/>
        <v>494131.41044025309</v>
      </c>
      <c r="O1003" s="51">
        <f t="shared" si="549"/>
        <v>507865.38371873717</v>
      </c>
      <c r="P1003" s="51">
        <f t="shared" si="549"/>
        <v>521992.67147131165</v>
      </c>
      <c r="Q1003" s="51">
        <f t="shared" si="549"/>
        <v>536112.44636603747</v>
      </c>
      <c r="R1003" s="51">
        <f t="shared" si="549"/>
        <v>549221.16049277072</v>
      </c>
    </row>
    <row r="1004" spans="1:18" x14ac:dyDescent="0.25">
      <c r="C1004" s="50"/>
      <c r="D1004" s="50"/>
      <c r="E1004" s="50"/>
      <c r="F1004" s="50"/>
      <c r="G1004" s="50"/>
      <c r="H1004" s="50"/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</row>
    <row r="1005" spans="1:18" x14ac:dyDescent="0.25">
      <c r="A1005" s="41" t="s">
        <v>251</v>
      </c>
      <c r="B1005" s="44"/>
      <c r="C1005" s="50"/>
      <c r="D1005" s="50"/>
      <c r="E1005" s="50"/>
      <c r="F1005" s="50"/>
      <c r="G1005" s="50"/>
      <c r="H1005" s="50"/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</row>
    <row r="1006" spans="1:18" x14ac:dyDescent="0.25">
      <c r="C1006" s="50"/>
      <c r="D1006" s="50"/>
      <c r="E1006" s="50"/>
      <c r="F1006" s="50"/>
      <c r="G1006" s="50"/>
      <c r="H1006" s="50"/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</row>
    <row r="1007" spans="1:18" x14ac:dyDescent="0.25">
      <c r="A1007" s="64" t="s">
        <v>655</v>
      </c>
      <c r="C1007" s="50">
        <v>0</v>
      </c>
      <c r="D1007" s="50">
        <v>0</v>
      </c>
      <c r="E1007" s="50">
        <v>0</v>
      </c>
      <c r="F1007" s="50">
        <v>0</v>
      </c>
      <c r="G1007" s="50">
        <v>0</v>
      </c>
      <c r="H1007" s="63">
        <v>50000</v>
      </c>
      <c r="I1007" s="50">
        <v>0</v>
      </c>
      <c r="J1007" s="50">
        <v>0</v>
      </c>
      <c r="K1007" s="50">
        <v>0</v>
      </c>
      <c r="L1007" s="50">
        <v>0</v>
      </c>
      <c r="M1007" s="50">
        <v>0</v>
      </c>
      <c r="N1007" s="50">
        <v>0</v>
      </c>
      <c r="O1007" s="50">
        <v>0</v>
      </c>
      <c r="P1007" s="50">
        <v>0</v>
      </c>
      <c r="Q1007" s="50">
        <v>0</v>
      </c>
      <c r="R1007" s="50">
        <v>0</v>
      </c>
    </row>
    <row r="1008" spans="1:18" x14ac:dyDescent="0.25">
      <c r="C1008" s="50"/>
      <c r="D1008" s="50"/>
      <c r="E1008" s="50"/>
      <c r="F1008" s="50"/>
      <c r="G1008" s="50"/>
      <c r="H1008" s="50"/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</row>
    <row r="1009" spans="1:18" x14ac:dyDescent="0.25">
      <c r="A1009" s="41" t="s">
        <v>254</v>
      </c>
      <c r="B1009" s="44"/>
      <c r="C1009" s="51">
        <f t="shared" ref="C1009:E1009" si="550">SUM(C1007:C1008)</f>
        <v>0</v>
      </c>
      <c r="D1009" s="51">
        <f t="shared" si="550"/>
        <v>0</v>
      </c>
      <c r="E1009" s="51">
        <f t="shared" si="550"/>
        <v>0</v>
      </c>
      <c r="F1009" s="51">
        <v>0</v>
      </c>
      <c r="G1009" s="51">
        <v>0</v>
      </c>
      <c r="H1009" s="51">
        <f>SUM(H1007:H1008)</f>
        <v>50000</v>
      </c>
      <c r="I1009" s="51">
        <f>SUM(I1007:I1008)</f>
        <v>0</v>
      </c>
      <c r="J1009" s="51">
        <f t="shared" ref="J1009:R1009" si="551">SUM(J1007:J1008)</f>
        <v>0</v>
      </c>
      <c r="K1009" s="51">
        <f t="shared" si="551"/>
        <v>0</v>
      </c>
      <c r="L1009" s="51">
        <f t="shared" si="551"/>
        <v>0</v>
      </c>
      <c r="M1009" s="51">
        <f t="shared" si="551"/>
        <v>0</v>
      </c>
      <c r="N1009" s="51">
        <f t="shared" si="551"/>
        <v>0</v>
      </c>
      <c r="O1009" s="51">
        <f t="shared" si="551"/>
        <v>0</v>
      </c>
      <c r="P1009" s="51">
        <f t="shared" si="551"/>
        <v>0</v>
      </c>
      <c r="Q1009" s="51">
        <f t="shared" si="551"/>
        <v>0</v>
      </c>
      <c r="R1009" s="51">
        <f t="shared" si="551"/>
        <v>0</v>
      </c>
    </row>
    <row r="1010" spans="1:18" x14ac:dyDescent="0.25">
      <c r="A1010" s="41"/>
      <c r="B1010" s="44"/>
      <c r="C1010" s="50"/>
      <c r="D1010" s="50"/>
      <c r="E1010" s="50"/>
      <c r="F1010" s="50"/>
      <c r="G1010" s="50"/>
      <c r="H1010" s="50"/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</row>
    <row r="1011" spans="1:18" x14ac:dyDescent="0.25">
      <c r="A1011" s="41" t="s">
        <v>171</v>
      </c>
      <c r="B1011" s="44"/>
      <c r="C1011" s="50"/>
      <c r="D1011" s="50"/>
      <c r="E1011" s="50"/>
      <c r="F1011" s="50"/>
      <c r="G1011" s="50"/>
      <c r="H1011" s="50"/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</row>
    <row r="1012" spans="1:18" x14ac:dyDescent="0.25">
      <c r="A1012" s="41"/>
      <c r="B1012" s="44"/>
      <c r="C1012" s="50"/>
      <c r="D1012" s="50"/>
      <c r="E1012" s="50"/>
      <c r="F1012" s="50"/>
      <c r="G1012" s="50"/>
      <c r="H1012" s="50"/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</row>
    <row r="1013" spans="1:18" x14ac:dyDescent="0.25">
      <c r="A1013" s="41" t="s">
        <v>656</v>
      </c>
      <c r="B1013" s="44"/>
      <c r="C1013" s="50"/>
      <c r="D1013" s="50"/>
      <c r="E1013" s="50"/>
      <c r="F1013" s="50"/>
      <c r="G1013" s="50"/>
      <c r="H1013" s="50"/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</row>
    <row r="1014" spans="1:18" x14ac:dyDescent="0.25">
      <c r="A1014" s="91" t="s">
        <v>400</v>
      </c>
      <c r="B1014" s="163" t="s">
        <v>317</v>
      </c>
      <c r="C1014" s="50">
        <v>0</v>
      </c>
      <c r="D1014" s="50">
        <v>0</v>
      </c>
      <c r="E1014" s="50">
        <v>0</v>
      </c>
      <c r="F1014" s="50">
        <v>26545</v>
      </c>
      <c r="G1014" s="50">
        <v>0</v>
      </c>
      <c r="H1014" s="50">
        <v>0</v>
      </c>
      <c r="I1014" s="50">
        <v>0</v>
      </c>
      <c r="J1014" s="50">
        <v>0</v>
      </c>
      <c r="K1014" s="50">
        <v>0</v>
      </c>
      <c r="L1014" s="50">
        <v>0</v>
      </c>
      <c r="M1014" s="50">
        <v>0</v>
      </c>
      <c r="N1014" s="50">
        <v>0</v>
      </c>
      <c r="O1014" s="50">
        <v>0</v>
      </c>
      <c r="P1014" s="50">
        <v>0</v>
      </c>
      <c r="Q1014" s="50">
        <v>0</v>
      </c>
      <c r="R1014" s="50">
        <v>0</v>
      </c>
    </row>
    <row r="1015" spans="1:18" x14ac:dyDescent="0.25">
      <c r="A1015" s="91" t="s">
        <v>657</v>
      </c>
      <c r="B1015" s="163" t="s">
        <v>317</v>
      </c>
      <c r="C1015" s="50"/>
      <c r="D1015" s="50"/>
      <c r="E1015" s="85">
        <v>13282</v>
      </c>
      <c r="F1015" s="50"/>
      <c r="G1015" s="50"/>
      <c r="H1015" s="50"/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</row>
    <row r="1016" spans="1:18" x14ac:dyDescent="0.25">
      <c r="A1016" s="91" t="s">
        <v>658</v>
      </c>
      <c r="B1016" s="163" t="s">
        <v>317</v>
      </c>
      <c r="C1016" s="50">
        <v>0</v>
      </c>
      <c r="D1016" s="50">
        <v>0</v>
      </c>
      <c r="E1016" s="50">
        <v>0</v>
      </c>
      <c r="F1016" s="50"/>
      <c r="G1016" s="50">
        <v>0</v>
      </c>
      <c r="H1016" s="50">
        <v>0</v>
      </c>
      <c r="I1016" s="50">
        <v>0</v>
      </c>
      <c r="J1016" s="50">
        <v>0</v>
      </c>
      <c r="K1016" s="50">
        <v>0</v>
      </c>
      <c r="L1016" s="50">
        <v>0</v>
      </c>
      <c r="M1016" s="50">
        <v>0</v>
      </c>
      <c r="N1016" s="50">
        <v>0</v>
      </c>
      <c r="O1016" s="50">
        <v>0</v>
      </c>
      <c r="P1016" s="50">
        <v>0</v>
      </c>
      <c r="Q1016" s="50">
        <v>0</v>
      </c>
      <c r="R1016" s="50">
        <v>0</v>
      </c>
    </row>
    <row r="1017" spans="1:18" s="43" customFormat="1" x14ac:dyDescent="0.25">
      <c r="A1017" s="93" t="s">
        <v>396</v>
      </c>
      <c r="B1017" s="96" t="s">
        <v>330</v>
      </c>
      <c r="C1017" s="50"/>
      <c r="D1017" s="50"/>
      <c r="E1017" s="50"/>
      <c r="F1017" s="50">
        <v>1930</v>
      </c>
      <c r="G1017" s="50"/>
      <c r="H1017" s="50"/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</row>
    <row r="1018" spans="1:18" s="43" customFormat="1" x14ac:dyDescent="0.25">
      <c r="A1018" s="93" t="s">
        <v>321</v>
      </c>
      <c r="B1018" s="96" t="s">
        <v>330</v>
      </c>
      <c r="C1018" s="50"/>
      <c r="D1018" s="50"/>
      <c r="E1018" s="50"/>
      <c r="F1018" s="50">
        <v>364</v>
      </c>
      <c r="G1018" s="50"/>
      <c r="H1018" s="50"/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</row>
    <row r="1019" spans="1:18" s="43" customFormat="1" x14ac:dyDescent="0.25">
      <c r="A1019" s="93" t="s">
        <v>659</v>
      </c>
      <c r="B1019" s="96" t="s">
        <v>330</v>
      </c>
      <c r="C1019" s="50"/>
      <c r="D1019" s="50"/>
      <c r="E1019" s="50"/>
      <c r="F1019" s="50"/>
      <c r="G1019" s="172"/>
      <c r="H1019" s="172"/>
      <c r="I1019" s="50"/>
      <c r="J1019" s="50"/>
      <c r="K1019" s="50"/>
      <c r="L1019" s="50"/>
      <c r="M1019" s="50"/>
      <c r="N1019" s="50">
        <v>0</v>
      </c>
      <c r="O1019" s="50"/>
      <c r="P1019" s="50"/>
      <c r="Q1019" s="50"/>
      <c r="R1019" s="50"/>
    </row>
    <row r="1020" spans="1:18" s="43" customFormat="1" x14ac:dyDescent="0.25">
      <c r="A1020" s="93" t="s">
        <v>660</v>
      </c>
      <c r="B1020" s="96" t="s">
        <v>330</v>
      </c>
      <c r="C1020" s="50"/>
      <c r="D1020" s="50"/>
      <c r="E1020" s="50"/>
      <c r="F1020" s="50"/>
      <c r="G1020" s="172"/>
      <c r="H1020" s="172"/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</row>
    <row r="1021" spans="1:18" s="43" customFormat="1" x14ac:dyDescent="0.25">
      <c r="A1021" s="87" t="s">
        <v>322</v>
      </c>
      <c r="B1021" s="96" t="s">
        <v>323</v>
      </c>
      <c r="C1021" s="50"/>
      <c r="D1021" s="50"/>
      <c r="E1021" s="50"/>
      <c r="F1021" s="50"/>
      <c r="G1021" s="50"/>
      <c r="H1021" s="50"/>
      <c r="I1021" s="172"/>
      <c r="J1021" s="50"/>
      <c r="K1021" s="89">
        <v>25000</v>
      </c>
      <c r="L1021" s="50"/>
      <c r="M1021" s="50"/>
      <c r="N1021" s="50"/>
      <c r="O1021" s="50"/>
      <c r="P1021" s="89">
        <v>20000</v>
      </c>
      <c r="Q1021" s="50"/>
      <c r="R1021" s="50"/>
    </row>
    <row r="1022" spans="1:18" s="43" customFormat="1" x14ac:dyDescent="0.25">
      <c r="A1022" s="87" t="s">
        <v>324</v>
      </c>
      <c r="B1022" s="96" t="s">
        <v>323</v>
      </c>
      <c r="C1022" s="50"/>
      <c r="D1022" s="50"/>
      <c r="E1022" s="50"/>
      <c r="F1022" s="50"/>
      <c r="G1022" s="50"/>
      <c r="H1022" s="50"/>
      <c r="I1022" s="95">
        <v>25000</v>
      </c>
      <c r="J1022" s="50"/>
      <c r="K1022" s="50"/>
      <c r="L1022" s="50"/>
      <c r="M1022" s="50"/>
      <c r="N1022" s="50"/>
      <c r="O1022" s="50"/>
      <c r="P1022" s="50"/>
      <c r="Q1022" s="50"/>
      <c r="R1022" s="50"/>
    </row>
    <row r="1023" spans="1:18" x14ac:dyDescent="0.25">
      <c r="A1023" s="41" t="s">
        <v>661</v>
      </c>
      <c r="B1023" s="44"/>
      <c r="C1023" s="50"/>
      <c r="D1023" s="50"/>
      <c r="E1023" s="50"/>
      <c r="F1023" s="50"/>
      <c r="G1023" s="50"/>
      <c r="H1023" s="50"/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</row>
    <row r="1024" spans="1:18" x14ac:dyDescent="0.25">
      <c r="A1024" s="91" t="s">
        <v>662</v>
      </c>
      <c r="B1024" s="163" t="s">
        <v>317</v>
      </c>
      <c r="C1024" s="50">
        <v>0</v>
      </c>
      <c r="D1024" s="50">
        <v>0</v>
      </c>
      <c r="E1024" s="85">
        <v>4836</v>
      </c>
      <c r="F1024" s="50">
        <v>0</v>
      </c>
      <c r="G1024" s="50">
        <v>0</v>
      </c>
      <c r="H1024" s="50">
        <v>0</v>
      </c>
      <c r="I1024" s="50">
        <v>0</v>
      </c>
      <c r="J1024" s="50">
        <v>0</v>
      </c>
      <c r="K1024" s="50">
        <v>0</v>
      </c>
      <c r="L1024" s="50">
        <v>0</v>
      </c>
      <c r="M1024" s="50">
        <v>0</v>
      </c>
      <c r="N1024" s="50"/>
      <c r="O1024" s="50">
        <v>0</v>
      </c>
      <c r="P1024" s="50">
        <v>0</v>
      </c>
      <c r="Q1024" s="50">
        <v>0</v>
      </c>
      <c r="R1024" s="50">
        <v>0</v>
      </c>
    </row>
    <row r="1025" spans="1:18" x14ac:dyDescent="0.25">
      <c r="A1025" s="91" t="s">
        <v>663</v>
      </c>
      <c r="B1025" s="163" t="s">
        <v>317</v>
      </c>
      <c r="C1025" s="50">
        <v>0</v>
      </c>
      <c r="D1025" s="50">
        <v>0</v>
      </c>
      <c r="E1025" s="50">
        <v>0</v>
      </c>
      <c r="F1025" s="85">
        <v>9724</v>
      </c>
      <c r="G1025" s="50">
        <v>0</v>
      </c>
      <c r="H1025" s="50">
        <v>0</v>
      </c>
      <c r="I1025" s="50">
        <v>0</v>
      </c>
      <c r="J1025" s="50">
        <v>0</v>
      </c>
      <c r="K1025" s="50">
        <v>0</v>
      </c>
      <c r="L1025" s="50">
        <v>0</v>
      </c>
      <c r="M1025" s="50">
        <v>0</v>
      </c>
      <c r="N1025" s="50">
        <v>0</v>
      </c>
      <c r="O1025" s="50">
        <v>0</v>
      </c>
      <c r="P1025" s="50">
        <v>0</v>
      </c>
      <c r="Q1025" s="50">
        <v>0</v>
      </c>
      <c r="R1025" s="50">
        <v>0</v>
      </c>
    </row>
    <row r="1026" spans="1:18" x14ac:dyDescent="0.25">
      <c r="A1026" s="91" t="s">
        <v>664</v>
      </c>
      <c r="B1026" s="163" t="s">
        <v>317</v>
      </c>
      <c r="C1026" s="50">
        <v>0</v>
      </c>
      <c r="D1026" s="50">
        <v>0</v>
      </c>
      <c r="E1026" s="50">
        <v>0</v>
      </c>
      <c r="F1026" s="50">
        <v>0</v>
      </c>
      <c r="G1026" s="50">
        <v>0</v>
      </c>
      <c r="H1026" s="50">
        <v>0</v>
      </c>
      <c r="I1026" s="50">
        <v>0</v>
      </c>
      <c r="J1026" s="50">
        <v>0</v>
      </c>
      <c r="K1026" s="50">
        <v>0</v>
      </c>
      <c r="L1026" s="50">
        <v>0</v>
      </c>
      <c r="M1026" s="50">
        <v>0</v>
      </c>
      <c r="N1026" s="50">
        <v>0</v>
      </c>
      <c r="O1026" s="50">
        <v>0</v>
      </c>
      <c r="P1026" s="50">
        <v>0</v>
      </c>
      <c r="Q1026" s="50">
        <v>0</v>
      </c>
      <c r="R1026" s="50">
        <v>0</v>
      </c>
    </row>
    <row r="1027" spans="1:18" x14ac:dyDescent="0.25">
      <c r="A1027" s="91" t="s">
        <v>326</v>
      </c>
      <c r="B1027" s="163" t="s">
        <v>317</v>
      </c>
      <c r="C1027" s="50">
        <v>0</v>
      </c>
      <c r="D1027" s="50">
        <v>0</v>
      </c>
      <c r="E1027" s="50">
        <v>0</v>
      </c>
      <c r="F1027" s="50">
        <v>0</v>
      </c>
      <c r="G1027" s="50">
        <v>0</v>
      </c>
      <c r="H1027" s="50">
        <v>0</v>
      </c>
      <c r="I1027" s="50">
        <v>0</v>
      </c>
      <c r="J1027" s="50">
        <v>0</v>
      </c>
      <c r="K1027" s="50">
        <v>0</v>
      </c>
      <c r="L1027" s="50">
        <v>0</v>
      </c>
      <c r="M1027" s="50">
        <v>0</v>
      </c>
      <c r="N1027" s="50">
        <v>0</v>
      </c>
      <c r="O1027" s="50">
        <v>0</v>
      </c>
      <c r="P1027" s="50">
        <v>0</v>
      </c>
      <c r="Q1027" s="50">
        <v>0</v>
      </c>
      <c r="R1027" s="50">
        <v>0</v>
      </c>
    </row>
    <row r="1028" spans="1:18" x14ac:dyDescent="0.25">
      <c r="A1028" s="91" t="s">
        <v>665</v>
      </c>
      <c r="B1028" s="163" t="s">
        <v>317</v>
      </c>
      <c r="C1028" s="50">
        <v>0</v>
      </c>
      <c r="D1028" s="50">
        <v>0</v>
      </c>
      <c r="E1028" s="85">
        <v>0</v>
      </c>
      <c r="F1028" s="50">
        <v>6608</v>
      </c>
      <c r="G1028" s="50">
        <v>0</v>
      </c>
      <c r="H1028" s="50">
        <v>0</v>
      </c>
      <c r="I1028" s="50">
        <v>0</v>
      </c>
      <c r="J1028" s="50">
        <v>0</v>
      </c>
      <c r="K1028" s="50">
        <v>0</v>
      </c>
      <c r="L1028" s="50">
        <v>0</v>
      </c>
      <c r="M1028" s="50">
        <v>0</v>
      </c>
      <c r="N1028" s="50"/>
      <c r="O1028" s="50">
        <v>0</v>
      </c>
      <c r="P1028" s="50">
        <v>0</v>
      </c>
      <c r="Q1028" s="50">
        <v>0</v>
      </c>
      <c r="R1028" s="50">
        <v>0</v>
      </c>
    </row>
    <row r="1029" spans="1:18" x14ac:dyDescent="0.25">
      <c r="A1029" s="91" t="s">
        <v>666</v>
      </c>
      <c r="B1029" s="163" t="s">
        <v>317</v>
      </c>
      <c r="C1029" s="54">
        <v>9458</v>
      </c>
      <c r="D1029" s="50"/>
      <c r="E1029" s="50"/>
      <c r="F1029" s="50"/>
      <c r="G1029" s="50"/>
      <c r="H1029" s="50"/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</row>
    <row r="1030" spans="1:18" x14ac:dyDescent="0.25">
      <c r="A1030" s="137" t="s">
        <v>667</v>
      </c>
      <c r="B1030" s="163" t="s">
        <v>317</v>
      </c>
      <c r="C1030" s="54"/>
      <c r="D1030" s="85">
        <v>2867</v>
      </c>
      <c r="E1030" s="50"/>
      <c r="F1030" s="50"/>
      <c r="G1030" s="50"/>
      <c r="H1030" s="50"/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</row>
    <row r="1031" spans="1:18" x14ac:dyDescent="0.25">
      <c r="A1031" s="93" t="s">
        <v>668</v>
      </c>
      <c r="B1031" s="96" t="s">
        <v>330</v>
      </c>
      <c r="C1031" s="50"/>
      <c r="D1031" s="50"/>
      <c r="E1031" s="50"/>
      <c r="F1031" s="50"/>
      <c r="G1031" s="50"/>
      <c r="H1031" s="50"/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</row>
    <row r="1032" spans="1:18" x14ac:dyDescent="0.25">
      <c r="A1032" s="93" t="s">
        <v>669</v>
      </c>
      <c r="B1032" s="96" t="s">
        <v>330</v>
      </c>
      <c r="C1032" s="54">
        <v>2200</v>
      </c>
      <c r="D1032" s="50"/>
      <c r="E1032" s="50"/>
      <c r="F1032" s="50"/>
      <c r="G1032" s="50"/>
      <c r="H1032" s="50"/>
      <c r="I1032" s="50"/>
      <c r="J1032" s="50"/>
      <c r="K1032" s="50"/>
      <c r="L1032" s="50"/>
      <c r="M1032" s="50"/>
      <c r="N1032" s="67"/>
    </row>
    <row r="1033" spans="1:18" x14ac:dyDescent="0.25">
      <c r="A1033" s="93" t="s">
        <v>670</v>
      </c>
      <c r="B1033" s="96" t="s">
        <v>330</v>
      </c>
      <c r="C1033" s="50"/>
      <c r="D1033" s="50"/>
      <c r="E1033" s="50"/>
      <c r="F1033" s="50"/>
      <c r="G1033" s="50"/>
      <c r="H1033" s="50"/>
      <c r="I1033" s="50"/>
      <c r="J1033" s="50"/>
      <c r="K1033" s="50"/>
      <c r="L1033" s="50"/>
      <c r="M1033" s="50"/>
      <c r="N1033" s="50">
        <v>0</v>
      </c>
      <c r="O1033" s="50"/>
      <c r="P1033" s="50"/>
      <c r="Q1033" s="50"/>
      <c r="R1033" s="50"/>
    </row>
    <row r="1034" spans="1:18" x14ac:dyDescent="0.25">
      <c r="A1034" s="87" t="s">
        <v>322</v>
      </c>
      <c r="B1034" s="96" t="s">
        <v>323</v>
      </c>
      <c r="C1034" s="50"/>
      <c r="D1034" s="50"/>
      <c r="E1034" s="50"/>
      <c r="F1034" s="50"/>
      <c r="G1034" s="50"/>
      <c r="H1034" s="50"/>
      <c r="I1034" s="50"/>
      <c r="J1034" s="50"/>
      <c r="K1034" s="50"/>
      <c r="L1034" s="50"/>
      <c r="M1034" s="50"/>
      <c r="N1034" s="50"/>
      <c r="O1034" s="50"/>
      <c r="P1034" s="89">
        <v>30000</v>
      </c>
      <c r="Q1034" s="50"/>
      <c r="R1034" s="50"/>
    </row>
    <row r="1035" spans="1:18" x14ac:dyDescent="0.25">
      <c r="A1035" s="87" t="s">
        <v>324</v>
      </c>
      <c r="B1035" s="96" t="s">
        <v>323</v>
      </c>
      <c r="C1035" s="50"/>
      <c r="D1035" s="50"/>
      <c r="E1035" s="50"/>
      <c r="F1035" s="50"/>
      <c r="G1035" s="50"/>
      <c r="H1035" s="50"/>
      <c r="I1035" s="50"/>
      <c r="J1035" s="50"/>
      <c r="K1035" s="50"/>
      <c r="L1035" s="50"/>
      <c r="M1035" s="89">
        <v>30000</v>
      </c>
      <c r="N1035" s="50"/>
      <c r="O1035" s="50"/>
      <c r="P1035" s="89">
        <v>40000</v>
      </c>
      <c r="Q1035" s="50"/>
      <c r="R1035" s="50"/>
    </row>
    <row r="1036" spans="1:18" x14ac:dyDescent="0.25">
      <c r="A1036" s="41" t="s">
        <v>671</v>
      </c>
      <c r="B1036" s="44"/>
      <c r="C1036" s="50"/>
      <c r="D1036" s="50"/>
      <c r="E1036" s="50"/>
      <c r="F1036" s="50"/>
      <c r="G1036" s="50"/>
      <c r="H1036" s="50"/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</row>
    <row r="1037" spans="1:18" x14ac:dyDescent="0.25">
      <c r="A1037" s="91" t="s">
        <v>672</v>
      </c>
      <c r="B1037" s="163" t="s">
        <v>317</v>
      </c>
      <c r="C1037" s="50">
        <v>0</v>
      </c>
      <c r="D1037" s="50">
        <v>0</v>
      </c>
      <c r="E1037" s="50">
        <v>0</v>
      </c>
      <c r="F1037" s="50">
        <v>0</v>
      </c>
      <c r="G1037" s="50">
        <v>0</v>
      </c>
      <c r="H1037" s="50">
        <v>0</v>
      </c>
      <c r="I1037" s="50">
        <v>0</v>
      </c>
      <c r="J1037" s="50">
        <v>0</v>
      </c>
      <c r="K1037" s="50">
        <v>0</v>
      </c>
      <c r="L1037" s="50">
        <v>0</v>
      </c>
      <c r="M1037" s="50">
        <v>0</v>
      </c>
      <c r="N1037" s="50">
        <v>0</v>
      </c>
      <c r="O1037" s="50">
        <v>0</v>
      </c>
      <c r="P1037" s="50">
        <v>0</v>
      </c>
      <c r="Q1037" s="50">
        <v>0</v>
      </c>
      <c r="R1037" s="50">
        <v>0</v>
      </c>
    </row>
    <row r="1038" spans="1:18" x14ac:dyDescent="0.25">
      <c r="A1038" s="91" t="s">
        <v>673</v>
      </c>
      <c r="B1038" s="163" t="s">
        <v>317</v>
      </c>
      <c r="C1038" s="50">
        <v>0</v>
      </c>
      <c r="D1038" s="50">
        <v>0</v>
      </c>
      <c r="E1038" s="50">
        <v>0</v>
      </c>
      <c r="F1038" s="50">
        <v>0</v>
      </c>
      <c r="G1038" s="50">
        <v>0</v>
      </c>
      <c r="H1038" s="50">
        <v>0</v>
      </c>
      <c r="I1038" s="50">
        <v>0</v>
      </c>
      <c r="J1038" s="50">
        <v>0</v>
      </c>
      <c r="K1038" s="50">
        <v>0</v>
      </c>
      <c r="L1038" s="50">
        <v>0</v>
      </c>
      <c r="M1038" s="50">
        <v>0</v>
      </c>
      <c r="N1038" s="50">
        <v>0</v>
      </c>
      <c r="O1038" s="50">
        <v>0</v>
      </c>
      <c r="P1038" s="50">
        <v>0</v>
      </c>
      <c r="Q1038" s="50">
        <v>0</v>
      </c>
      <c r="R1038" s="50">
        <v>0</v>
      </c>
    </row>
    <row r="1039" spans="1:18" x14ac:dyDescent="0.25">
      <c r="A1039" s="91" t="s">
        <v>674</v>
      </c>
      <c r="B1039" s="163"/>
      <c r="C1039" s="54">
        <v>8500</v>
      </c>
      <c r="D1039" s="50">
        <v>15500</v>
      </c>
      <c r="E1039" s="50"/>
      <c r="F1039" s="50"/>
      <c r="G1039" s="50"/>
      <c r="H1039" s="50"/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</row>
    <row r="1040" spans="1:18" s="43" customFormat="1" x14ac:dyDescent="0.25">
      <c r="A1040" s="91" t="s">
        <v>675</v>
      </c>
      <c r="B1040" s="53"/>
      <c r="C1040" s="59"/>
      <c r="D1040" s="50"/>
      <c r="E1040" s="50"/>
      <c r="F1040" s="50"/>
      <c r="G1040" s="50"/>
      <c r="H1040" s="50"/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</row>
    <row r="1041" spans="1:18" s="43" customFormat="1" x14ac:dyDescent="0.25">
      <c r="A1041" s="91" t="s">
        <v>676</v>
      </c>
      <c r="B1041" s="53"/>
      <c r="C1041" s="59">
        <v>62413</v>
      </c>
      <c r="D1041" s="50"/>
      <c r="E1041" s="50"/>
      <c r="F1041" s="50"/>
      <c r="G1041" s="50"/>
      <c r="H1041" s="50"/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</row>
    <row r="1042" spans="1:18" x14ac:dyDescent="0.25">
      <c r="A1042" s="91" t="s">
        <v>677</v>
      </c>
      <c r="B1042" s="163" t="s">
        <v>317</v>
      </c>
      <c r="C1042" s="50"/>
      <c r="D1042" s="50"/>
      <c r="E1042" s="50"/>
      <c r="F1042" s="50"/>
      <c r="G1042" s="50"/>
      <c r="H1042" s="50"/>
      <c r="I1042" s="50"/>
      <c r="J1042" s="50"/>
      <c r="K1042" s="50"/>
      <c r="L1042" s="50"/>
      <c r="M1042" s="50"/>
      <c r="N1042" s="50"/>
    </row>
    <row r="1043" spans="1:18" x14ac:dyDescent="0.25">
      <c r="A1043" s="91" t="s">
        <v>678</v>
      </c>
      <c r="B1043" s="163" t="s">
        <v>317</v>
      </c>
      <c r="C1043" s="50"/>
      <c r="D1043" s="50"/>
      <c r="E1043" s="50"/>
      <c r="F1043" s="50"/>
      <c r="G1043" s="50"/>
      <c r="H1043" s="50"/>
      <c r="I1043" s="50"/>
      <c r="J1043" s="50"/>
      <c r="K1043" s="50"/>
      <c r="L1043" s="50"/>
      <c r="M1043" s="50"/>
      <c r="N1043" s="50"/>
    </row>
    <row r="1044" spans="1:18" x14ac:dyDescent="0.25">
      <c r="A1044" s="91" t="s">
        <v>679</v>
      </c>
      <c r="B1044" s="163" t="s">
        <v>317</v>
      </c>
      <c r="C1044" s="50"/>
      <c r="D1044" s="85">
        <v>19660</v>
      </c>
      <c r="E1044" s="83">
        <v>54986</v>
      </c>
      <c r="F1044" s="83">
        <v>29747</v>
      </c>
      <c r="G1044" s="85">
        <v>5000</v>
      </c>
      <c r="H1044" s="85">
        <v>373418</v>
      </c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</row>
    <row r="1045" spans="1:18" x14ac:dyDescent="0.25">
      <c r="A1045" s="91" t="s">
        <v>680</v>
      </c>
      <c r="B1045" s="163" t="s">
        <v>317</v>
      </c>
      <c r="C1045" s="50">
        <v>22011</v>
      </c>
      <c r="D1045" s="50"/>
      <c r="E1045" s="50"/>
      <c r="F1045" s="50"/>
      <c r="G1045" s="50"/>
      <c r="H1045" s="50"/>
      <c r="I1045" s="50"/>
      <c r="J1045" s="50"/>
      <c r="K1045" s="50"/>
      <c r="L1045" s="50"/>
      <c r="M1045" s="50"/>
      <c r="N1045" s="50"/>
      <c r="O1045" s="50">
        <v>0</v>
      </c>
      <c r="P1045" s="50">
        <v>0</v>
      </c>
      <c r="Q1045" s="50">
        <v>0</v>
      </c>
      <c r="R1045" s="50">
        <v>0</v>
      </c>
    </row>
    <row r="1046" spans="1:18" x14ac:dyDescent="0.25">
      <c r="A1046" s="91" t="s">
        <v>681</v>
      </c>
      <c r="B1046" s="163" t="s">
        <v>317</v>
      </c>
      <c r="C1046" s="50"/>
      <c r="D1046" s="50"/>
      <c r="E1046" s="50"/>
      <c r="F1046" s="85">
        <v>0</v>
      </c>
      <c r="G1046" s="85">
        <v>12418</v>
      </c>
      <c r="H1046" s="50"/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</row>
    <row r="1047" spans="1:18" x14ac:dyDescent="0.25">
      <c r="A1047" s="52" t="s">
        <v>682</v>
      </c>
      <c r="B1047" s="53"/>
      <c r="C1047" s="50"/>
      <c r="D1047" s="50"/>
      <c r="E1047" s="50"/>
      <c r="F1047" s="50"/>
      <c r="G1047" s="50"/>
      <c r="H1047" s="50"/>
      <c r="I1047" s="50"/>
      <c r="J1047" s="50"/>
      <c r="K1047" s="50"/>
      <c r="L1047" s="50"/>
      <c r="M1047" s="50"/>
      <c r="N1047" s="50"/>
    </row>
    <row r="1048" spans="1:18" x14ac:dyDescent="0.25">
      <c r="A1048" s="52" t="s">
        <v>683</v>
      </c>
      <c r="B1048" s="53"/>
      <c r="C1048" s="50">
        <v>7753</v>
      </c>
      <c r="D1048" s="50"/>
      <c r="E1048" s="50"/>
      <c r="F1048" s="50"/>
      <c r="G1048" s="50"/>
      <c r="H1048" s="50"/>
      <c r="I1048" s="50"/>
      <c r="J1048" s="50"/>
      <c r="K1048" s="50"/>
      <c r="L1048" s="50"/>
      <c r="M1048" s="50"/>
      <c r="N1048" s="50"/>
    </row>
    <row r="1049" spans="1:18" x14ac:dyDescent="0.25">
      <c r="A1049" s="93" t="s">
        <v>684</v>
      </c>
      <c r="B1049" s="96" t="s">
        <v>330</v>
      </c>
      <c r="C1049" s="50"/>
      <c r="D1049" s="50"/>
      <c r="E1049" s="50"/>
      <c r="F1049" s="50"/>
      <c r="G1049" s="50"/>
      <c r="H1049" s="50"/>
      <c r="I1049" s="50"/>
      <c r="J1049" s="50"/>
      <c r="K1049" s="50"/>
      <c r="L1049" s="50"/>
      <c r="M1049" s="50"/>
      <c r="N1049" s="50"/>
    </row>
    <row r="1050" spans="1:18" x14ac:dyDescent="0.25">
      <c r="A1050" s="93" t="s">
        <v>685</v>
      </c>
      <c r="B1050" s="96" t="s">
        <v>330</v>
      </c>
      <c r="C1050" s="50"/>
      <c r="D1050" s="50"/>
      <c r="E1050" s="50"/>
      <c r="F1050" s="50"/>
      <c r="G1050" s="50"/>
      <c r="H1050" s="50"/>
      <c r="I1050" s="50"/>
      <c r="J1050" s="50"/>
      <c r="K1050" s="50"/>
      <c r="L1050" s="50"/>
      <c r="M1050" s="50"/>
      <c r="N1050" s="50"/>
    </row>
    <row r="1051" spans="1:18" x14ac:dyDescent="0.25">
      <c r="A1051" s="93" t="s">
        <v>686</v>
      </c>
      <c r="B1051" s="96" t="s">
        <v>330</v>
      </c>
      <c r="C1051" s="50"/>
      <c r="D1051" s="50"/>
      <c r="E1051" s="50"/>
      <c r="F1051" s="50"/>
      <c r="G1051" s="50"/>
      <c r="H1051" s="50"/>
      <c r="I1051" s="50"/>
      <c r="J1051" s="50"/>
      <c r="K1051" s="50"/>
      <c r="L1051" s="50"/>
      <c r="M1051" s="50"/>
      <c r="N1051" s="50">
        <v>0</v>
      </c>
    </row>
    <row r="1052" spans="1:18" x14ac:dyDescent="0.25">
      <c r="A1052" s="93" t="s">
        <v>687</v>
      </c>
      <c r="B1052" s="96" t="s">
        <v>330</v>
      </c>
      <c r="C1052" s="50"/>
      <c r="D1052" s="50"/>
      <c r="E1052" s="50"/>
      <c r="F1052" s="50"/>
      <c r="G1052" s="50"/>
      <c r="H1052" s="50"/>
      <c r="I1052" s="50"/>
      <c r="J1052" s="50"/>
      <c r="K1052" s="50"/>
      <c r="L1052" s="50"/>
      <c r="M1052" s="50"/>
      <c r="N1052" s="50">
        <v>0</v>
      </c>
    </row>
    <row r="1053" spans="1:18" x14ac:dyDescent="0.25">
      <c r="A1053" s="93" t="s">
        <v>688</v>
      </c>
      <c r="B1053" s="96" t="s">
        <v>330</v>
      </c>
      <c r="C1053" s="50"/>
      <c r="D1053" s="50"/>
      <c r="E1053" s="50"/>
      <c r="F1053" s="50"/>
      <c r="G1053" s="50"/>
      <c r="H1053" s="50"/>
      <c r="I1053" s="50"/>
      <c r="J1053" s="50"/>
      <c r="K1053" s="50"/>
      <c r="L1053" s="50"/>
      <c r="M1053" s="50"/>
      <c r="N1053" s="50"/>
    </row>
    <row r="1054" spans="1:18" x14ac:dyDescent="0.25">
      <c r="A1054" s="93" t="s">
        <v>355</v>
      </c>
      <c r="B1054" s="96" t="s">
        <v>330</v>
      </c>
      <c r="C1054" s="50"/>
      <c r="D1054" s="50"/>
      <c r="E1054" s="50"/>
      <c r="F1054" s="50"/>
      <c r="G1054" s="50"/>
      <c r="H1054" s="50"/>
      <c r="I1054" s="50"/>
      <c r="J1054" s="50"/>
      <c r="K1054" s="50"/>
      <c r="L1054" s="50"/>
      <c r="M1054" s="50"/>
      <c r="N1054" s="50">
        <v>0</v>
      </c>
    </row>
    <row r="1055" spans="1:18" x14ac:dyDescent="0.25">
      <c r="A1055" s="87" t="s">
        <v>322</v>
      </c>
      <c r="B1055" s="96" t="s">
        <v>323</v>
      </c>
      <c r="C1055" s="50"/>
      <c r="D1055" s="50"/>
      <c r="E1055" s="50"/>
      <c r="F1055" s="50"/>
      <c r="G1055" s="50"/>
      <c r="H1055" s="50"/>
      <c r="I1055" s="50"/>
      <c r="J1055" s="50"/>
      <c r="K1055" s="50"/>
      <c r="L1055" s="89">
        <v>150000</v>
      </c>
      <c r="M1055" s="50"/>
      <c r="N1055" s="50"/>
      <c r="O1055" s="50"/>
    </row>
    <row r="1056" spans="1:18" x14ac:dyDescent="0.25">
      <c r="A1056" s="87" t="s">
        <v>324</v>
      </c>
      <c r="B1056" s="96" t="s">
        <v>323</v>
      </c>
      <c r="C1056" s="50"/>
      <c r="D1056" s="50"/>
      <c r="E1056" s="50"/>
      <c r="F1056" s="50"/>
      <c r="G1056" s="50"/>
      <c r="H1056" s="50"/>
      <c r="I1056" s="50"/>
      <c r="J1056" s="50"/>
      <c r="K1056" s="50"/>
      <c r="L1056" s="50"/>
      <c r="M1056" s="89">
        <v>100000</v>
      </c>
      <c r="N1056" s="50"/>
      <c r="O1056" s="50"/>
    </row>
    <row r="1057" spans="1:18" x14ac:dyDescent="0.25">
      <c r="A1057" s="87" t="s">
        <v>355</v>
      </c>
      <c r="B1057" s="96" t="s">
        <v>323</v>
      </c>
      <c r="C1057" s="50"/>
      <c r="D1057" s="50"/>
      <c r="E1057" s="50"/>
      <c r="F1057" s="50"/>
      <c r="G1057" s="50"/>
      <c r="H1057" s="50"/>
      <c r="I1057" s="50"/>
      <c r="J1057" s="50"/>
      <c r="K1057" s="50"/>
      <c r="L1057" s="50"/>
      <c r="M1057" s="50"/>
      <c r="N1057" s="50"/>
      <c r="O1057" s="50"/>
      <c r="R1057" s="89">
        <v>50000</v>
      </c>
    </row>
    <row r="1058" spans="1:18" s="43" customFormat="1" x14ac:dyDescent="0.25">
      <c r="A1058" s="173" t="s">
        <v>689</v>
      </c>
      <c r="B1058" s="62" t="s">
        <v>245</v>
      </c>
      <c r="C1058" s="50"/>
      <c r="D1058" s="50"/>
      <c r="E1058" s="50"/>
      <c r="F1058" s="50"/>
      <c r="G1058" s="50"/>
      <c r="H1058" s="63">
        <v>50000</v>
      </c>
      <c r="I1058" s="50"/>
      <c r="J1058" s="50"/>
      <c r="K1058" s="50"/>
      <c r="L1058" s="50"/>
      <c r="M1058" s="50"/>
      <c r="N1058" s="50"/>
      <c r="O1058" s="50"/>
    </row>
    <row r="1059" spans="1:18" s="43" customFormat="1" x14ac:dyDescent="0.25">
      <c r="A1059" s="174" t="s">
        <v>690</v>
      </c>
      <c r="B1059" s="175" t="s">
        <v>691</v>
      </c>
      <c r="C1059" s="50"/>
      <c r="D1059" s="50"/>
      <c r="E1059" s="176">
        <v>1900</v>
      </c>
      <c r="F1059" s="50"/>
      <c r="G1059" s="50"/>
      <c r="H1059" s="50"/>
      <c r="I1059" s="176">
        <v>72500</v>
      </c>
      <c r="J1059" s="176">
        <v>75000</v>
      </c>
      <c r="K1059" s="176">
        <v>62500</v>
      </c>
      <c r="L1059" s="176">
        <v>52500</v>
      </c>
      <c r="M1059" s="176">
        <v>45000</v>
      </c>
      <c r="N1059" s="177">
        <v>82500</v>
      </c>
      <c r="O1059" s="177">
        <v>82500</v>
      </c>
      <c r="P1059" s="177">
        <v>82500</v>
      </c>
      <c r="Q1059" s="177">
        <v>82500</v>
      </c>
      <c r="R1059" s="177">
        <v>82500</v>
      </c>
    </row>
    <row r="1060" spans="1:18" s="43" customFormat="1" x14ac:dyDescent="0.25">
      <c r="A1060" s="178" t="s">
        <v>692</v>
      </c>
      <c r="B1060" s="53"/>
      <c r="C1060" s="50"/>
      <c r="D1060" s="50"/>
      <c r="E1060" s="50"/>
      <c r="F1060" s="50"/>
      <c r="G1060" s="50"/>
      <c r="H1060" s="50"/>
      <c r="I1060" s="50"/>
      <c r="J1060" s="50"/>
      <c r="K1060" s="50"/>
      <c r="L1060" s="50"/>
      <c r="M1060" s="50"/>
      <c r="N1060" s="50"/>
      <c r="O1060" s="50"/>
    </row>
    <row r="1061" spans="1:18" s="43" customFormat="1" x14ac:dyDescent="0.25">
      <c r="A1061" s="87" t="s">
        <v>693</v>
      </c>
      <c r="B1061" s="96" t="s">
        <v>323</v>
      </c>
      <c r="C1061" s="50"/>
      <c r="D1061" s="50"/>
      <c r="E1061" s="50"/>
      <c r="F1061" s="50"/>
      <c r="G1061" s="50"/>
      <c r="H1061" s="50"/>
      <c r="I1061" s="89">
        <v>150000</v>
      </c>
      <c r="J1061" s="50"/>
      <c r="K1061" s="50"/>
      <c r="L1061" s="50"/>
      <c r="M1061" s="50"/>
      <c r="N1061" s="50"/>
      <c r="O1061" s="50"/>
    </row>
    <row r="1062" spans="1:18" s="43" customFormat="1" x14ac:dyDescent="0.25">
      <c r="A1062" s="179"/>
      <c r="B1062" s="53"/>
      <c r="C1062" s="50"/>
      <c r="D1062" s="50"/>
      <c r="E1062" s="50"/>
      <c r="F1062" s="50"/>
      <c r="G1062" s="50"/>
      <c r="H1062" s="50"/>
      <c r="I1062" s="50"/>
      <c r="J1062" s="50"/>
      <c r="K1062" s="50"/>
      <c r="L1062" s="50"/>
      <c r="M1062" s="50"/>
      <c r="N1062" s="50"/>
      <c r="O1062" s="50"/>
    </row>
    <row r="1063" spans="1:18" x14ac:dyDescent="0.25">
      <c r="A1063" s="52"/>
      <c r="B1063" s="53"/>
      <c r="C1063" s="50"/>
      <c r="D1063" s="50"/>
      <c r="E1063" s="50"/>
      <c r="F1063" s="50"/>
      <c r="G1063" s="50"/>
      <c r="H1063" s="50"/>
      <c r="I1063" s="50"/>
      <c r="J1063" s="50"/>
      <c r="K1063" s="50"/>
      <c r="L1063" s="50"/>
      <c r="M1063" s="50"/>
      <c r="N1063" s="50"/>
      <c r="O1063" s="50"/>
    </row>
    <row r="1064" spans="1:18" x14ac:dyDescent="0.25">
      <c r="A1064" s="41" t="s">
        <v>107</v>
      </c>
      <c r="B1064" s="44"/>
      <c r="C1064" s="51">
        <f t="shared" ref="C1064:R1064" si="552">SUM(C1013:C1063)</f>
        <v>112335</v>
      </c>
      <c r="D1064" s="51">
        <f t="shared" si="552"/>
        <v>38027</v>
      </c>
      <c r="E1064" s="51">
        <f t="shared" si="552"/>
        <v>75004</v>
      </c>
      <c r="F1064" s="51">
        <f t="shared" si="552"/>
        <v>74918</v>
      </c>
      <c r="G1064" s="51">
        <f t="shared" si="552"/>
        <v>17418</v>
      </c>
      <c r="H1064" s="51">
        <f t="shared" si="552"/>
        <v>423418</v>
      </c>
      <c r="I1064" s="51">
        <f>SUM(I1013:I1063)</f>
        <v>247500</v>
      </c>
      <c r="J1064" s="51">
        <f t="shared" si="552"/>
        <v>75000</v>
      </c>
      <c r="K1064" s="51">
        <f t="shared" si="552"/>
        <v>87500</v>
      </c>
      <c r="L1064" s="51">
        <f t="shared" si="552"/>
        <v>202500</v>
      </c>
      <c r="M1064" s="51">
        <f t="shared" si="552"/>
        <v>175000</v>
      </c>
      <c r="N1064" s="51">
        <f t="shared" si="552"/>
        <v>82500</v>
      </c>
      <c r="O1064" s="51">
        <f t="shared" si="552"/>
        <v>82500</v>
      </c>
      <c r="P1064" s="51">
        <f t="shared" si="552"/>
        <v>172500</v>
      </c>
      <c r="Q1064" s="51">
        <f t="shared" si="552"/>
        <v>82500</v>
      </c>
      <c r="R1064" s="51">
        <f t="shared" si="552"/>
        <v>132500</v>
      </c>
    </row>
    <row r="1065" spans="1:18" x14ac:dyDescent="0.25">
      <c r="A1065" s="41"/>
      <c r="B1065" s="44"/>
      <c r="C1065" s="50"/>
      <c r="D1065" s="50"/>
      <c r="E1065" s="50"/>
      <c r="F1065" s="50"/>
      <c r="G1065" s="50"/>
      <c r="H1065" s="50"/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</row>
    <row r="1066" spans="1:18" x14ac:dyDescent="0.25">
      <c r="A1066" s="41" t="s">
        <v>694</v>
      </c>
      <c r="B1066" s="44"/>
      <c r="C1066" s="51">
        <f t="shared" ref="C1066:R1066" si="553">C1064+C1003-C977-C1009</f>
        <v>284138</v>
      </c>
      <c r="D1066" s="51">
        <f t="shared" si="553"/>
        <v>234595</v>
      </c>
      <c r="E1066" s="51">
        <f t="shared" si="553"/>
        <v>282427</v>
      </c>
      <c r="F1066" s="51">
        <f t="shared" si="553"/>
        <v>302771</v>
      </c>
      <c r="G1066" s="51">
        <f t="shared" si="553"/>
        <v>235158</v>
      </c>
      <c r="H1066" s="51">
        <f t="shared" si="553"/>
        <v>444268</v>
      </c>
      <c r="I1066" s="51">
        <f t="shared" si="553"/>
        <v>320627.25000000012</v>
      </c>
      <c r="J1066" s="51">
        <f t="shared" si="553"/>
        <v>150908.83875000011</v>
      </c>
      <c r="K1066" s="51">
        <f t="shared" si="553"/>
        <v>166198.98960375006</v>
      </c>
      <c r="L1066" s="51">
        <f t="shared" si="553"/>
        <v>285092.42928822374</v>
      </c>
      <c r="M1066" s="51">
        <f t="shared" si="553"/>
        <v>260897.55245721631</v>
      </c>
      <c r="N1066" s="51">
        <f t="shared" si="553"/>
        <v>171519.11196433136</v>
      </c>
      <c r="O1066" s="51">
        <f t="shared" si="553"/>
        <v>175125.27778091747</v>
      </c>
      <c r="P1066" s="51">
        <f t="shared" si="553"/>
        <v>268871.56288504653</v>
      </c>
      <c r="Q1066" s="51">
        <f t="shared" si="553"/>
        <v>182776.43117370189</v>
      </c>
      <c r="R1066" s="51">
        <f t="shared" si="553"/>
        <v>235425.08093581913</v>
      </c>
    </row>
    <row r="1067" spans="1:18" x14ac:dyDescent="0.25">
      <c r="A1067" s="41"/>
      <c r="B1067" s="44"/>
      <c r="C1067" s="50"/>
      <c r="D1067" s="50"/>
      <c r="E1067" s="50"/>
      <c r="F1067" s="50"/>
      <c r="G1067" s="50"/>
      <c r="H1067" s="50"/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</row>
    <row r="1068" spans="1:18" x14ac:dyDescent="0.25">
      <c r="A1068" s="41" t="s">
        <v>695</v>
      </c>
      <c r="B1068" s="44"/>
      <c r="C1068" s="50"/>
      <c r="D1068" s="50"/>
      <c r="E1068" s="50"/>
      <c r="F1068" s="50"/>
      <c r="G1068" s="50"/>
      <c r="H1068" s="50"/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</row>
    <row r="1069" spans="1:18" x14ac:dyDescent="0.25">
      <c r="A1069" s="41"/>
      <c r="B1069" s="44"/>
      <c r="C1069" s="50"/>
      <c r="D1069" s="50"/>
      <c r="E1069" s="50"/>
      <c r="F1069" s="50"/>
      <c r="G1069" s="50"/>
      <c r="H1069" s="50"/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</row>
    <row r="1070" spans="1:18" x14ac:dyDescent="0.25">
      <c r="A1070" s="41" t="s">
        <v>202</v>
      </c>
      <c r="B1070" s="44"/>
      <c r="C1070" s="50"/>
      <c r="D1070" s="50"/>
      <c r="E1070" s="50"/>
      <c r="F1070" s="50"/>
      <c r="G1070" s="50"/>
      <c r="H1070" s="50"/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</row>
    <row r="1071" spans="1:18" x14ac:dyDescent="0.25">
      <c r="C1071" s="50"/>
      <c r="D1071" s="50"/>
      <c r="E1071" s="50"/>
      <c r="F1071" s="50"/>
      <c r="G1071" s="50"/>
      <c r="H1071" s="50"/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</row>
    <row r="1072" spans="1:18" x14ac:dyDescent="0.25">
      <c r="A1072" s="52" t="s">
        <v>696</v>
      </c>
      <c r="B1072" s="53"/>
      <c r="C1072" s="52">
        <v>1142</v>
      </c>
      <c r="D1072" s="54">
        <v>91</v>
      </c>
      <c r="E1072" s="54">
        <v>132</v>
      </c>
      <c r="F1072" s="54">
        <v>164</v>
      </c>
      <c r="G1072" s="54">
        <v>91</v>
      </c>
      <c r="H1072" s="54">
        <v>200</v>
      </c>
      <c r="I1072" s="54">
        <f>H1072*1.023</f>
        <v>204.6</v>
      </c>
      <c r="J1072" s="54">
        <f t="shared" ref="J1072:K1072" si="554">I1072*1.024</f>
        <v>209.5104</v>
      </c>
      <c r="K1072" s="54">
        <f t="shared" si="554"/>
        <v>214.53864960000001</v>
      </c>
      <c r="L1072" s="54">
        <f t="shared" ref="L1072" si="555">K1072*1.023</f>
        <v>219.47303854079999</v>
      </c>
      <c r="M1072" s="54">
        <f t="shared" ref="M1072" si="556">L1072*1.022</f>
        <v>224.3014453886976</v>
      </c>
      <c r="N1072" s="54">
        <f t="shared" ref="N1072" si="557">M1072*1.023</f>
        <v>229.46037863263763</v>
      </c>
      <c r="O1072" s="54">
        <f t="shared" ref="O1072:P1072" si="558">N1072*1.025</f>
        <v>235.19688809845354</v>
      </c>
      <c r="P1072" s="54">
        <f t="shared" si="558"/>
        <v>241.07681030091487</v>
      </c>
      <c r="Q1072" s="54">
        <f t="shared" ref="Q1072:R1072" si="559">P1072*1.024</f>
        <v>246.86265374813684</v>
      </c>
      <c r="R1072" s="54">
        <f t="shared" si="559"/>
        <v>252.78735743809213</v>
      </c>
    </row>
    <row r="1073" spans="1:18" x14ac:dyDescent="0.25">
      <c r="A1073" s="43" t="s">
        <v>697</v>
      </c>
      <c r="B1073" s="53"/>
      <c r="C1073" s="52">
        <v>0</v>
      </c>
      <c r="D1073" s="54"/>
      <c r="E1073" s="54"/>
      <c r="F1073" s="54"/>
      <c r="G1073" s="54"/>
      <c r="H1073" s="54"/>
      <c r="I1073" s="54"/>
      <c r="J1073" s="54"/>
      <c r="K1073" s="54"/>
      <c r="L1073" s="54"/>
      <c r="M1073" s="54"/>
      <c r="N1073" s="54"/>
      <c r="O1073" s="54"/>
      <c r="P1073" s="54"/>
      <c r="Q1073" s="54"/>
      <c r="R1073" s="54"/>
    </row>
    <row r="1074" spans="1:18" x14ac:dyDescent="0.25">
      <c r="A1074" s="52" t="s">
        <v>698</v>
      </c>
      <c r="C1074" s="67">
        <v>26127</v>
      </c>
      <c r="D1074" s="50">
        <v>6490</v>
      </c>
      <c r="E1074">
        <v>2123</v>
      </c>
      <c r="F1074">
        <v>1920</v>
      </c>
      <c r="G1074">
        <v>1483</v>
      </c>
      <c r="H1074">
        <v>2500</v>
      </c>
      <c r="I1074" s="54">
        <f>H1074*1.023</f>
        <v>2557.5</v>
      </c>
      <c r="J1074" s="54">
        <f t="shared" ref="J1074:K1074" si="560">I1074*1.024</f>
        <v>2618.88</v>
      </c>
      <c r="K1074" s="54">
        <f t="shared" si="560"/>
        <v>2681.7331200000003</v>
      </c>
      <c r="L1074" s="54">
        <f t="shared" ref="L1074" si="561">K1074*1.023</f>
        <v>2743.4129817600001</v>
      </c>
      <c r="M1074" s="54">
        <f t="shared" ref="M1074" si="562">L1074*1.022</f>
        <v>2803.7680673587201</v>
      </c>
      <c r="N1074" s="54">
        <f t="shared" ref="N1074" si="563">M1074*1.023</f>
        <v>2868.2547329079703</v>
      </c>
      <c r="O1074" s="54">
        <f t="shared" ref="O1074:P1074" si="564">N1074*1.025</f>
        <v>2939.9611012306691</v>
      </c>
      <c r="P1074" s="54">
        <f t="shared" si="564"/>
        <v>3013.4601287614355</v>
      </c>
      <c r="Q1074" s="54">
        <f t="shared" ref="Q1074:R1074" si="565">P1074*1.024</f>
        <v>3085.78317185171</v>
      </c>
      <c r="R1074" s="54">
        <f t="shared" si="565"/>
        <v>3159.841967976151</v>
      </c>
    </row>
    <row r="1075" spans="1:18" x14ac:dyDescent="0.25">
      <c r="A1075" s="52" t="s">
        <v>699</v>
      </c>
      <c r="C1075" s="50"/>
      <c r="D1075" s="50"/>
      <c r="E1075">
        <v>31818</v>
      </c>
      <c r="F1075"/>
      <c r="G1075"/>
      <c r="H1075"/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</row>
    <row r="1076" spans="1:18" x14ac:dyDescent="0.25">
      <c r="A1076" s="41" t="s">
        <v>216</v>
      </c>
      <c r="B1076" s="44"/>
      <c r="C1076" s="51">
        <f t="shared" ref="C1076" si="566">SUM(C1071:C1074)</f>
        <v>27269</v>
      </c>
      <c r="D1076" s="51">
        <f t="shared" ref="D1076" si="567">SUM(D1071:D1074)</f>
        <v>6581</v>
      </c>
      <c r="E1076" s="51">
        <f>SUM(E1071:E1075)</f>
        <v>34073</v>
      </c>
      <c r="F1076" s="51">
        <f t="shared" ref="F1076:R1076" si="568">SUM(F1071:F1075)</f>
        <v>2084</v>
      </c>
      <c r="G1076" s="51">
        <f t="shared" si="568"/>
        <v>1574</v>
      </c>
      <c r="H1076" s="51">
        <f t="shared" si="568"/>
        <v>2700</v>
      </c>
      <c r="I1076" s="51">
        <f t="shared" si="568"/>
        <v>2762.1</v>
      </c>
      <c r="J1076" s="51">
        <f t="shared" si="568"/>
        <v>2828.3904000000002</v>
      </c>
      <c r="K1076" s="51">
        <f t="shared" si="568"/>
        <v>2896.2717696000004</v>
      </c>
      <c r="L1076" s="51">
        <f t="shared" si="568"/>
        <v>2962.8860203008003</v>
      </c>
      <c r="M1076" s="51">
        <f t="shared" si="568"/>
        <v>3028.0695127474178</v>
      </c>
      <c r="N1076" s="51">
        <f t="shared" si="568"/>
        <v>3097.7151115406077</v>
      </c>
      <c r="O1076" s="51">
        <f t="shared" si="568"/>
        <v>3175.1579893291228</v>
      </c>
      <c r="P1076" s="51">
        <f t="shared" si="568"/>
        <v>3254.5369390623505</v>
      </c>
      <c r="Q1076" s="51">
        <f t="shared" si="568"/>
        <v>3332.6458255998468</v>
      </c>
      <c r="R1076" s="51">
        <f t="shared" si="568"/>
        <v>3412.6293254142429</v>
      </c>
    </row>
    <row r="1077" spans="1:18" x14ac:dyDescent="0.25">
      <c r="C1077" s="50"/>
      <c r="D1077" s="50"/>
      <c r="E1077" s="50"/>
      <c r="F1077" s="50"/>
      <c r="G1077" s="50"/>
      <c r="H1077" s="50"/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</row>
    <row r="1078" spans="1:18" x14ac:dyDescent="0.25">
      <c r="A1078" s="41" t="s">
        <v>165</v>
      </c>
      <c r="B1078" s="44"/>
      <c r="C1078" s="50"/>
      <c r="D1078" s="50"/>
      <c r="E1078" s="50"/>
      <c r="F1078" s="50"/>
      <c r="G1078" s="50"/>
      <c r="H1078" s="50"/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</row>
    <row r="1079" spans="1:18" x14ac:dyDescent="0.25">
      <c r="C1079" s="50"/>
      <c r="D1079" s="50"/>
      <c r="E1079" s="50"/>
      <c r="F1079" s="50"/>
      <c r="G1079" s="50"/>
      <c r="H1079" s="50"/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</row>
    <row r="1080" spans="1:18" x14ac:dyDescent="0.25">
      <c r="A1080" s="52" t="s">
        <v>700</v>
      </c>
      <c r="B1080" s="53"/>
      <c r="C1080" s="59">
        <v>19539</v>
      </c>
      <c r="D1080" s="50">
        <v>11039</v>
      </c>
      <c r="E1080" s="50">
        <v>8960</v>
      </c>
      <c r="F1080" s="50">
        <v>5281</v>
      </c>
      <c r="G1080" s="50">
        <v>5239</v>
      </c>
      <c r="H1080" s="50">
        <v>7450</v>
      </c>
      <c r="I1080" s="54">
        <v>7625.4499999999989</v>
      </c>
      <c r="J1080" s="54">
        <v>7807.6920499999987</v>
      </c>
      <c r="K1080" s="54">
        <v>7994.2915604500004</v>
      </c>
      <c r="L1080" s="54">
        <v>8182.5637623828507</v>
      </c>
      <c r="M1080" s="54">
        <v>8370.8898536634915</v>
      </c>
      <c r="N1080" s="54">
        <v>8568.0498219540877</v>
      </c>
      <c r="O1080" s="54">
        <v>8779.013429748873</v>
      </c>
      <c r="P1080" s="54">
        <v>8996.8327137813831</v>
      </c>
      <c r="Q1080" s="54">
        <v>9218.6360516523473</v>
      </c>
      <c r="R1080" s="54">
        <v>9445.9198282324287</v>
      </c>
    </row>
    <row r="1081" spans="1:18" x14ac:dyDescent="0.25">
      <c r="A1081" s="52" t="s">
        <v>701</v>
      </c>
      <c r="B1081" s="53"/>
      <c r="C1081" s="59"/>
      <c r="D1081" s="50"/>
      <c r="E1081" s="50"/>
      <c r="F1081" s="50"/>
      <c r="G1081" s="67">
        <v>0</v>
      </c>
      <c r="H1081" s="67">
        <v>0</v>
      </c>
      <c r="I1081" s="50">
        <v>30000</v>
      </c>
      <c r="J1081" s="54">
        <f t="shared" ref="J1081:K1081" si="569">I1081*1.024</f>
        <v>30720</v>
      </c>
      <c r="K1081" s="54">
        <f t="shared" si="569"/>
        <v>31457.279999999999</v>
      </c>
      <c r="L1081" s="54">
        <f t="shared" ref="L1081" si="570">K1081*1.023</f>
        <v>32180.797439999995</v>
      </c>
      <c r="M1081" s="54">
        <f t="shared" ref="M1081" si="571">L1081*1.022</f>
        <v>32888.774983679992</v>
      </c>
      <c r="N1081" s="54">
        <f t="shared" ref="N1081" si="572">M1081*1.023</f>
        <v>33645.216808304627</v>
      </c>
      <c r="O1081" s="54">
        <f t="shared" ref="O1081:P1081" si="573">N1081*1.025</f>
        <v>34486.347228512241</v>
      </c>
      <c r="P1081" s="54">
        <f t="shared" si="573"/>
        <v>35348.505909225045</v>
      </c>
      <c r="Q1081" s="54">
        <f t="shared" ref="Q1081:R1081" si="574">P1081*1.024</f>
        <v>36196.870051046448</v>
      </c>
      <c r="R1081" s="54">
        <f t="shared" si="574"/>
        <v>37065.594932271561</v>
      </c>
    </row>
    <row r="1082" spans="1:18" x14ac:dyDescent="0.25">
      <c r="A1082" s="52" t="s">
        <v>702</v>
      </c>
      <c r="B1082" s="53"/>
      <c r="C1082" s="50">
        <v>0</v>
      </c>
      <c r="D1082" s="54">
        <f>C1082*1.028</f>
        <v>0</v>
      </c>
      <c r="E1082" s="54">
        <f>D1082*1.028</f>
        <v>0</v>
      </c>
      <c r="F1082" s="54"/>
      <c r="G1082" s="54"/>
      <c r="H1082" s="54"/>
      <c r="I1082" s="54"/>
      <c r="J1082" s="54"/>
      <c r="K1082" s="54"/>
      <c r="L1082" s="54"/>
      <c r="M1082" s="54"/>
      <c r="N1082" s="54">
        <v>0</v>
      </c>
      <c r="O1082" s="54">
        <v>0</v>
      </c>
      <c r="P1082" s="54">
        <v>0</v>
      </c>
      <c r="Q1082" s="54">
        <v>0</v>
      </c>
      <c r="R1082" s="54">
        <v>0</v>
      </c>
    </row>
    <row r="1083" spans="1:18" x14ac:dyDescent="0.25">
      <c r="A1083" s="52" t="s">
        <v>703</v>
      </c>
      <c r="B1083" s="53"/>
      <c r="C1083" s="50"/>
      <c r="D1083" s="50"/>
      <c r="E1083" s="50"/>
      <c r="F1083" s="50"/>
      <c r="G1083" s="50">
        <v>13</v>
      </c>
      <c r="H1083" s="50"/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</row>
    <row r="1084" spans="1:18" x14ac:dyDescent="0.25">
      <c r="A1084" s="43" t="s">
        <v>704</v>
      </c>
      <c r="C1084" s="59">
        <v>409363</v>
      </c>
      <c r="D1084" s="54">
        <v>404441</v>
      </c>
      <c r="E1084" s="54">
        <v>418841</v>
      </c>
      <c r="F1084" s="54">
        <v>423672</v>
      </c>
      <c r="G1084" s="54">
        <v>436367</v>
      </c>
      <c r="H1084" s="54">
        <v>418801</v>
      </c>
      <c r="I1084" s="54">
        <f>H1084*1.023</f>
        <v>428433.42299999995</v>
      </c>
      <c r="J1084" s="54">
        <f t="shared" ref="J1084:K1084" si="575">I1084*1.024</f>
        <v>438715.82515199995</v>
      </c>
      <c r="K1084" s="54">
        <f t="shared" si="575"/>
        <v>449245.00495564798</v>
      </c>
      <c r="L1084" s="54">
        <f t="shared" ref="L1084" si="576">K1084*1.023</f>
        <v>459577.64006962784</v>
      </c>
      <c r="M1084" s="54">
        <f t="shared" ref="M1084" si="577">L1084*1.022</f>
        <v>469688.34815115965</v>
      </c>
      <c r="N1084" s="54">
        <f t="shared" ref="N1084" si="578">M1084*1.023</f>
        <v>480491.1801586363</v>
      </c>
      <c r="O1084" s="54">
        <f t="shared" ref="O1084:P1084" si="579">N1084*1.025</f>
        <v>492503.45966260217</v>
      </c>
      <c r="P1084" s="54">
        <f t="shared" si="579"/>
        <v>504816.04615416715</v>
      </c>
      <c r="Q1084" s="54">
        <f t="shared" ref="Q1084:R1084" si="580">P1084*1.024</f>
        <v>516931.63126186718</v>
      </c>
      <c r="R1084" s="54">
        <f t="shared" si="580"/>
        <v>529337.99041215202</v>
      </c>
    </row>
    <row r="1085" spans="1:18" x14ac:dyDescent="0.25">
      <c r="C1085" s="50"/>
      <c r="D1085" s="50"/>
      <c r="E1085" s="50"/>
      <c r="F1085" s="50"/>
      <c r="G1085" s="50"/>
      <c r="H1085" s="50"/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</row>
    <row r="1086" spans="1:18" x14ac:dyDescent="0.25">
      <c r="A1086" s="41" t="s">
        <v>230</v>
      </c>
      <c r="B1086" s="44"/>
      <c r="C1086" s="51">
        <f t="shared" ref="C1086" si="581">SUM(C1080:C1085)</f>
        <v>428902</v>
      </c>
      <c r="D1086" s="51">
        <f t="shared" ref="D1086:R1086" si="582">SUM(D1080:D1085)</f>
        <v>415480</v>
      </c>
      <c r="E1086" s="51">
        <f t="shared" si="582"/>
        <v>427801</v>
      </c>
      <c r="F1086" s="51">
        <f t="shared" si="582"/>
        <v>428953</v>
      </c>
      <c r="G1086" s="51">
        <f t="shared" si="582"/>
        <v>441619</v>
      </c>
      <c r="H1086" s="51">
        <f t="shared" si="582"/>
        <v>426251</v>
      </c>
      <c r="I1086" s="51">
        <f t="shared" si="582"/>
        <v>466058.87299999996</v>
      </c>
      <c r="J1086" s="51">
        <f>SUM(J1080:J1085)</f>
        <v>477243.51720199996</v>
      </c>
      <c r="K1086" s="51">
        <f t="shared" si="582"/>
        <v>488696.57651609799</v>
      </c>
      <c r="L1086" s="51">
        <f t="shared" si="582"/>
        <v>499941.00127201068</v>
      </c>
      <c r="M1086" s="51">
        <f t="shared" si="582"/>
        <v>510948.01298850315</v>
      </c>
      <c r="N1086" s="51">
        <f t="shared" si="582"/>
        <v>522704.446788895</v>
      </c>
      <c r="O1086" s="51">
        <f t="shared" si="582"/>
        <v>535768.82032086328</v>
      </c>
      <c r="P1086" s="51">
        <f t="shared" si="582"/>
        <v>549161.38477717363</v>
      </c>
      <c r="Q1086" s="51">
        <f t="shared" si="582"/>
        <v>562347.13736456598</v>
      </c>
      <c r="R1086" s="51">
        <f t="shared" si="582"/>
        <v>575849.50517265603</v>
      </c>
    </row>
    <row r="1087" spans="1:18" x14ac:dyDescent="0.25">
      <c r="C1087" s="50"/>
      <c r="D1087" s="50"/>
      <c r="E1087" s="50"/>
      <c r="F1087" s="50"/>
      <c r="G1087" s="50"/>
      <c r="H1087" s="50"/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</row>
    <row r="1088" spans="1:18" x14ac:dyDescent="0.25">
      <c r="A1088" s="41" t="s">
        <v>705</v>
      </c>
      <c r="B1088" s="44"/>
      <c r="C1088" s="51">
        <f t="shared" ref="C1088:R1088" si="583">C1086-C1076</f>
        <v>401633</v>
      </c>
      <c r="D1088" s="51">
        <f t="shared" si="583"/>
        <v>408899</v>
      </c>
      <c r="E1088" s="51">
        <f t="shared" si="583"/>
        <v>393728</v>
      </c>
      <c r="F1088" s="51">
        <f t="shared" si="583"/>
        <v>426869</v>
      </c>
      <c r="G1088" s="51">
        <f t="shared" si="583"/>
        <v>440045</v>
      </c>
      <c r="H1088" s="51">
        <f t="shared" si="583"/>
        <v>423551</v>
      </c>
      <c r="I1088" s="51">
        <f t="shared" si="583"/>
        <v>463296.77299999999</v>
      </c>
      <c r="J1088" s="51">
        <f t="shared" si="583"/>
        <v>474415.12680199998</v>
      </c>
      <c r="K1088" s="51">
        <f t="shared" si="583"/>
        <v>485800.304746498</v>
      </c>
      <c r="L1088" s="51">
        <f t="shared" si="583"/>
        <v>496978.11525170988</v>
      </c>
      <c r="M1088" s="51">
        <f t="shared" si="583"/>
        <v>507919.94347575575</v>
      </c>
      <c r="N1088" s="51">
        <f t="shared" si="583"/>
        <v>519606.73167735437</v>
      </c>
      <c r="O1088" s="51">
        <f t="shared" si="583"/>
        <v>532593.6623315342</v>
      </c>
      <c r="P1088" s="51">
        <f t="shared" si="583"/>
        <v>545906.84783811134</v>
      </c>
      <c r="Q1088" s="51">
        <f t="shared" si="583"/>
        <v>559014.49153896607</v>
      </c>
      <c r="R1088" s="51">
        <f t="shared" si="583"/>
        <v>572436.87584724184</v>
      </c>
    </row>
    <row r="1089" spans="1:18" x14ac:dyDescent="0.25">
      <c r="C1089" s="50"/>
      <c r="D1089" s="50"/>
      <c r="E1089" s="50"/>
      <c r="F1089" s="50"/>
      <c r="G1089" s="50"/>
      <c r="H1089" s="50"/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</row>
    <row r="1090" spans="1:18" x14ac:dyDescent="0.25">
      <c r="A1090" s="41" t="s">
        <v>706</v>
      </c>
      <c r="B1090" s="44"/>
      <c r="C1090" s="51">
        <f>C434+C542+C580+C669+C690+C962+C1066+C1088</f>
        <v>2702222</v>
      </c>
      <c r="D1090" s="51">
        <f>D434+D542+D580+D669+D690+D962+D1066+D1088</f>
        <v>2468380</v>
      </c>
      <c r="E1090" s="51">
        <f>E434+E542+E580+E669+E690+E962+E1066+E1088</f>
        <v>2427592.08</v>
      </c>
      <c r="F1090" s="51">
        <f>F434+F542+F580+F669+F690+F962+F1066+F1088</f>
        <v>2824265.3200000003</v>
      </c>
      <c r="G1090" s="51">
        <f t="shared" ref="G1090:R1090" si="584">G434+G542+G580+G669+G690+G962+G1066+G1088</f>
        <v>2187051</v>
      </c>
      <c r="H1090" s="51">
        <f t="shared" si="584"/>
        <v>2877733.6957668001</v>
      </c>
      <c r="I1090" s="51">
        <f t="shared" si="584"/>
        <v>3272606.0660784161</v>
      </c>
      <c r="J1090" s="51">
        <f t="shared" si="584"/>
        <v>3369635.5414274195</v>
      </c>
      <c r="K1090" s="51">
        <f t="shared" si="584"/>
        <v>3321609.3359417072</v>
      </c>
      <c r="L1090" s="51">
        <f t="shared" si="584"/>
        <v>3495205.035001819</v>
      </c>
      <c r="M1090" s="51">
        <f t="shared" si="584"/>
        <v>3533491.6193832387</v>
      </c>
      <c r="N1090" s="51">
        <f t="shared" si="584"/>
        <v>3685816.4723680359</v>
      </c>
      <c r="O1090" s="51">
        <f t="shared" si="584"/>
        <v>3708277.2132516471</v>
      </c>
      <c r="P1090" s="51">
        <f t="shared" si="584"/>
        <v>3820739.8702959535</v>
      </c>
      <c r="Q1090" s="51">
        <f t="shared" si="584"/>
        <v>3917920.6783553329</v>
      </c>
      <c r="R1090" s="51">
        <f t="shared" si="584"/>
        <v>4035989.0023586033</v>
      </c>
    </row>
    <row r="1091" spans="1:18" x14ac:dyDescent="0.25">
      <c r="C1091" s="50"/>
      <c r="D1091" s="50"/>
      <c r="E1091" s="50"/>
      <c r="F1091" s="50"/>
      <c r="G1091" s="50"/>
      <c r="H1091" s="50"/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</row>
    <row r="1092" spans="1:18" x14ac:dyDescent="0.25">
      <c r="C1092" s="50"/>
      <c r="D1092" s="50"/>
      <c r="E1092" s="50"/>
      <c r="F1092" s="50"/>
      <c r="G1092" s="50"/>
      <c r="H1092" s="50"/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</row>
    <row r="1093" spans="1:18" x14ac:dyDescent="0.25">
      <c r="A1093" s="41" t="s">
        <v>161</v>
      </c>
      <c r="C1093" s="50"/>
      <c r="D1093" s="50"/>
      <c r="E1093" s="50"/>
      <c r="F1093" s="50"/>
      <c r="G1093" s="50"/>
      <c r="H1093" s="50"/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</row>
    <row r="1094" spans="1:18" x14ac:dyDescent="0.25">
      <c r="C1094" s="50"/>
      <c r="D1094" s="50"/>
      <c r="E1094" s="50"/>
      <c r="F1094" s="50"/>
      <c r="G1094" s="50"/>
      <c r="H1094" s="50"/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</row>
    <row r="1095" spans="1:18" x14ac:dyDescent="0.25">
      <c r="A1095" s="41" t="s">
        <v>707</v>
      </c>
      <c r="B1095" s="44"/>
      <c r="C1095" s="50"/>
      <c r="D1095" s="50"/>
      <c r="E1095" s="50"/>
      <c r="F1095" s="50"/>
      <c r="G1095" s="50"/>
      <c r="H1095" s="50"/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</row>
    <row r="1096" spans="1:18" x14ac:dyDescent="0.25">
      <c r="C1096" s="50"/>
      <c r="D1096" s="50"/>
      <c r="E1096" s="50"/>
      <c r="F1096" s="50"/>
      <c r="G1096" s="50"/>
      <c r="H1096" s="50"/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</row>
    <row r="1097" spans="1:18" x14ac:dyDescent="0.25">
      <c r="A1097" s="41" t="s">
        <v>202</v>
      </c>
      <c r="B1097" s="44"/>
      <c r="C1097" s="50"/>
      <c r="D1097" s="50"/>
      <c r="E1097" s="50"/>
      <c r="F1097" s="50"/>
      <c r="G1097" s="50"/>
      <c r="H1097" s="50"/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</row>
    <row r="1098" spans="1:18" x14ac:dyDescent="0.25">
      <c r="C1098" s="50"/>
      <c r="D1098" s="50"/>
      <c r="E1098" s="50"/>
      <c r="F1098" s="50"/>
      <c r="G1098" s="50"/>
      <c r="H1098" s="50"/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</row>
    <row r="1099" spans="1:18" x14ac:dyDescent="0.25">
      <c r="A1099" s="41" t="s">
        <v>708</v>
      </c>
      <c r="B1099" s="44"/>
      <c r="C1099" s="50"/>
      <c r="D1099" s="50"/>
      <c r="E1099" s="50"/>
      <c r="F1099" s="50"/>
      <c r="G1099" s="50"/>
      <c r="H1099" s="50"/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</row>
    <row r="1100" spans="1:18" x14ac:dyDescent="0.25">
      <c r="A1100" s="52" t="s">
        <v>709</v>
      </c>
      <c r="B1100" s="53"/>
      <c r="C1100" s="54">
        <v>16050</v>
      </c>
      <c r="D1100" s="50">
        <v>19962</v>
      </c>
      <c r="E1100" s="50">
        <v>20262</v>
      </c>
      <c r="F1100" s="54">
        <v>18043</v>
      </c>
      <c r="G1100" s="54">
        <v>19475</v>
      </c>
      <c r="H1100" s="50">
        <v>21000</v>
      </c>
      <c r="I1100" s="54">
        <f t="shared" ref="I1100:I1102" si="585">H1100*1.023</f>
        <v>21482.999999999996</v>
      </c>
      <c r="J1100" s="54">
        <f t="shared" ref="J1100:K1102" si="586">I1100*1.024</f>
        <v>21998.591999999997</v>
      </c>
      <c r="K1100" s="54">
        <f t="shared" si="586"/>
        <v>22526.558207999999</v>
      </c>
      <c r="L1100" s="54">
        <f t="shared" ref="L1100:L1102" si="587">K1100*1.023</f>
        <v>23044.669046783998</v>
      </c>
      <c r="M1100" s="54">
        <f t="shared" ref="M1100:M1102" si="588">L1100*1.022</f>
        <v>23551.651765813247</v>
      </c>
      <c r="N1100" s="54">
        <f t="shared" ref="N1100:N1102" si="589">M1100*1.023</f>
        <v>24093.339756426951</v>
      </c>
      <c r="O1100" s="54">
        <f t="shared" ref="O1100:P1102" si="590">N1100*1.025</f>
        <v>24695.673250337622</v>
      </c>
      <c r="P1100" s="54">
        <f t="shared" si="590"/>
        <v>25313.065081596062</v>
      </c>
      <c r="Q1100" s="54">
        <f t="shared" ref="Q1100:R1102" si="591">P1100*1.024</f>
        <v>25920.578643554367</v>
      </c>
      <c r="R1100" s="54">
        <f t="shared" si="591"/>
        <v>26542.672530999673</v>
      </c>
    </row>
    <row r="1101" spans="1:18" x14ac:dyDescent="0.25">
      <c r="A1101" s="52" t="s">
        <v>710</v>
      </c>
      <c r="B1101" s="53"/>
      <c r="C1101" s="54">
        <v>1760</v>
      </c>
      <c r="D1101" s="50">
        <v>5770</v>
      </c>
      <c r="E1101" s="50">
        <v>440</v>
      </c>
      <c r="F1101" s="50">
        <v>880</v>
      </c>
      <c r="G1101" s="50">
        <v>0</v>
      </c>
      <c r="H1101" s="50">
        <v>2000</v>
      </c>
      <c r="I1101" s="54">
        <f t="shared" si="585"/>
        <v>2045.9999999999998</v>
      </c>
      <c r="J1101" s="54">
        <f t="shared" si="586"/>
        <v>2095.1039999999998</v>
      </c>
      <c r="K1101" s="54">
        <f t="shared" si="586"/>
        <v>2145.3864960000001</v>
      </c>
      <c r="L1101" s="54">
        <f t="shared" si="587"/>
        <v>2194.7303854080001</v>
      </c>
      <c r="M1101" s="54">
        <f t="shared" si="588"/>
        <v>2243.0144538869763</v>
      </c>
      <c r="N1101" s="54">
        <f t="shared" si="589"/>
        <v>2294.6037863263764</v>
      </c>
      <c r="O1101" s="54">
        <f t="shared" si="590"/>
        <v>2351.9688809845356</v>
      </c>
      <c r="P1101" s="54">
        <f t="shared" si="590"/>
        <v>2410.7681030091489</v>
      </c>
      <c r="Q1101" s="54">
        <f t="shared" si="591"/>
        <v>2468.6265374813684</v>
      </c>
      <c r="R1101" s="54">
        <f t="shared" si="591"/>
        <v>2527.8735743809211</v>
      </c>
    </row>
    <row r="1102" spans="1:18" x14ac:dyDescent="0.25">
      <c r="A1102" s="52" t="s">
        <v>711</v>
      </c>
      <c r="B1102" s="53"/>
      <c r="C1102" s="54">
        <v>17150</v>
      </c>
      <c r="D1102" s="50">
        <v>18750</v>
      </c>
      <c r="E1102" s="50">
        <v>17650</v>
      </c>
      <c r="F1102" s="50">
        <v>16400</v>
      </c>
      <c r="G1102" s="50">
        <v>15050</v>
      </c>
      <c r="H1102" s="50">
        <v>18000</v>
      </c>
      <c r="I1102" s="54">
        <f t="shared" si="585"/>
        <v>18414</v>
      </c>
      <c r="J1102" s="54">
        <f t="shared" si="586"/>
        <v>18855.936000000002</v>
      </c>
      <c r="K1102" s="54">
        <f t="shared" si="586"/>
        <v>19308.478464000003</v>
      </c>
      <c r="L1102" s="54">
        <f t="shared" si="587"/>
        <v>19752.573468672002</v>
      </c>
      <c r="M1102" s="54">
        <f t="shared" si="588"/>
        <v>20187.130084982786</v>
      </c>
      <c r="N1102" s="54">
        <f t="shared" si="589"/>
        <v>20651.434076937388</v>
      </c>
      <c r="O1102" s="54">
        <f t="shared" si="590"/>
        <v>21167.719928860821</v>
      </c>
      <c r="P1102" s="54">
        <f t="shared" si="590"/>
        <v>21696.91292708234</v>
      </c>
      <c r="Q1102" s="54">
        <f t="shared" si="591"/>
        <v>22217.638837332317</v>
      </c>
      <c r="R1102" s="54">
        <f t="shared" si="591"/>
        <v>22750.862169428292</v>
      </c>
    </row>
    <row r="1103" spans="1:18" x14ac:dyDescent="0.25">
      <c r="A1103" s="52" t="s">
        <v>712</v>
      </c>
      <c r="B1103" s="53"/>
      <c r="C1103" s="59"/>
      <c r="D1103" s="54"/>
      <c r="F1103" s="54"/>
      <c r="G1103" s="54">
        <v>0</v>
      </c>
      <c r="H1103" s="54"/>
      <c r="I1103" s="54"/>
      <c r="J1103" s="54"/>
      <c r="K1103" s="54"/>
      <c r="L1103" s="54"/>
      <c r="M1103" s="54"/>
      <c r="N1103" s="54"/>
      <c r="O1103" s="54"/>
      <c r="P1103" s="54"/>
      <c r="Q1103" s="54"/>
      <c r="R1103" s="54"/>
    </row>
    <row r="1104" spans="1:18" x14ac:dyDescent="0.25">
      <c r="A1104" s="59" t="s">
        <v>713</v>
      </c>
      <c r="B1104" s="53"/>
      <c r="C1104" s="59"/>
      <c r="D1104" s="54">
        <v>7545</v>
      </c>
      <c r="E1104" s="43">
        <v>8445</v>
      </c>
      <c r="F1104" s="54">
        <v>8407</v>
      </c>
      <c r="G1104" s="54">
        <v>8407</v>
      </c>
      <c r="H1104" s="54">
        <v>9000</v>
      </c>
      <c r="I1104" s="54">
        <f t="shared" ref="I1104" si="592">H1104*1.023</f>
        <v>9207</v>
      </c>
      <c r="J1104" s="54">
        <f t="shared" ref="J1104:K1104" si="593">I1104*1.024</f>
        <v>9427.9680000000008</v>
      </c>
      <c r="K1104" s="54">
        <f t="shared" si="593"/>
        <v>9654.2392320000017</v>
      </c>
      <c r="L1104" s="54">
        <f t="shared" ref="L1104" si="594">K1104*1.023</f>
        <v>9876.2867343360012</v>
      </c>
      <c r="M1104" s="54">
        <f t="shared" ref="M1104" si="595">L1104*1.022</f>
        <v>10093.565042491393</v>
      </c>
      <c r="N1104" s="54">
        <f t="shared" ref="N1104" si="596">M1104*1.023</f>
        <v>10325.717038468694</v>
      </c>
      <c r="O1104" s="54">
        <f t="shared" ref="O1104:P1104" si="597">N1104*1.025</f>
        <v>10583.85996443041</v>
      </c>
      <c r="P1104" s="54">
        <f t="shared" si="597"/>
        <v>10848.45646354117</v>
      </c>
      <c r="Q1104" s="54">
        <f t="shared" ref="Q1104:R1104" si="598">P1104*1.024</f>
        <v>11108.819418666159</v>
      </c>
      <c r="R1104" s="54">
        <f t="shared" si="598"/>
        <v>11375.431084714146</v>
      </c>
    </row>
    <row r="1105" spans="1:18" x14ac:dyDescent="0.25">
      <c r="A1105" s="59" t="s">
        <v>714</v>
      </c>
      <c r="B1105" s="53"/>
      <c r="C1105" s="59"/>
      <c r="D1105" s="54"/>
      <c r="F1105" s="54"/>
      <c r="G1105" s="54"/>
      <c r="H1105" s="54"/>
      <c r="I1105" s="54"/>
      <c r="J1105" s="54"/>
      <c r="K1105" s="54"/>
      <c r="L1105" s="54"/>
      <c r="M1105" s="54"/>
      <c r="N1105" s="54"/>
      <c r="O1105" s="54"/>
      <c r="P1105" s="54"/>
      <c r="Q1105" s="54"/>
      <c r="R1105" s="54"/>
    </row>
    <row r="1106" spans="1:18" x14ac:dyDescent="0.25">
      <c r="A1106" s="52"/>
      <c r="B1106" s="53"/>
      <c r="C1106" s="50"/>
      <c r="D1106" s="50"/>
      <c r="E1106" s="50"/>
      <c r="F1106" s="50"/>
      <c r="G1106" s="50"/>
      <c r="H1106" s="50"/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</row>
    <row r="1107" spans="1:18" x14ac:dyDescent="0.25">
      <c r="A1107" s="41" t="s">
        <v>715</v>
      </c>
      <c r="B1107" s="44"/>
      <c r="C1107" s="51">
        <f t="shared" ref="C1107" si="599">SUM(C1100:C1106)</f>
        <v>34960</v>
      </c>
      <c r="D1107" s="51">
        <f t="shared" ref="D1107:R1107" si="600">SUM(D1100:D1106)</f>
        <v>52027</v>
      </c>
      <c r="E1107" s="51">
        <f t="shared" si="600"/>
        <v>46797</v>
      </c>
      <c r="F1107" s="51">
        <f t="shared" si="600"/>
        <v>43730</v>
      </c>
      <c r="G1107" s="51">
        <f t="shared" si="600"/>
        <v>42932</v>
      </c>
      <c r="H1107" s="51">
        <f t="shared" si="600"/>
        <v>50000</v>
      </c>
      <c r="I1107" s="51">
        <f t="shared" si="600"/>
        <v>51150</v>
      </c>
      <c r="J1107" s="51">
        <f t="shared" si="600"/>
        <v>52377.599999999999</v>
      </c>
      <c r="K1107" s="51">
        <f t="shared" si="600"/>
        <v>53634.662400000001</v>
      </c>
      <c r="L1107" s="51">
        <f t="shared" si="600"/>
        <v>54868.259635199996</v>
      </c>
      <c r="M1107" s="51">
        <f t="shared" si="600"/>
        <v>56075.361347174403</v>
      </c>
      <c r="N1107" s="51">
        <f t="shared" si="600"/>
        <v>57365.094658159403</v>
      </c>
      <c r="O1107" s="51">
        <f t="shared" si="600"/>
        <v>58799.222024613387</v>
      </c>
      <c r="P1107" s="51">
        <f t="shared" si="600"/>
        <v>60269.202575228715</v>
      </c>
      <c r="Q1107" s="51">
        <f t="shared" si="600"/>
        <v>61715.663437034207</v>
      </c>
      <c r="R1107" s="51">
        <f t="shared" si="600"/>
        <v>63196.83935952303</v>
      </c>
    </row>
    <row r="1108" spans="1:18" x14ac:dyDescent="0.25">
      <c r="C1108" s="50"/>
      <c r="D1108" s="50"/>
      <c r="E1108" s="50"/>
      <c r="F1108" s="50"/>
      <c r="G1108" s="50"/>
      <c r="H1108" s="50"/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</row>
    <row r="1109" spans="1:18" x14ac:dyDescent="0.25">
      <c r="A1109" s="41" t="s">
        <v>716</v>
      </c>
      <c r="B1109" s="44"/>
      <c r="C1109" s="50"/>
      <c r="D1109" s="50"/>
      <c r="E1109" s="50"/>
      <c r="F1109" s="50"/>
      <c r="G1109" s="50"/>
      <c r="H1109" s="50"/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</row>
    <row r="1110" spans="1:18" x14ac:dyDescent="0.25">
      <c r="A1110" s="52" t="s">
        <v>717</v>
      </c>
      <c r="B1110" s="53"/>
      <c r="C1110" s="54">
        <f>3606+68</f>
        <v>3674</v>
      </c>
      <c r="D1110" s="54">
        <v>3166</v>
      </c>
      <c r="E1110" s="43">
        <v>4443</v>
      </c>
      <c r="F1110" s="54">
        <v>3564</v>
      </c>
      <c r="G1110" s="54">
        <v>8486</v>
      </c>
      <c r="H1110" s="54">
        <v>6500</v>
      </c>
      <c r="I1110" s="54">
        <f t="shared" ref="I1110:I1113" si="601">H1110*1.023</f>
        <v>6649.4999999999991</v>
      </c>
      <c r="J1110" s="54">
        <f t="shared" ref="J1110:K1113" si="602">I1110*1.024</f>
        <v>6809.0879999999988</v>
      </c>
      <c r="K1110" s="54">
        <f t="shared" si="602"/>
        <v>6972.5061119999991</v>
      </c>
      <c r="L1110" s="54">
        <f t="shared" ref="L1110:L1113" si="603">K1110*1.023</f>
        <v>7132.8737525759989</v>
      </c>
      <c r="M1110" s="54">
        <f t="shared" ref="M1110:M1113" si="604">L1110*1.022</f>
        <v>7289.7969751326709</v>
      </c>
      <c r="N1110" s="54">
        <f t="shared" ref="N1110:N1113" si="605">M1110*1.023</f>
        <v>7457.4623055607217</v>
      </c>
      <c r="O1110" s="54">
        <f t="shared" ref="O1110:R1114" si="606">N1110*1.025</f>
        <v>7643.898863199739</v>
      </c>
      <c r="P1110" s="54">
        <f t="shared" si="606"/>
        <v>7834.996334779732</v>
      </c>
      <c r="Q1110" s="54">
        <f t="shared" ref="Q1110:R1113" si="607">P1110*1.024</f>
        <v>8023.0362468144458</v>
      </c>
      <c r="R1110" s="54">
        <f t="shared" si="607"/>
        <v>8215.5891167379923</v>
      </c>
    </row>
    <row r="1111" spans="1:18" x14ac:dyDescent="0.25">
      <c r="A1111" s="52" t="s">
        <v>718</v>
      </c>
      <c r="B1111" s="53"/>
      <c r="C1111" s="54">
        <v>220</v>
      </c>
      <c r="D1111" s="54">
        <v>0</v>
      </c>
      <c r="E1111" s="43">
        <v>0</v>
      </c>
      <c r="F1111" s="54">
        <v>880</v>
      </c>
      <c r="G1111" s="54">
        <v>400</v>
      </c>
      <c r="H1111" s="54">
        <v>1000</v>
      </c>
      <c r="I1111" s="54">
        <f t="shared" si="601"/>
        <v>1022.9999999999999</v>
      </c>
      <c r="J1111" s="54">
        <f t="shared" si="602"/>
        <v>1047.5519999999999</v>
      </c>
      <c r="K1111" s="54">
        <f t="shared" si="602"/>
        <v>1072.693248</v>
      </c>
      <c r="L1111" s="54">
        <f t="shared" si="603"/>
        <v>1097.365192704</v>
      </c>
      <c r="M1111" s="54">
        <f t="shared" si="604"/>
        <v>1121.5072269434881</v>
      </c>
      <c r="N1111" s="54">
        <f t="shared" si="605"/>
        <v>1147.3018931631882</v>
      </c>
      <c r="O1111" s="54">
        <f t="shared" si="606"/>
        <v>1175.9844404922678</v>
      </c>
      <c r="P1111" s="54">
        <f t="shared" si="606"/>
        <v>1205.3840515045745</v>
      </c>
      <c r="Q1111" s="54">
        <f t="shared" si="607"/>
        <v>1234.3132687406842</v>
      </c>
      <c r="R1111" s="54">
        <f t="shared" si="607"/>
        <v>1263.9367871904606</v>
      </c>
    </row>
    <row r="1112" spans="1:18" x14ac:dyDescent="0.25">
      <c r="A1112" s="52" t="s">
        <v>719</v>
      </c>
      <c r="B1112" s="53"/>
      <c r="C1112" s="54">
        <v>3567</v>
      </c>
      <c r="D1112" s="54">
        <v>492</v>
      </c>
      <c r="E1112" s="43">
        <v>0</v>
      </c>
      <c r="F1112" s="54">
        <v>4000</v>
      </c>
      <c r="G1112" s="54">
        <v>5400</v>
      </c>
      <c r="H1112" s="54">
        <v>5000</v>
      </c>
      <c r="I1112" s="54">
        <f t="shared" si="601"/>
        <v>5115</v>
      </c>
      <c r="J1112" s="54">
        <f t="shared" si="602"/>
        <v>5237.76</v>
      </c>
      <c r="K1112" s="54">
        <f t="shared" si="602"/>
        <v>5363.4662400000007</v>
      </c>
      <c r="L1112" s="54">
        <f t="shared" si="603"/>
        <v>5486.8259635200002</v>
      </c>
      <c r="M1112" s="54">
        <f t="shared" si="604"/>
        <v>5607.5361347174403</v>
      </c>
      <c r="N1112" s="54">
        <f t="shared" si="605"/>
        <v>5736.5094658159405</v>
      </c>
      <c r="O1112" s="54">
        <f t="shared" si="606"/>
        <v>5879.9222024613382</v>
      </c>
      <c r="P1112" s="54">
        <f t="shared" si="606"/>
        <v>6026.920257522871</v>
      </c>
      <c r="Q1112" s="54">
        <f t="shared" si="607"/>
        <v>6171.56634370342</v>
      </c>
      <c r="R1112" s="54">
        <f t="shared" si="607"/>
        <v>6319.6839359523019</v>
      </c>
    </row>
    <row r="1113" spans="1:18" x14ac:dyDescent="0.25">
      <c r="A1113" s="43" t="s">
        <v>720</v>
      </c>
      <c r="C1113" s="54">
        <v>23089</v>
      </c>
      <c r="D1113" s="54">
        <v>11891</v>
      </c>
      <c r="E1113" s="43">
        <v>17167</v>
      </c>
      <c r="F1113" s="54">
        <v>18485</v>
      </c>
      <c r="G1113" s="54">
        <v>16048</v>
      </c>
      <c r="H1113" s="54">
        <v>18000</v>
      </c>
      <c r="I1113" s="54">
        <f t="shared" si="601"/>
        <v>18414</v>
      </c>
      <c r="J1113" s="54">
        <f t="shared" si="602"/>
        <v>18855.936000000002</v>
      </c>
      <c r="K1113" s="54">
        <f t="shared" si="602"/>
        <v>19308.478464000003</v>
      </c>
      <c r="L1113" s="54">
        <f t="shared" si="603"/>
        <v>19752.573468672002</v>
      </c>
      <c r="M1113" s="54">
        <f t="shared" si="604"/>
        <v>20187.130084982786</v>
      </c>
      <c r="N1113" s="54">
        <f t="shared" si="605"/>
        <v>20651.434076937388</v>
      </c>
      <c r="O1113" s="54">
        <f t="shared" si="606"/>
        <v>21167.719928860821</v>
      </c>
      <c r="P1113" s="54">
        <f t="shared" si="606"/>
        <v>21696.91292708234</v>
      </c>
      <c r="Q1113" s="54">
        <f t="shared" si="607"/>
        <v>22217.638837332317</v>
      </c>
      <c r="R1113" s="54">
        <f t="shared" si="607"/>
        <v>22750.862169428292</v>
      </c>
    </row>
    <row r="1114" spans="1:18" x14ac:dyDescent="0.25">
      <c r="A1114" s="43" t="s">
        <v>721</v>
      </c>
      <c r="C1114" s="54">
        <v>352</v>
      </c>
      <c r="D1114" s="54">
        <v>0</v>
      </c>
      <c r="E1114" s="43">
        <v>0</v>
      </c>
      <c r="F1114" s="54">
        <v>42</v>
      </c>
      <c r="G1114" s="54">
        <v>610</v>
      </c>
      <c r="H1114" s="54">
        <v>0</v>
      </c>
      <c r="I1114" s="54">
        <f>H1114*1.02</f>
        <v>0</v>
      </c>
      <c r="J1114" s="54">
        <f t="shared" ref="J1114" si="608">I1114*1.021</f>
        <v>0</v>
      </c>
      <c r="K1114" s="54">
        <f t="shared" ref="K1114" si="609">J1114*1.023</f>
        <v>0</v>
      </c>
      <c r="L1114" s="54">
        <f t="shared" ref="L1114" si="610">K1114*1.024</f>
        <v>0</v>
      </c>
      <c r="M1114" s="54">
        <f t="shared" ref="M1114" si="611">L1114*1.023</f>
        <v>0</v>
      </c>
      <c r="N1114" s="54">
        <f t="shared" ref="N1114" si="612">M1114*1.021</f>
        <v>0</v>
      </c>
      <c r="O1114" s="54">
        <f t="shared" ref="O1114" si="613">N1114*1.022</f>
        <v>0</v>
      </c>
      <c r="P1114" s="54">
        <f t="shared" si="606"/>
        <v>0</v>
      </c>
      <c r="Q1114" s="54">
        <f t="shared" si="606"/>
        <v>0</v>
      </c>
      <c r="R1114" s="54">
        <f t="shared" si="606"/>
        <v>0</v>
      </c>
    </row>
    <row r="1115" spans="1:18" x14ac:dyDescent="0.25">
      <c r="C1115" s="50"/>
      <c r="D1115" s="54"/>
      <c r="E1115" s="54"/>
      <c r="F1115" s="54"/>
      <c r="G1115" s="54"/>
      <c r="H1115" s="54"/>
      <c r="I1115" s="54"/>
      <c r="J1115" s="54"/>
      <c r="K1115" s="54"/>
      <c r="L1115" s="54"/>
      <c r="M1115" s="54"/>
      <c r="N1115" s="54"/>
      <c r="O1115" s="54"/>
      <c r="P1115" s="54"/>
      <c r="Q1115" s="54"/>
      <c r="R1115" s="54"/>
    </row>
    <row r="1116" spans="1:18" x14ac:dyDescent="0.25">
      <c r="A1116" s="41" t="s">
        <v>722</v>
      </c>
      <c r="B1116" s="44"/>
      <c r="C1116" s="51">
        <f>SUM(C1110:C1115)</f>
        <v>30902</v>
      </c>
      <c r="D1116" s="51">
        <f t="shared" ref="D1116:R1116" si="614">SUM(D1110:D1115)</f>
        <v>15549</v>
      </c>
      <c r="E1116" s="51">
        <f t="shared" si="614"/>
        <v>21610</v>
      </c>
      <c r="F1116" s="51">
        <f t="shared" si="614"/>
        <v>26971</v>
      </c>
      <c r="G1116" s="51">
        <f t="shared" si="614"/>
        <v>30944</v>
      </c>
      <c r="H1116" s="51">
        <f t="shared" si="614"/>
        <v>30500</v>
      </c>
      <c r="I1116" s="51">
        <f t="shared" si="614"/>
        <v>31201.5</v>
      </c>
      <c r="J1116" s="51">
        <f t="shared" si="614"/>
        <v>31950.335999999999</v>
      </c>
      <c r="K1116" s="51">
        <f t="shared" si="614"/>
        <v>32717.144064000004</v>
      </c>
      <c r="L1116" s="51">
        <f t="shared" si="614"/>
        <v>33469.638377472002</v>
      </c>
      <c r="M1116" s="51">
        <f t="shared" si="614"/>
        <v>34205.970421776387</v>
      </c>
      <c r="N1116" s="51">
        <f t="shared" si="614"/>
        <v>34992.707741477236</v>
      </c>
      <c r="O1116" s="51">
        <f t="shared" si="614"/>
        <v>35867.525435014162</v>
      </c>
      <c r="P1116" s="51">
        <f t="shared" si="614"/>
        <v>36764.213570889522</v>
      </c>
      <c r="Q1116" s="51">
        <f t="shared" si="614"/>
        <v>37646.554696590865</v>
      </c>
      <c r="R1116" s="51">
        <f t="shared" si="614"/>
        <v>38550.072009309049</v>
      </c>
    </row>
    <row r="1117" spans="1:18" x14ac:dyDescent="0.25">
      <c r="A1117" s="41"/>
      <c r="B1117" s="44"/>
      <c r="C1117" s="50"/>
      <c r="D1117" s="50"/>
      <c r="E1117" s="50"/>
      <c r="F1117" s="50"/>
      <c r="G1117" s="50"/>
      <c r="H1117" s="50"/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</row>
    <row r="1118" spans="1:18" x14ac:dyDescent="0.25">
      <c r="A1118" s="41" t="s">
        <v>216</v>
      </c>
      <c r="B1118" s="44"/>
      <c r="C1118" s="51">
        <f t="shared" ref="C1118:R1118" si="615">C1107+C1116</f>
        <v>65862</v>
      </c>
      <c r="D1118" s="51">
        <f t="shared" si="615"/>
        <v>67576</v>
      </c>
      <c r="E1118" s="51">
        <f t="shared" si="615"/>
        <v>68407</v>
      </c>
      <c r="F1118" s="51">
        <f t="shared" si="615"/>
        <v>70701</v>
      </c>
      <c r="G1118" s="51">
        <f t="shared" si="615"/>
        <v>73876</v>
      </c>
      <c r="H1118" s="51">
        <f t="shared" si="615"/>
        <v>80500</v>
      </c>
      <c r="I1118" s="51">
        <f t="shared" si="615"/>
        <v>82351.5</v>
      </c>
      <c r="J1118" s="51">
        <f t="shared" si="615"/>
        <v>84327.936000000002</v>
      </c>
      <c r="K1118" s="51">
        <f t="shared" si="615"/>
        <v>86351.806464000008</v>
      </c>
      <c r="L1118" s="51">
        <f t="shared" si="615"/>
        <v>88337.898012671998</v>
      </c>
      <c r="M1118" s="51">
        <f t="shared" si="615"/>
        <v>90281.331768950797</v>
      </c>
      <c r="N1118" s="51">
        <f t="shared" si="615"/>
        <v>92357.802399636639</v>
      </c>
      <c r="O1118" s="51">
        <f t="shared" si="615"/>
        <v>94666.747459627542</v>
      </c>
      <c r="P1118" s="51">
        <f t="shared" si="615"/>
        <v>97033.416146118238</v>
      </c>
      <c r="Q1118" s="51">
        <f t="shared" si="615"/>
        <v>99362.21813362508</v>
      </c>
      <c r="R1118" s="51">
        <f t="shared" si="615"/>
        <v>101746.91136883208</v>
      </c>
    </row>
    <row r="1119" spans="1:18" x14ac:dyDescent="0.25">
      <c r="A1119" s="41"/>
      <c r="B1119" s="44"/>
      <c r="C1119" s="50"/>
      <c r="D1119" s="50"/>
      <c r="E1119" s="50"/>
      <c r="F1119" s="50"/>
      <c r="G1119" s="50"/>
      <c r="H1119" s="50"/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</row>
    <row r="1120" spans="1:18" x14ac:dyDescent="0.25">
      <c r="A1120" s="41" t="s">
        <v>165</v>
      </c>
      <c r="B1120" s="44"/>
      <c r="C1120" s="50"/>
      <c r="D1120" s="50"/>
      <c r="E1120" s="50"/>
      <c r="F1120" s="50"/>
      <c r="G1120" s="50"/>
      <c r="H1120" s="50"/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</row>
    <row r="1121" spans="1:18" x14ac:dyDescent="0.25">
      <c r="A1121" s="41"/>
      <c r="B1121" s="44"/>
      <c r="C1121" s="50"/>
      <c r="D1121" s="50"/>
      <c r="E1121" s="50"/>
      <c r="F1121" s="50"/>
      <c r="G1121" s="50"/>
      <c r="H1121" s="50"/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</row>
    <row r="1122" spans="1:18" x14ac:dyDescent="0.25">
      <c r="A1122" s="41" t="s">
        <v>723</v>
      </c>
      <c r="B1122" s="44"/>
      <c r="C1122" s="50"/>
      <c r="D1122" s="50"/>
      <c r="E1122" s="50"/>
      <c r="F1122" s="50"/>
      <c r="G1122" s="50"/>
      <c r="H1122" s="50"/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</row>
    <row r="1123" spans="1:18" x14ac:dyDescent="0.25">
      <c r="A1123" s="43" t="s">
        <v>217</v>
      </c>
      <c r="C1123" s="54">
        <v>40481</v>
      </c>
      <c r="D1123" s="54">
        <v>44416</v>
      </c>
      <c r="E1123" s="43">
        <v>41453</v>
      </c>
      <c r="F1123" s="43">
        <v>40381</v>
      </c>
      <c r="G1123" s="43">
        <v>45988</v>
      </c>
      <c r="H1123" s="43">
        <v>46200</v>
      </c>
      <c r="I1123" s="50">
        <f>H1123*1.025</f>
        <v>47354.999999999993</v>
      </c>
      <c r="J1123" s="50">
        <f>I1123*1.029</f>
        <v>48728.294999999991</v>
      </c>
      <c r="K1123" s="54">
        <f>J1123*1.031</f>
        <v>50238.872144999987</v>
      </c>
      <c r="L1123" s="54">
        <f>K1123*1.033</f>
        <v>51896.754925784982</v>
      </c>
      <c r="M1123" s="54">
        <f>L1123*1.032</f>
        <v>53557.451083410102</v>
      </c>
      <c r="N1123" s="54">
        <f>M1123*1.03</f>
        <v>55164.174615912409</v>
      </c>
      <c r="O1123" s="54">
        <f>N1123*1.032</f>
        <v>56929.42820362161</v>
      </c>
      <c r="P1123" s="54">
        <f>O1123*1.034</f>
        <v>58865.028762544745</v>
      </c>
      <c r="Q1123" s="54">
        <f>P1123*1.034</f>
        <v>60866.439740471265</v>
      </c>
      <c r="R1123" s="54">
        <f>Q1123*1.034</f>
        <v>62935.898691647293</v>
      </c>
    </row>
    <row r="1124" spans="1:18" x14ac:dyDescent="0.25">
      <c r="A1124" s="43" t="s">
        <v>219</v>
      </c>
      <c r="C1124" s="54">
        <v>2159</v>
      </c>
      <c r="D1124" s="54">
        <v>2863</v>
      </c>
      <c r="E1124" s="50">
        <v>2182</v>
      </c>
      <c r="F1124" s="54">
        <v>2095</v>
      </c>
      <c r="G1124" s="54">
        <v>2054</v>
      </c>
      <c r="H1124" s="50">
        <v>2000</v>
      </c>
      <c r="I1124" s="54">
        <v>2046</v>
      </c>
      <c r="J1124" s="54">
        <v>2095</v>
      </c>
      <c r="K1124" s="54">
        <v>2145</v>
      </c>
      <c r="L1124" s="54">
        <v>2194</v>
      </c>
      <c r="M1124" s="54">
        <v>2242</v>
      </c>
      <c r="N1124" s="54">
        <v>2294</v>
      </c>
      <c r="O1124" s="54">
        <v>2351</v>
      </c>
      <c r="P1124" s="54">
        <v>2410</v>
      </c>
      <c r="Q1124" s="54">
        <v>2468</v>
      </c>
      <c r="R1124" s="54">
        <v>2468</v>
      </c>
    </row>
    <row r="1125" spans="1:18" x14ac:dyDescent="0.25">
      <c r="A1125" s="43" t="s">
        <v>220</v>
      </c>
      <c r="C1125" s="50">
        <v>3926</v>
      </c>
      <c r="D1125" s="54">
        <v>5686</v>
      </c>
      <c r="E1125" s="54">
        <v>6587</v>
      </c>
      <c r="F1125" s="50">
        <v>4404</v>
      </c>
      <c r="G1125" s="50">
        <v>5055</v>
      </c>
      <c r="H1125" s="50">
        <v>5800</v>
      </c>
      <c r="I1125" s="50">
        <f>H1125*1.025</f>
        <v>5944.9999999999991</v>
      </c>
      <c r="J1125" s="50">
        <f>I1125*1.029</f>
        <v>6117.4049999999988</v>
      </c>
      <c r="K1125" s="54">
        <f>J1125*1.031</f>
        <v>6307.0445549999986</v>
      </c>
      <c r="L1125" s="54">
        <f>K1125*1.033</f>
        <v>6515.177025314998</v>
      </c>
      <c r="M1125" s="54">
        <f>L1125*1.032</f>
        <v>6723.6626901250784</v>
      </c>
      <c r="N1125" s="54">
        <f>M1125*1.03</f>
        <v>6925.3725708288312</v>
      </c>
      <c r="O1125" s="54">
        <f>N1125*1.032</f>
        <v>7146.9844930953541</v>
      </c>
      <c r="P1125" s="54">
        <f>O1125*1.034</f>
        <v>7389.9819658605966</v>
      </c>
      <c r="Q1125" s="54">
        <f>P1125*1.034</f>
        <v>7641.2413526998571</v>
      </c>
      <c r="R1125" s="54">
        <f>Q1125*1.034</f>
        <v>7901.0435586916528</v>
      </c>
    </row>
    <row r="1126" spans="1:18" x14ac:dyDescent="0.25">
      <c r="A1126" s="43" t="s">
        <v>221</v>
      </c>
      <c r="C1126" s="169">
        <v>1988</v>
      </c>
      <c r="D1126" s="180">
        <v>1988</v>
      </c>
      <c r="E1126" s="180">
        <v>2373</v>
      </c>
      <c r="F1126" s="98">
        <v>1849</v>
      </c>
      <c r="G1126" s="98">
        <v>1849</v>
      </c>
      <c r="H1126" s="98">
        <v>1860</v>
      </c>
      <c r="I1126" s="180">
        <v>1950</v>
      </c>
      <c r="J1126" s="180">
        <v>1950</v>
      </c>
      <c r="K1126" s="180">
        <v>2010</v>
      </c>
      <c r="L1126" s="180">
        <v>2100</v>
      </c>
      <c r="M1126" s="180">
        <v>2170</v>
      </c>
      <c r="N1126" s="180">
        <v>2150</v>
      </c>
      <c r="O1126" s="180">
        <v>2240</v>
      </c>
      <c r="P1126" s="180">
        <v>2330</v>
      </c>
      <c r="Q1126" s="180">
        <v>2430</v>
      </c>
      <c r="R1126" s="180">
        <v>2430</v>
      </c>
    </row>
    <row r="1127" spans="1:18" x14ac:dyDescent="0.25">
      <c r="A1127" s="52" t="s">
        <v>724</v>
      </c>
      <c r="B1127" s="53"/>
      <c r="C1127" s="54">
        <v>14390</v>
      </c>
      <c r="D1127" s="54">
        <v>16665</v>
      </c>
      <c r="E1127" s="50">
        <v>14301</v>
      </c>
      <c r="F1127" s="54">
        <v>20684</v>
      </c>
      <c r="G1127" s="54">
        <v>15750</v>
      </c>
      <c r="H1127" s="54">
        <v>16000</v>
      </c>
      <c r="I1127" s="54">
        <f t="shared" ref="I1127:I1135" si="616">H1127*1.023</f>
        <v>16367.999999999998</v>
      </c>
      <c r="J1127" s="54">
        <f t="shared" ref="J1127:K1135" si="617">I1127*1.024</f>
        <v>16760.831999999999</v>
      </c>
      <c r="K1127" s="54">
        <f t="shared" si="617"/>
        <v>17163.091968000001</v>
      </c>
      <c r="L1127" s="54">
        <f t="shared" ref="L1127:L1135" si="618">K1127*1.023</f>
        <v>17557.843083264001</v>
      </c>
      <c r="M1127" s="54">
        <f t="shared" ref="M1127:M1135" si="619">L1127*1.022</f>
        <v>17944.11563109581</v>
      </c>
      <c r="N1127" s="54">
        <f t="shared" ref="N1127:N1135" si="620">M1127*1.023</f>
        <v>18356.830290611011</v>
      </c>
      <c r="O1127" s="54">
        <f t="shared" ref="O1127:P1135" si="621">N1127*1.025</f>
        <v>18815.751047876285</v>
      </c>
      <c r="P1127" s="54">
        <f t="shared" si="621"/>
        <v>19286.144824073192</v>
      </c>
      <c r="Q1127" s="54">
        <f t="shared" ref="Q1127:R1135" si="622">P1127*1.024</f>
        <v>19749.012299850947</v>
      </c>
      <c r="R1127" s="54">
        <f t="shared" si="622"/>
        <v>20222.988595047369</v>
      </c>
    </row>
    <row r="1128" spans="1:18" x14ac:dyDescent="0.25">
      <c r="A1128" s="52" t="s">
        <v>226</v>
      </c>
      <c r="B1128" s="53"/>
      <c r="C1128" s="54">
        <v>117</v>
      </c>
      <c r="D1128" s="54">
        <v>230</v>
      </c>
      <c r="E1128" s="50">
        <v>758</v>
      </c>
      <c r="F1128" s="54">
        <v>345</v>
      </c>
      <c r="G1128" s="50">
        <v>301</v>
      </c>
      <c r="H1128" s="50">
        <v>800</v>
      </c>
      <c r="I1128" s="54">
        <f t="shared" si="616"/>
        <v>818.4</v>
      </c>
      <c r="J1128" s="54">
        <f t="shared" si="617"/>
        <v>838.04160000000002</v>
      </c>
      <c r="K1128" s="54">
        <f t="shared" si="617"/>
        <v>858.15459840000005</v>
      </c>
      <c r="L1128" s="54">
        <f t="shared" si="618"/>
        <v>877.89215416319996</v>
      </c>
      <c r="M1128" s="54">
        <f t="shared" si="619"/>
        <v>897.20578155479041</v>
      </c>
      <c r="N1128" s="54">
        <f t="shared" si="620"/>
        <v>917.84151453055051</v>
      </c>
      <c r="O1128" s="54">
        <f t="shared" si="621"/>
        <v>940.78755239381417</v>
      </c>
      <c r="P1128" s="54">
        <f t="shared" si="621"/>
        <v>964.30724120365949</v>
      </c>
      <c r="Q1128" s="54">
        <f t="shared" si="622"/>
        <v>987.45061499254734</v>
      </c>
      <c r="R1128" s="54">
        <f t="shared" si="622"/>
        <v>1011.1494297523685</v>
      </c>
    </row>
    <row r="1129" spans="1:18" x14ac:dyDescent="0.25">
      <c r="A1129" s="52" t="s">
        <v>725</v>
      </c>
      <c r="B1129" s="53"/>
      <c r="C1129" s="54">
        <v>0</v>
      </c>
      <c r="D1129" s="54">
        <v>0</v>
      </c>
      <c r="E1129" s="43">
        <v>0</v>
      </c>
      <c r="F1129" s="54">
        <v>0</v>
      </c>
      <c r="G1129" s="54">
        <v>0</v>
      </c>
      <c r="H1129" s="54">
        <v>5000</v>
      </c>
      <c r="I1129" s="54">
        <f t="shared" si="616"/>
        <v>5115</v>
      </c>
      <c r="J1129" s="54">
        <f t="shared" si="617"/>
        <v>5237.76</v>
      </c>
      <c r="K1129" s="54">
        <f t="shared" si="617"/>
        <v>5363.4662400000007</v>
      </c>
      <c r="L1129" s="54">
        <f t="shared" si="618"/>
        <v>5486.8259635200002</v>
      </c>
      <c r="M1129" s="54">
        <f t="shared" si="619"/>
        <v>5607.5361347174403</v>
      </c>
      <c r="N1129" s="54">
        <f t="shared" si="620"/>
        <v>5736.5094658159405</v>
      </c>
      <c r="O1129" s="54">
        <f t="shared" si="621"/>
        <v>5879.9222024613382</v>
      </c>
      <c r="P1129" s="54">
        <f t="shared" si="621"/>
        <v>6026.920257522871</v>
      </c>
      <c r="Q1129" s="54">
        <f t="shared" si="622"/>
        <v>6171.56634370342</v>
      </c>
      <c r="R1129" s="54">
        <f t="shared" si="622"/>
        <v>6319.6839359523019</v>
      </c>
    </row>
    <row r="1130" spans="1:18" x14ac:dyDescent="0.25">
      <c r="A1130" s="52" t="s">
        <v>726</v>
      </c>
      <c r="B1130" s="53"/>
      <c r="C1130" s="54">
        <v>5368</v>
      </c>
      <c r="D1130" s="54">
        <v>2500</v>
      </c>
      <c r="E1130" s="43">
        <v>4676</v>
      </c>
      <c r="F1130" s="54">
        <v>4389</v>
      </c>
      <c r="G1130" s="54">
        <v>4434</v>
      </c>
      <c r="H1130" s="54">
        <v>4700</v>
      </c>
      <c r="I1130" s="54">
        <f t="shared" si="616"/>
        <v>4808.0999999999995</v>
      </c>
      <c r="J1130" s="54">
        <f t="shared" si="617"/>
        <v>4923.4943999999996</v>
      </c>
      <c r="K1130" s="54">
        <f t="shared" si="617"/>
        <v>5041.6582656</v>
      </c>
      <c r="L1130" s="54">
        <f t="shared" si="618"/>
        <v>5157.6164057087999</v>
      </c>
      <c r="M1130" s="54">
        <f t="shared" si="619"/>
        <v>5271.0839666343936</v>
      </c>
      <c r="N1130" s="54">
        <f t="shared" si="620"/>
        <v>5392.3188978669841</v>
      </c>
      <c r="O1130" s="54">
        <f t="shared" si="621"/>
        <v>5527.1268703136584</v>
      </c>
      <c r="P1130" s="54">
        <f t="shared" si="621"/>
        <v>5665.305042071499</v>
      </c>
      <c r="Q1130" s="54">
        <f t="shared" si="622"/>
        <v>5801.2723630812152</v>
      </c>
      <c r="R1130" s="54">
        <f t="shared" si="622"/>
        <v>5940.5028997951649</v>
      </c>
    </row>
    <row r="1131" spans="1:18" x14ac:dyDescent="0.25">
      <c r="A1131" s="52" t="s">
        <v>727</v>
      </c>
      <c r="B1131" s="53"/>
      <c r="C1131" s="54">
        <v>5500</v>
      </c>
      <c r="D1131" s="54">
        <v>7417</v>
      </c>
      <c r="E1131" s="43">
        <f>6682</f>
        <v>6682</v>
      </c>
      <c r="F1131" s="54">
        <v>7558</v>
      </c>
      <c r="G1131" s="50">
        <v>13154</v>
      </c>
      <c r="H1131" s="50">
        <f>7800+8100</f>
        <v>15900</v>
      </c>
      <c r="I1131" s="54">
        <f t="shared" si="616"/>
        <v>16265.699999999999</v>
      </c>
      <c r="J1131" s="54">
        <f t="shared" si="617"/>
        <v>16656.076799999999</v>
      </c>
      <c r="K1131" s="54">
        <f t="shared" si="617"/>
        <v>17055.822643200001</v>
      </c>
      <c r="L1131" s="54">
        <f t="shared" si="618"/>
        <v>17448.106563993599</v>
      </c>
      <c r="M1131" s="54">
        <f t="shared" si="619"/>
        <v>17831.96490840146</v>
      </c>
      <c r="N1131" s="54">
        <f t="shared" si="620"/>
        <v>18242.100101294691</v>
      </c>
      <c r="O1131" s="54">
        <f t="shared" si="621"/>
        <v>18698.152603827057</v>
      </c>
      <c r="P1131" s="54">
        <f t="shared" si="621"/>
        <v>19165.606418922733</v>
      </c>
      <c r="Q1131" s="54">
        <f t="shared" si="622"/>
        <v>19625.580972976877</v>
      </c>
      <c r="R1131" s="54">
        <f t="shared" si="622"/>
        <v>20096.594916328322</v>
      </c>
    </row>
    <row r="1132" spans="1:18" x14ac:dyDescent="0.25">
      <c r="A1132" s="52" t="s">
        <v>728</v>
      </c>
      <c r="B1132" s="53"/>
      <c r="C1132" s="59">
        <v>0</v>
      </c>
      <c r="D1132" s="54">
        <v>0</v>
      </c>
      <c r="E1132" s="43">
        <v>0</v>
      </c>
      <c r="F1132" s="54">
        <v>0</v>
      </c>
      <c r="G1132" s="50">
        <v>0</v>
      </c>
      <c r="H1132" s="50">
        <v>0</v>
      </c>
      <c r="I1132" s="54">
        <f t="shared" si="616"/>
        <v>0</v>
      </c>
      <c r="J1132" s="54">
        <f t="shared" si="617"/>
        <v>0</v>
      </c>
      <c r="K1132" s="54">
        <f t="shared" si="617"/>
        <v>0</v>
      </c>
      <c r="L1132" s="54">
        <f t="shared" si="618"/>
        <v>0</v>
      </c>
      <c r="M1132" s="54">
        <f t="shared" si="619"/>
        <v>0</v>
      </c>
      <c r="N1132" s="54">
        <f t="shared" si="620"/>
        <v>0</v>
      </c>
      <c r="O1132" s="54">
        <f t="shared" si="621"/>
        <v>0</v>
      </c>
      <c r="P1132" s="54">
        <f t="shared" si="621"/>
        <v>0</v>
      </c>
      <c r="Q1132" s="54">
        <f t="shared" si="622"/>
        <v>0</v>
      </c>
      <c r="R1132" s="54">
        <f t="shared" si="622"/>
        <v>0</v>
      </c>
    </row>
    <row r="1133" spans="1:18" x14ac:dyDescent="0.25">
      <c r="A1133" s="52" t="s">
        <v>729</v>
      </c>
      <c r="B1133" s="53"/>
      <c r="C1133" s="59">
        <v>0</v>
      </c>
      <c r="D1133" s="54">
        <v>0</v>
      </c>
      <c r="E1133" s="43">
        <v>0</v>
      </c>
      <c r="F1133" s="54">
        <v>0</v>
      </c>
      <c r="G1133" s="50">
        <v>0</v>
      </c>
      <c r="H1133" s="50">
        <v>1000</v>
      </c>
      <c r="I1133" s="54">
        <f t="shared" si="616"/>
        <v>1022.9999999999999</v>
      </c>
      <c r="J1133" s="54">
        <f t="shared" si="617"/>
        <v>1047.5519999999999</v>
      </c>
      <c r="K1133" s="54">
        <f t="shared" si="617"/>
        <v>1072.693248</v>
      </c>
      <c r="L1133" s="54">
        <f t="shared" si="618"/>
        <v>1097.365192704</v>
      </c>
      <c r="M1133" s="54">
        <f t="shared" si="619"/>
        <v>1121.5072269434881</v>
      </c>
      <c r="N1133" s="54">
        <f t="shared" si="620"/>
        <v>1147.3018931631882</v>
      </c>
      <c r="O1133" s="54">
        <f t="shared" si="621"/>
        <v>1175.9844404922678</v>
      </c>
      <c r="P1133" s="54">
        <f t="shared" si="621"/>
        <v>1205.3840515045745</v>
      </c>
      <c r="Q1133" s="54">
        <f t="shared" si="622"/>
        <v>1234.3132687406842</v>
      </c>
      <c r="R1133" s="54">
        <f t="shared" si="622"/>
        <v>1263.9367871904606</v>
      </c>
    </row>
    <row r="1134" spans="1:18" x14ac:dyDescent="0.25">
      <c r="A1134" s="52" t="s">
        <v>730</v>
      </c>
      <c r="B1134" s="53"/>
      <c r="C1134" s="54">
        <v>1402</v>
      </c>
      <c r="D1134" s="54">
        <v>0</v>
      </c>
      <c r="E1134" s="43">
        <v>2000</v>
      </c>
      <c r="F1134" s="54">
        <v>0</v>
      </c>
      <c r="G1134" s="50">
        <v>0</v>
      </c>
      <c r="H1134" s="50">
        <v>2000</v>
      </c>
      <c r="I1134" s="54">
        <f t="shared" si="616"/>
        <v>2045.9999999999998</v>
      </c>
      <c r="J1134" s="54">
        <f t="shared" si="617"/>
        <v>2095.1039999999998</v>
      </c>
      <c r="K1134" s="54">
        <f t="shared" si="617"/>
        <v>2145.3864960000001</v>
      </c>
      <c r="L1134" s="54">
        <f t="shared" si="618"/>
        <v>2194.7303854080001</v>
      </c>
      <c r="M1134" s="54">
        <f t="shared" si="619"/>
        <v>2243.0144538869763</v>
      </c>
      <c r="N1134" s="54">
        <f t="shared" si="620"/>
        <v>2294.6037863263764</v>
      </c>
      <c r="O1134" s="54">
        <f t="shared" si="621"/>
        <v>2351.9688809845356</v>
      </c>
      <c r="P1134" s="54">
        <f t="shared" si="621"/>
        <v>2410.7681030091489</v>
      </c>
      <c r="Q1134" s="54">
        <f t="shared" si="622"/>
        <v>2468.6265374813684</v>
      </c>
      <c r="R1134" s="54">
        <f t="shared" si="622"/>
        <v>2527.8735743809211</v>
      </c>
    </row>
    <row r="1135" spans="1:18" x14ac:dyDescent="0.25">
      <c r="A1135" s="59" t="s">
        <v>731</v>
      </c>
      <c r="B1135" s="66"/>
      <c r="C1135" s="59">
        <v>0</v>
      </c>
      <c r="D1135" s="54">
        <v>0</v>
      </c>
      <c r="E1135" s="43">
        <v>0</v>
      </c>
      <c r="F1135" s="54">
        <v>0</v>
      </c>
      <c r="G1135" s="50">
        <v>0</v>
      </c>
      <c r="H1135" s="50">
        <v>2000</v>
      </c>
      <c r="I1135" s="54">
        <f t="shared" si="616"/>
        <v>2045.9999999999998</v>
      </c>
      <c r="J1135" s="54">
        <f t="shared" si="617"/>
        <v>2095.1039999999998</v>
      </c>
      <c r="K1135" s="54">
        <f t="shared" si="617"/>
        <v>2145.3864960000001</v>
      </c>
      <c r="L1135" s="54">
        <f t="shared" si="618"/>
        <v>2194.7303854080001</v>
      </c>
      <c r="M1135" s="54">
        <f t="shared" si="619"/>
        <v>2243.0144538869763</v>
      </c>
      <c r="N1135" s="54">
        <f t="shared" si="620"/>
        <v>2294.6037863263764</v>
      </c>
      <c r="O1135" s="54">
        <f t="shared" si="621"/>
        <v>2351.9688809845356</v>
      </c>
      <c r="P1135" s="54">
        <f t="shared" si="621"/>
        <v>2410.7681030091489</v>
      </c>
      <c r="Q1135" s="54">
        <f t="shared" si="622"/>
        <v>2468.6265374813684</v>
      </c>
      <c r="R1135" s="54">
        <f t="shared" si="622"/>
        <v>2527.8735743809211</v>
      </c>
    </row>
    <row r="1136" spans="1:18" x14ac:dyDescent="0.25">
      <c r="A1136" s="52" t="s">
        <v>732</v>
      </c>
      <c r="B1136" s="53"/>
      <c r="C1136" s="59">
        <v>0</v>
      </c>
      <c r="D1136" s="54">
        <f>C1136*1.025</f>
        <v>0</v>
      </c>
      <c r="E1136" s="54">
        <f>D1136*1.025</f>
        <v>0</v>
      </c>
      <c r="F1136" s="54">
        <v>0</v>
      </c>
      <c r="G1136" s="54">
        <v>0</v>
      </c>
      <c r="H1136" s="54">
        <v>0</v>
      </c>
      <c r="I1136" s="54">
        <v>0</v>
      </c>
      <c r="J1136" s="54">
        <v>0</v>
      </c>
      <c r="K1136" s="54">
        <v>0</v>
      </c>
      <c r="L1136" s="54">
        <v>0</v>
      </c>
      <c r="M1136" s="54">
        <v>0</v>
      </c>
      <c r="N1136" s="54">
        <v>0</v>
      </c>
      <c r="O1136" s="54">
        <v>0</v>
      </c>
      <c r="P1136" s="54">
        <v>0</v>
      </c>
      <c r="Q1136" s="54">
        <f t="shared" ref="Q1136:R1137" si="623">P1136*1.02</f>
        <v>0</v>
      </c>
      <c r="R1136" s="54">
        <f t="shared" si="623"/>
        <v>0</v>
      </c>
    </row>
    <row r="1137" spans="1:18" x14ac:dyDescent="0.25">
      <c r="A1137" s="52" t="s">
        <v>733</v>
      </c>
      <c r="B1137" s="53"/>
      <c r="C1137" s="59">
        <v>0</v>
      </c>
      <c r="D1137" s="54">
        <f>C1137*1.025</f>
        <v>0</v>
      </c>
      <c r="E1137" s="54">
        <f>D1137*1.025</f>
        <v>0</v>
      </c>
      <c r="F1137" s="54">
        <v>0</v>
      </c>
      <c r="G1137" s="54">
        <v>0</v>
      </c>
      <c r="H1137" s="54">
        <v>0</v>
      </c>
      <c r="I1137" s="54">
        <v>0</v>
      </c>
      <c r="J1137" s="54">
        <v>0</v>
      </c>
      <c r="K1137" s="54">
        <v>0</v>
      </c>
      <c r="L1137" s="54">
        <v>0</v>
      </c>
      <c r="M1137" s="54">
        <v>0</v>
      </c>
      <c r="N1137" s="54">
        <v>0</v>
      </c>
      <c r="O1137" s="54">
        <v>0</v>
      </c>
      <c r="P1137" s="54">
        <v>0</v>
      </c>
      <c r="Q1137" s="54">
        <f t="shared" si="623"/>
        <v>0</v>
      </c>
      <c r="R1137" s="54">
        <f t="shared" si="623"/>
        <v>0</v>
      </c>
    </row>
    <row r="1138" spans="1:18" x14ac:dyDescent="0.25">
      <c r="A1138" s="52" t="s">
        <v>712</v>
      </c>
      <c r="B1138" s="53"/>
      <c r="C1138" s="59">
        <v>0</v>
      </c>
      <c r="D1138" s="54"/>
      <c r="E1138" s="54"/>
      <c r="F1138" s="54"/>
      <c r="G1138" s="54"/>
      <c r="H1138" s="54"/>
      <c r="I1138" s="54"/>
      <c r="J1138" s="54"/>
      <c r="K1138" s="54"/>
      <c r="L1138" s="54"/>
      <c r="M1138" s="54"/>
      <c r="N1138" s="54"/>
      <c r="O1138" s="54"/>
      <c r="P1138" s="54"/>
      <c r="Q1138" s="54"/>
      <c r="R1138" s="54"/>
    </row>
    <row r="1139" spans="1:18" x14ac:dyDescent="0.25">
      <c r="A1139" s="59" t="s">
        <v>714</v>
      </c>
      <c r="B1139" s="53"/>
      <c r="C1139" s="59"/>
      <c r="D1139" s="54"/>
      <c r="E1139" s="54"/>
      <c r="F1139" s="54"/>
      <c r="G1139" s="50"/>
      <c r="H1139" s="54"/>
      <c r="I1139" s="54"/>
      <c r="J1139" s="54"/>
      <c r="K1139" s="54"/>
      <c r="L1139" s="54"/>
      <c r="M1139" s="54"/>
      <c r="N1139" s="54"/>
      <c r="O1139" s="54"/>
      <c r="P1139" s="54"/>
      <c r="Q1139" s="54"/>
      <c r="R1139" s="54"/>
    </row>
    <row r="1140" spans="1:18" x14ac:dyDescent="0.25">
      <c r="A1140" s="52"/>
      <c r="B1140" s="53"/>
      <c r="C1140" s="50"/>
      <c r="D1140" s="50"/>
      <c r="E1140" s="50"/>
      <c r="F1140" s="50"/>
      <c r="G1140" s="50"/>
      <c r="H1140" s="50"/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</row>
    <row r="1141" spans="1:18" x14ac:dyDescent="0.25">
      <c r="A1141" s="41" t="s">
        <v>734</v>
      </c>
      <c r="B1141" s="44"/>
      <c r="C1141" s="51">
        <f t="shared" ref="C1141" si="624">SUM(C1123:C1140)</f>
        <v>75331</v>
      </c>
      <c r="D1141" s="51">
        <f t="shared" ref="D1141:F1141" si="625">SUM(D1123:D1140)</f>
        <v>81765</v>
      </c>
      <c r="E1141" s="51">
        <f t="shared" si="625"/>
        <v>81012</v>
      </c>
      <c r="F1141" s="51">
        <f t="shared" si="625"/>
        <v>81705</v>
      </c>
      <c r="G1141" s="51">
        <f t="shared" ref="G1141" si="626">SUM(G1123:G1139)</f>
        <v>88585</v>
      </c>
      <c r="H1141" s="51">
        <f t="shared" ref="H1141:R1141" si="627">SUM(H1123:H1140)</f>
        <v>103260</v>
      </c>
      <c r="I1141" s="51">
        <f t="shared" si="627"/>
        <v>105786.19999999998</v>
      </c>
      <c r="J1141" s="51">
        <f t="shared" si="627"/>
        <v>108544.66479999998</v>
      </c>
      <c r="K1141" s="51">
        <f t="shared" si="627"/>
        <v>111546.57665519998</v>
      </c>
      <c r="L1141" s="51">
        <f t="shared" si="627"/>
        <v>114721.04208526957</v>
      </c>
      <c r="M1141" s="51">
        <f t="shared" si="627"/>
        <v>117852.55633065653</v>
      </c>
      <c r="N1141" s="51">
        <f t="shared" si="627"/>
        <v>120915.65692267634</v>
      </c>
      <c r="O1141" s="51">
        <f t="shared" si="627"/>
        <v>124409.07517605045</v>
      </c>
      <c r="P1141" s="51">
        <f t="shared" si="627"/>
        <v>128130.21476972217</v>
      </c>
      <c r="Q1141" s="51">
        <f t="shared" si="627"/>
        <v>131912.13003147955</v>
      </c>
      <c r="R1141" s="51">
        <f t="shared" si="627"/>
        <v>135645.54596316675</v>
      </c>
    </row>
    <row r="1142" spans="1:18" x14ac:dyDescent="0.25">
      <c r="C1142" s="50"/>
      <c r="D1142" s="50"/>
      <c r="E1142" s="50"/>
      <c r="F1142" s="50"/>
      <c r="G1142" s="50"/>
      <c r="H1142" s="50"/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</row>
    <row r="1143" spans="1:18" x14ac:dyDescent="0.25">
      <c r="A1143" s="41" t="s">
        <v>735</v>
      </c>
      <c r="B1143" s="44"/>
      <c r="C1143" s="50"/>
      <c r="D1143" s="50"/>
      <c r="E1143" s="50"/>
      <c r="F1143" s="50"/>
      <c r="G1143" s="50"/>
      <c r="H1143" s="50"/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</row>
    <row r="1144" spans="1:18" x14ac:dyDescent="0.25">
      <c r="A1144" s="43" t="s">
        <v>736</v>
      </c>
      <c r="C1144" s="54">
        <v>159320</v>
      </c>
      <c r="D1144">
        <v>165207</v>
      </c>
      <c r="E1144" s="43">
        <v>147272</v>
      </c>
      <c r="F1144" s="50">
        <v>139388</v>
      </c>
      <c r="G1144" s="50">
        <v>139485</v>
      </c>
      <c r="H1144" s="50">
        <v>175100</v>
      </c>
      <c r="I1144" s="50">
        <f>H1144*1.025</f>
        <v>179477.49999999997</v>
      </c>
      <c r="J1144" s="50">
        <f>I1144*1.029</f>
        <v>184682.34749999995</v>
      </c>
      <c r="K1144" s="54">
        <f>J1144*1.031</f>
        <v>190407.50027249992</v>
      </c>
      <c r="L1144" s="54">
        <f>K1144*1.033</f>
        <v>196690.9477814924</v>
      </c>
      <c r="M1144" s="54">
        <f>L1144*1.032</f>
        <v>202985.05811050016</v>
      </c>
      <c r="N1144" s="54">
        <f>M1144*1.03</f>
        <v>209074.60985381517</v>
      </c>
      <c r="O1144" s="54">
        <f>N1144*1.032</f>
        <v>215764.99736913727</v>
      </c>
      <c r="P1144" s="54">
        <f>O1144*1.034</f>
        <v>223101.00727968794</v>
      </c>
      <c r="Q1144" s="54">
        <f>P1144*1.034</f>
        <v>230686.44152719734</v>
      </c>
      <c r="R1144" s="54">
        <f>Q1144*1.034</f>
        <v>238529.78053912206</v>
      </c>
    </row>
    <row r="1145" spans="1:18" x14ac:dyDescent="0.25">
      <c r="A1145" s="43" t="s">
        <v>737</v>
      </c>
      <c r="C1145" s="54">
        <v>21183</v>
      </c>
      <c r="D1145" s="50">
        <v>13937</v>
      </c>
      <c r="E1145" s="50">
        <v>11353</v>
      </c>
      <c r="F1145" s="50">
        <v>10294</v>
      </c>
      <c r="G1145" s="50">
        <v>10016</v>
      </c>
      <c r="H1145" s="50">
        <v>12000</v>
      </c>
      <c r="I1145" s="54">
        <v>12276</v>
      </c>
      <c r="J1145" s="54">
        <v>12571</v>
      </c>
      <c r="K1145" s="54">
        <v>12873</v>
      </c>
      <c r="L1145" s="54">
        <v>13169</v>
      </c>
      <c r="M1145" s="54">
        <v>13459</v>
      </c>
      <c r="N1145" s="54">
        <v>13769</v>
      </c>
      <c r="O1145" s="54">
        <v>14113</v>
      </c>
      <c r="P1145" s="54">
        <v>14466</v>
      </c>
      <c r="Q1145" s="54">
        <v>14813</v>
      </c>
      <c r="R1145" s="54">
        <v>14813</v>
      </c>
    </row>
    <row r="1146" spans="1:18" x14ac:dyDescent="0.25">
      <c r="A1146" s="43" t="s">
        <v>220</v>
      </c>
      <c r="C1146" s="50">
        <v>20520</v>
      </c>
      <c r="D1146">
        <v>24016</v>
      </c>
      <c r="E1146" s="54">
        <v>19282</v>
      </c>
      <c r="F1146" s="50">
        <v>35418</v>
      </c>
      <c r="G1146" s="50">
        <v>14477</v>
      </c>
      <c r="H1146" s="50">
        <v>22800</v>
      </c>
      <c r="I1146" s="50">
        <f>H1146*1.025</f>
        <v>23369.999999999996</v>
      </c>
      <c r="J1146" s="50">
        <f>I1146*1.029</f>
        <v>24047.729999999996</v>
      </c>
      <c r="K1146" s="54">
        <f>J1146*1.031</f>
        <v>24793.209629999994</v>
      </c>
      <c r="L1146" s="54">
        <f>K1146*1.033</f>
        <v>25611.385547789992</v>
      </c>
      <c r="M1146" s="54">
        <f>L1146*1.032</f>
        <v>26430.949885319274</v>
      </c>
      <c r="N1146" s="54">
        <f>M1146*1.03</f>
        <v>27223.878381878854</v>
      </c>
      <c r="O1146" s="54">
        <f>N1146*1.032</f>
        <v>28095.042490098978</v>
      </c>
      <c r="P1146" s="54">
        <f>O1146*1.034</f>
        <v>29050.273934762343</v>
      </c>
      <c r="Q1146" s="54">
        <f>P1146*1.034</f>
        <v>30037.983248544264</v>
      </c>
      <c r="R1146" s="54">
        <f>Q1146*1.034</f>
        <v>31059.274678994771</v>
      </c>
    </row>
    <row r="1147" spans="1:18" x14ac:dyDescent="0.25">
      <c r="A1147" s="43" t="s">
        <v>221</v>
      </c>
      <c r="C1147" s="169">
        <v>5691</v>
      </c>
      <c r="D1147" s="98">
        <v>5217</v>
      </c>
      <c r="E1147" s="98">
        <v>5109</v>
      </c>
      <c r="F1147" s="98">
        <v>5109</v>
      </c>
      <c r="G1147" s="98">
        <v>4857</v>
      </c>
      <c r="H1147" s="98">
        <v>10200</v>
      </c>
      <c r="I1147" s="98">
        <v>10200</v>
      </c>
      <c r="J1147" s="98">
        <v>10200</v>
      </c>
      <c r="K1147" s="180">
        <v>10600</v>
      </c>
      <c r="L1147" s="180">
        <v>10600</v>
      </c>
      <c r="M1147" s="180">
        <v>10600</v>
      </c>
      <c r="N1147" s="180">
        <v>11200</v>
      </c>
      <c r="O1147" s="180">
        <v>11200</v>
      </c>
      <c r="P1147" s="180">
        <v>11200</v>
      </c>
      <c r="Q1147" s="180">
        <v>12100</v>
      </c>
      <c r="R1147" s="180">
        <v>12100</v>
      </c>
    </row>
    <row r="1148" spans="1:18" x14ac:dyDescent="0.25">
      <c r="A1148" s="43" t="s">
        <v>738</v>
      </c>
      <c r="C1148" s="54">
        <f>1167+34451-20</f>
        <v>35598</v>
      </c>
      <c r="D1148" s="50">
        <v>30105</v>
      </c>
      <c r="E1148" s="43">
        <f>1102+1200+35437+36672</f>
        <v>74411</v>
      </c>
      <c r="F1148" s="54">
        <v>112471</v>
      </c>
      <c r="G1148" s="50">
        <v>59935</v>
      </c>
      <c r="H1148" s="50">
        <v>43100</v>
      </c>
      <c r="I1148" s="54">
        <f t="shared" ref="I1148:I1149" si="628">H1148*1.023</f>
        <v>44091.299999999996</v>
      </c>
      <c r="J1148" s="54">
        <f t="shared" ref="J1148:K1149" si="629">I1148*1.024</f>
        <v>45149.491199999997</v>
      </c>
      <c r="K1148" s="54">
        <f t="shared" si="629"/>
        <v>46233.0789888</v>
      </c>
      <c r="L1148" s="54">
        <f t="shared" ref="L1148:L1149" si="630">K1148*1.023</f>
        <v>47296.439805542395</v>
      </c>
      <c r="M1148" s="54">
        <f t="shared" ref="M1148:M1149" si="631">L1148*1.022</f>
        <v>48336.961481264327</v>
      </c>
      <c r="N1148" s="54">
        <f t="shared" ref="N1148:N1149" si="632">M1148*1.023</f>
        <v>49448.7115953334</v>
      </c>
      <c r="O1148" s="54">
        <f t="shared" ref="O1148:P1149" si="633">N1148*1.025</f>
        <v>50684.929385216732</v>
      </c>
      <c r="P1148" s="54">
        <f t="shared" si="633"/>
        <v>51952.052619847149</v>
      </c>
      <c r="Q1148" s="54">
        <f t="shared" ref="Q1148:R1149" si="634">P1148*1.024</f>
        <v>53198.901882723483</v>
      </c>
      <c r="R1148" s="54">
        <f t="shared" si="634"/>
        <v>54475.675527908847</v>
      </c>
    </row>
    <row r="1149" spans="1:18" x14ac:dyDescent="0.25">
      <c r="A1149" s="52" t="s">
        <v>739</v>
      </c>
      <c r="B1149" s="53"/>
      <c r="C1149" s="54">
        <v>356</v>
      </c>
      <c r="D1149" s="54">
        <v>399</v>
      </c>
      <c r="E1149" s="43">
        <v>0</v>
      </c>
      <c r="F1149" s="54">
        <v>0</v>
      </c>
      <c r="G1149" s="54">
        <v>0</v>
      </c>
      <c r="H1149" s="50">
        <v>500</v>
      </c>
      <c r="I1149" s="54">
        <f t="shared" si="628"/>
        <v>511.49999999999994</v>
      </c>
      <c r="J1149" s="54">
        <f t="shared" si="629"/>
        <v>523.77599999999995</v>
      </c>
      <c r="K1149" s="54">
        <f t="shared" si="629"/>
        <v>536.34662400000002</v>
      </c>
      <c r="L1149" s="54">
        <f t="shared" si="630"/>
        <v>548.68259635200002</v>
      </c>
      <c r="M1149" s="54">
        <f t="shared" si="631"/>
        <v>560.75361347174407</v>
      </c>
      <c r="N1149" s="54">
        <f t="shared" si="632"/>
        <v>573.6509465815941</v>
      </c>
      <c r="O1149" s="54">
        <f t="shared" si="633"/>
        <v>587.99222024613391</v>
      </c>
      <c r="P1149" s="54">
        <f t="shared" si="633"/>
        <v>602.69202575228724</v>
      </c>
      <c r="Q1149" s="54">
        <f t="shared" si="634"/>
        <v>617.15663437034209</v>
      </c>
      <c r="R1149" s="54">
        <f t="shared" si="634"/>
        <v>631.96839359523028</v>
      </c>
    </row>
    <row r="1150" spans="1:18" x14ac:dyDescent="0.25">
      <c r="A1150" s="52"/>
      <c r="B1150" s="53"/>
      <c r="C1150" s="50"/>
      <c r="D1150" s="50"/>
      <c r="E1150" s="50"/>
      <c r="F1150" s="50"/>
      <c r="G1150" s="50"/>
      <c r="H1150" s="50"/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</row>
    <row r="1151" spans="1:18" x14ac:dyDescent="0.25">
      <c r="A1151" s="41" t="s">
        <v>722</v>
      </c>
      <c r="B1151" s="44"/>
      <c r="C1151" s="51">
        <f t="shared" ref="C1151" si="635">SUM(C1144:C1150)</f>
        <v>242668</v>
      </c>
      <c r="D1151" s="51">
        <f t="shared" ref="D1151:R1151" si="636">SUM(D1144:D1150)</f>
        <v>238881</v>
      </c>
      <c r="E1151" s="51">
        <f t="shared" si="636"/>
        <v>257427</v>
      </c>
      <c r="F1151" s="51">
        <f t="shared" si="636"/>
        <v>302680</v>
      </c>
      <c r="G1151" s="51">
        <f t="shared" si="636"/>
        <v>228770</v>
      </c>
      <c r="H1151" s="51">
        <f t="shared" si="636"/>
        <v>263700</v>
      </c>
      <c r="I1151" s="51">
        <f t="shared" si="636"/>
        <v>269926.3</v>
      </c>
      <c r="J1151" s="51">
        <f t="shared" si="636"/>
        <v>277174.34469999996</v>
      </c>
      <c r="K1151" s="51">
        <f t="shared" si="636"/>
        <v>285443.13551529992</v>
      </c>
      <c r="L1151" s="51">
        <f t="shared" si="636"/>
        <v>293916.45573117683</v>
      </c>
      <c r="M1151" s="51">
        <f t="shared" si="636"/>
        <v>302372.72309055552</v>
      </c>
      <c r="N1151" s="51">
        <f t="shared" si="636"/>
        <v>311289.85077760904</v>
      </c>
      <c r="O1151" s="51">
        <f t="shared" si="636"/>
        <v>320445.96146469907</v>
      </c>
      <c r="P1151" s="51">
        <f t="shared" si="636"/>
        <v>330372.02586004965</v>
      </c>
      <c r="Q1151" s="51">
        <f t="shared" si="636"/>
        <v>341453.48329283542</v>
      </c>
      <c r="R1151" s="51">
        <f t="shared" si="636"/>
        <v>351609.69913962093</v>
      </c>
    </row>
    <row r="1152" spans="1:18" x14ac:dyDescent="0.25">
      <c r="A1152" s="41"/>
      <c r="B1152" s="44"/>
      <c r="C1152" s="50"/>
      <c r="D1152" s="50"/>
      <c r="E1152" s="50"/>
      <c r="F1152" s="50"/>
      <c r="G1152" s="50"/>
      <c r="H1152" s="50"/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</row>
    <row r="1153" spans="1:18" x14ac:dyDescent="0.25">
      <c r="A1153" s="41" t="s">
        <v>230</v>
      </c>
      <c r="B1153" s="44"/>
      <c r="C1153" s="51">
        <f t="shared" ref="C1153:R1153" si="637">C1141+C1151</f>
        <v>317999</v>
      </c>
      <c r="D1153" s="51">
        <f t="shared" si="637"/>
        <v>320646</v>
      </c>
      <c r="E1153" s="51">
        <f t="shared" si="637"/>
        <v>338439</v>
      </c>
      <c r="F1153" s="51">
        <f t="shared" si="637"/>
        <v>384385</v>
      </c>
      <c r="G1153" s="51">
        <f t="shared" si="637"/>
        <v>317355</v>
      </c>
      <c r="H1153" s="51">
        <f t="shared" si="637"/>
        <v>366960</v>
      </c>
      <c r="I1153" s="51">
        <f t="shared" si="637"/>
        <v>375712.5</v>
      </c>
      <c r="J1153" s="51">
        <f t="shared" si="637"/>
        <v>385719.00949999993</v>
      </c>
      <c r="K1153" s="51">
        <f t="shared" si="637"/>
        <v>396989.7121704999</v>
      </c>
      <c r="L1153" s="51">
        <f t="shared" si="637"/>
        <v>408637.49781644641</v>
      </c>
      <c r="M1153" s="51">
        <f t="shared" si="637"/>
        <v>420225.27942121204</v>
      </c>
      <c r="N1153" s="51">
        <f t="shared" si="637"/>
        <v>432205.50770028541</v>
      </c>
      <c r="O1153" s="51">
        <f t="shared" si="637"/>
        <v>444855.03664074955</v>
      </c>
      <c r="P1153" s="51">
        <f t="shared" si="637"/>
        <v>458502.24062977184</v>
      </c>
      <c r="Q1153" s="51">
        <f t="shared" si="637"/>
        <v>473365.61332431494</v>
      </c>
      <c r="R1153" s="51">
        <f t="shared" si="637"/>
        <v>487255.24510278768</v>
      </c>
    </row>
    <row r="1154" spans="1:18" x14ac:dyDescent="0.25">
      <c r="C1154" s="50"/>
      <c r="D1154" s="50"/>
      <c r="E1154" s="50"/>
      <c r="F1154" s="50"/>
      <c r="G1154" s="50"/>
      <c r="H1154" s="50"/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</row>
    <row r="1155" spans="1:18" x14ac:dyDescent="0.25">
      <c r="A1155" s="41" t="s">
        <v>740</v>
      </c>
      <c r="B1155" s="44"/>
      <c r="C1155" s="51">
        <f t="shared" ref="C1155" si="638">C1153-C1118</f>
        <v>252137</v>
      </c>
      <c r="D1155" s="51">
        <f>D1153-D1118</f>
        <v>253070</v>
      </c>
      <c r="E1155" s="51">
        <f t="shared" ref="E1155:R1155" si="639">E1153-E1118</f>
        <v>270032</v>
      </c>
      <c r="F1155" s="51">
        <f t="shared" si="639"/>
        <v>313684</v>
      </c>
      <c r="G1155" s="51">
        <f t="shared" si="639"/>
        <v>243479</v>
      </c>
      <c r="H1155" s="51">
        <f t="shared" si="639"/>
        <v>286460</v>
      </c>
      <c r="I1155" s="51">
        <f t="shared" si="639"/>
        <v>293361</v>
      </c>
      <c r="J1155" s="51">
        <f t="shared" si="639"/>
        <v>301391.07349999994</v>
      </c>
      <c r="K1155" s="51">
        <f t="shared" si="639"/>
        <v>310637.90570649988</v>
      </c>
      <c r="L1155" s="51">
        <f t="shared" si="639"/>
        <v>320299.59980377438</v>
      </c>
      <c r="M1155" s="51">
        <f t="shared" si="639"/>
        <v>329943.94765226124</v>
      </c>
      <c r="N1155" s="51">
        <f t="shared" si="639"/>
        <v>339847.70530064875</v>
      </c>
      <c r="O1155" s="51">
        <f t="shared" si="639"/>
        <v>350188.28918112197</v>
      </c>
      <c r="P1155" s="51">
        <f t="shared" si="639"/>
        <v>361468.82448365359</v>
      </c>
      <c r="Q1155" s="51">
        <f t="shared" si="639"/>
        <v>374003.39519068983</v>
      </c>
      <c r="R1155" s="51">
        <f t="shared" si="639"/>
        <v>385508.33373395563</v>
      </c>
    </row>
    <row r="1156" spans="1:18" x14ac:dyDescent="0.25">
      <c r="C1156" s="50"/>
      <c r="D1156" s="50"/>
      <c r="E1156" s="50"/>
      <c r="F1156" s="50"/>
      <c r="G1156" s="50"/>
      <c r="H1156" s="50"/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</row>
    <row r="1157" spans="1:18" x14ac:dyDescent="0.25">
      <c r="A1157" s="41" t="s">
        <v>741</v>
      </c>
      <c r="B1157" s="44"/>
      <c r="C1157" s="50"/>
      <c r="D1157" s="50"/>
      <c r="E1157" s="50"/>
      <c r="F1157" s="50"/>
      <c r="G1157" s="50"/>
      <c r="H1157" s="50"/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</row>
    <row r="1158" spans="1:18" x14ac:dyDescent="0.25">
      <c r="A1158" s="41"/>
      <c r="B1158" s="44"/>
      <c r="C1158" s="50"/>
      <c r="D1158" s="50"/>
      <c r="E1158" s="50"/>
      <c r="F1158" s="50"/>
      <c r="G1158" s="50"/>
      <c r="H1158" s="50"/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</row>
    <row r="1159" spans="1:18" x14ac:dyDescent="0.25">
      <c r="A1159" s="41" t="s">
        <v>202</v>
      </c>
      <c r="B1159" s="44"/>
      <c r="C1159" s="50"/>
      <c r="D1159" s="50"/>
      <c r="E1159" s="50"/>
      <c r="F1159" s="50"/>
      <c r="G1159" s="50"/>
      <c r="H1159" s="50"/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</row>
    <row r="1160" spans="1:18" x14ac:dyDescent="0.25">
      <c r="C1160" s="50"/>
      <c r="D1160" s="50"/>
      <c r="E1160" s="50"/>
      <c r="F1160" s="50"/>
      <c r="G1160" s="50"/>
      <c r="H1160" s="50"/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</row>
    <row r="1161" spans="1:18" x14ac:dyDescent="0.25">
      <c r="A1161" s="52" t="s">
        <v>742</v>
      </c>
      <c r="B1161" s="53"/>
      <c r="C1161" s="50"/>
      <c r="D1161" s="50"/>
      <c r="E1161" s="50"/>
      <c r="F1161" s="50"/>
      <c r="G1161" s="50"/>
      <c r="H1161" s="50"/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</row>
    <row r="1162" spans="1:18" x14ac:dyDescent="0.25">
      <c r="A1162" s="43" t="s">
        <v>743</v>
      </c>
      <c r="C1162" s="54">
        <f>2123778+11980-4193</f>
        <v>2131565</v>
      </c>
      <c r="D1162">
        <f>2299173+6619</f>
        <v>2305792</v>
      </c>
      <c r="E1162" s="43">
        <f>2418556+6938</f>
        <v>2425494</v>
      </c>
      <c r="F1162">
        <f>2486654+3695</f>
        <v>2490349</v>
      </c>
      <c r="G1162">
        <v>2564640</v>
      </c>
      <c r="H1162">
        <v>2733400</v>
      </c>
      <c r="I1162" s="54">
        <f t="shared" ref="I1162:I1168" si="640">H1162*1.023</f>
        <v>2796268.1999999997</v>
      </c>
      <c r="J1162" s="54">
        <f t="shared" ref="J1162:K1168" si="641">I1162*1.024</f>
        <v>2863378.6368</v>
      </c>
      <c r="K1162" s="54">
        <f t="shared" si="641"/>
        <v>2932099.7240832001</v>
      </c>
      <c r="L1162" s="54">
        <f t="shared" ref="L1162:L1168" si="642">K1162*1.023</f>
        <v>2999538.0177371134</v>
      </c>
      <c r="M1162" s="54">
        <f t="shared" ref="M1162:M1168" si="643">L1162*1.022</f>
        <v>3065527.8541273298</v>
      </c>
      <c r="N1162" s="54">
        <f t="shared" ref="N1162:N1168" si="644">M1162*1.023</f>
        <v>3136034.9947722582</v>
      </c>
      <c r="O1162" s="54">
        <f t="shared" ref="O1162:P1168" si="645">N1162*1.025</f>
        <v>3214435.8696415643</v>
      </c>
      <c r="P1162" s="54">
        <f t="shared" si="645"/>
        <v>3294796.766382603</v>
      </c>
      <c r="Q1162" s="50">
        <f t="shared" ref="Q1162:R1168" si="646">P1162*1.024</f>
        <v>3373871.8887757855</v>
      </c>
      <c r="R1162" s="50">
        <f t="shared" si="646"/>
        <v>3454844.8141064043</v>
      </c>
    </row>
    <row r="1163" spans="1:18" x14ac:dyDescent="0.25">
      <c r="A1163" s="43" t="s">
        <v>744</v>
      </c>
      <c r="C1163" s="54">
        <f>140488+5</f>
        <v>140493</v>
      </c>
      <c r="D1163">
        <f>148628+1503</f>
        <v>150131</v>
      </c>
      <c r="E1163" s="43">
        <f>161125-4805</f>
        <v>156320</v>
      </c>
      <c r="F1163">
        <f>156330+2449</f>
        <v>158779</v>
      </c>
      <c r="G1163">
        <v>165478</v>
      </c>
      <c r="H1163">
        <v>175600</v>
      </c>
      <c r="I1163" s="54">
        <f t="shared" si="640"/>
        <v>179638.8</v>
      </c>
      <c r="J1163" s="54">
        <f t="shared" si="641"/>
        <v>183950.1312</v>
      </c>
      <c r="K1163" s="54">
        <f t="shared" si="641"/>
        <v>188364.93434880002</v>
      </c>
      <c r="L1163" s="54">
        <f t="shared" si="642"/>
        <v>192697.32783882241</v>
      </c>
      <c r="M1163" s="54">
        <f t="shared" si="643"/>
        <v>196936.66905127652</v>
      </c>
      <c r="N1163" s="54">
        <f t="shared" si="644"/>
        <v>201466.21243945585</v>
      </c>
      <c r="O1163" s="54">
        <f t="shared" si="645"/>
        <v>206502.86775044224</v>
      </c>
      <c r="P1163" s="54">
        <f t="shared" si="645"/>
        <v>211665.43944420328</v>
      </c>
      <c r="Q1163" s="50">
        <f t="shared" si="646"/>
        <v>216745.40999086417</v>
      </c>
      <c r="R1163" s="50">
        <f t="shared" si="646"/>
        <v>221947.29983064492</v>
      </c>
    </row>
    <row r="1164" spans="1:18" x14ac:dyDescent="0.25">
      <c r="A1164" s="43" t="s">
        <v>745</v>
      </c>
      <c r="C1164" s="54">
        <f>853-34</f>
        <v>819</v>
      </c>
      <c r="D1164">
        <f>2221-12</f>
        <v>2209</v>
      </c>
      <c r="E1164" s="43">
        <f>2608-82</f>
        <v>2526</v>
      </c>
      <c r="F1164">
        <f>3770+96</f>
        <v>3866</v>
      </c>
      <c r="G1164">
        <v>3953</v>
      </c>
      <c r="H1164">
        <v>4300</v>
      </c>
      <c r="I1164" s="54">
        <f t="shared" si="640"/>
        <v>4398.8999999999996</v>
      </c>
      <c r="J1164" s="54">
        <f t="shared" si="641"/>
        <v>4504.4735999999994</v>
      </c>
      <c r="K1164" s="54">
        <f t="shared" si="641"/>
        <v>4612.5809663999999</v>
      </c>
      <c r="L1164" s="54">
        <f t="shared" si="642"/>
        <v>4718.6703286271995</v>
      </c>
      <c r="M1164" s="54">
        <f t="shared" si="643"/>
        <v>4822.4810758569984</v>
      </c>
      <c r="N1164" s="54">
        <f t="shared" si="644"/>
        <v>4933.3981406017092</v>
      </c>
      <c r="O1164" s="54">
        <f t="shared" si="645"/>
        <v>5056.7330941167511</v>
      </c>
      <c r="P1164" s="54">
        <f t="shared" si="645"/>
        <v>5183.151421469669</v>
      </c>
      <c r="Q1164" s="50">
        <f t="shared" si="646"/>
        <v>5307.5470555849415</v>
      </c>
      <c r="R1164" s="50">
        <f t="shared" si="646"/>
        <v>5434.9281849189802</v>
      </c>
    </row>
    <row r="1165" spans="1:18" x14ac:dyDescent="0.25">
      <c r="A1165" s="52" t="s">
        <v>746</v>
      </c>
      <c r="B1165" s="53"/>
      <c r="C1165" s="54">
        <v>5487</v>
      </c>
      <c r="D1165" s="54">
        <v>5272</v>
      </c>
      <c r="E1165" s="43">
        <v>6339</v>
      </c>
      <c r="F1165" s="43">
        <v>6159</v>
      </c>
      <c r="G1165" s="43">
        <v>5596</v>
      </c>
      <c r="H1165" s="43">
        <v>6100</v>
      </c>
      <c r="I1165" s="54">
        <f t="shared" si="640"/>
        <v>6240.2999999999993</v>
      </c>
      <c r="J1165" s="54">
        <f t="shared" si="641"/>
        <v>6390.0671999999995</v>
      </c>
      <c r="K1165" s="54">
        <f t="shared" si="641"/>
        <v>6543.4288127999998</v>
      </c>
      <c r="L1165" s="54">
        <f t="shared" si="642"/>
        <v>6693.9276754943994</v>
      </c>
      <c r="M1165" s="54">
        <f t="shared" si="643"/>
        <v>6841.1940843552766</v>
      </c>
      <c r="N1165" s="54">
        <f t="shared" si="644"/>
        <v>6998.5415482954477</v>
      </c>
      <c r="O1165" s="54">
        <f t="shared" si="645"/>
        <v>7173.5050870028335</v>
      </c>
      <c r="P1165" s="54">
        <f t="shared" si="645"/>
        <v>7352.8427141779039</v>
      </c>
      <c r="Q1165" s="50">
        <f t="shared" si="646"/>
        <v>7529.310939318174</v>
      </c>
      <c r="R1165" s="50">
        <f t="shared" si="646"/>
        <v>7710.0144018618103</v>
      </c>
    </row>
    <row r="1166" spans="1:18" x14ac:dyDescent="0.25">
      <c r="A1166" s="52" t="s">
        <v>747</v>
      </c>
      <c r="B1166" s="53"/>
      <c r="C1166" s="54">
        <v>-29332</v>
      </c>
      <c r="D1166" s="54">
        <v>-29869</v>
      </c>
      <c r="E1166" s="43">
        <v>-29408</v>
      </c>
      <c r="F1166" s="54">
        <v>-30214</v>
      </c>
      <c r="G1166" s="54">
        <v>-25633</v>
      </c>
      <c r="H1166" s="54">
        <v>-26100</v>
      </c>
      <c r="I1166" s="54">
        <f t="shared" si="640"/>
        <v>-26700.3</v>
      </c>
      <c r="J1166" s="54">
        <f t="shared" si="641"/>
        <v>-27341.107199999999</v>
      </c>
      <c r="K1166" s="54">
        <f t="shared" si="641"/>
        <v>-27997.2937728</v>
      </c>
      <c r="L1166" s="54">
        <f t="shared" si="642"/>
        <v>-28641.231529574397</v>
      </c>
      <c r="M1166" s="54">
        <f t="shared" si="643"/>
        <v>-29271.338623225034</v>
      </c>
      <c r="N1166" s="54">
        <f t="shared" si="644"/>
        <v>-29944.579411559207</v>
      </c>
      <c r="O1166" s="54">
        <f t="shared" si="645"/>
        <v>-30693.193896848185</v>
      </c>
      <c r="P1166" s="54">
        <f t="shared" si="645"/>
        <v>-31460.523744269387</v>
      </c>
      <c r="Q1166" s="50">
        <f t="shared" si="646"/>
        <v>-32215.576314131853</v>
      </c>
      <c r="R1166" s="50">
        <f t="shared" si="646"/>
        <v>-32988.750145671016</v>
      </c>
    </row>
    <row r="1167" spans="1:18" x14ac:dyDescent="0.25">
      <c r="A1167" s="52" t="s">
        <v>748</v>
      </c>
      <c r="B1167" s="53"/>
      <c r="C1167" s="54"/>
      <c r="D1167" s="54"/>
      <c r="F1167" s="50"/>
      <c r="G1167" s="54">
        <v>13699</v>
      </c>
      <c r="H1167" s="54">
        <v>14400</v>
      </c>
      <c r="I1167" s="54">
        <f t="shared" si="640"/>
        <v>14731.199999999999</v>
      </c>
      <c r="J1167" s="54">
        <f t="shared" si="641"/>
        <v>15084.748799999999</v>
      </c>
      <c r="K1167" s="54">
        <f t="shared" si="641"/>
        <v>15446.7827712</v>
      </c>
      <c r="L1167" s="54">
        <f t="shared" si="642"/>
        <v>15802.058774937599</v>
      </c>
      <c r="M1167" s="54">
        <f t="shared" si="643"/>
        <v>16149.704067986226</v>
      </c>
      <c r="N1167" s="54">
        <f t="shared" si="644"/>
        <v>16521.147261549908</v>
      </c>
      <c r="O1167" s="54">
        <f t="shared" si="645"/>
        <v>16934.175943088652</v>
      </c>
      <c r="P1167" s="54">
        <f t="shared" si="645"/>
        <v>17357.530341665868</v>
      </c>
      <c r="Q1167" s="50">
        <f t="shared" si="646"/>
        <v>17774.111069865849</v>
      </c>
      <c r="R1167" s="50">
        <f t="shared" si="646"/>
        <v>18200.68973554263</v>
      </c>
    </row>
    <row r="1168" spans="1:18" x14ac:dyDescent="0.25">
      <c r="A1168" s="43" t="s">
        <v>749</v>
      </c>
      <c r="C1168" s="54">
        <v>89903</v>
      </c>
      <c r="D1168" s="54">
        <v>75008</v>
      </c>
      <c r="E1168" s="43">
        <v>75008</v>
      </c>
      <c r="F1168" s="54">
        <v>74956</v>
      </c>
      <c r="G1168" s="54">
        <v>0</v>
      </c>
      <c r="H1168" s="54">
        <v>0</v>
      </c>
      <c r="I1168" s="54">
        <f t="shared" si="640"/>
        <v>0</v>
      </c>
      <c r="J1168" s="54">
        <f t="shared" si="641"/>
        <v>0</v>
      </c>
      <c r="K1168" s="54">
        <f t="shared" si="641"/>
        <v>0</v>
      </c>
      <c r="L1168" s="54">
        <f t="shared" si="642"/>
        <v>0</v>
      </c>
      <c r="M1168" s="54">
        <f t="shared" si="643"/>
        <v>0</v>
      </c>
      <c r="N1168" s="54">
        <f t="shared" si="644"/>
        <v>0</v>
      </c>
      <c r="O1168" s="54">
        <f t="shared" si="645"/>
        <v>0</v>
      </c>
      <c r="P1168" s="54">
        <f t="shared" si="645"/>
        <v>0</v>
      </c>
      <c r="Q1168" s="50">
        <f t="shared" si="646"/>
        <v>0</v>
      </c>
      <c r="R1168" s="50">
        <f t="shared" si="646"/>
        <v>0</v>
      </c>
    </row>
    <row r="1169" spans="1:18" x14ac:dyDescent="0.25">
      <c r="A1169" s="43" t="s">
        <v>750</v>
      </c>
      <c r="C1169" s="54"/>
      <c r="D1169" s="54"/>
      <c r="F1169" s="54"/>
      <c r="G1169" s="54">
        <v>59821</v>
      </c>
      <c r="H1169" s="67">
        <v>59800</v>
      </c>
      <c r="I1169" s="67">
        <v>59800</v>
      </c>
      <c r="J1169" s="50">
        <v>59800</v>
      </c>
      <c r="K1169" s="54"/>
      <c r="L1169" s="54"/>
      <c r="M1169" s="54"/>
      <c r="N1169" s="54"/>
      <c r="O1169" s="54"/>
      <c r="P1169" s="54"/>
      <c r="Q1169" s="50"/>
      <c r="R1169" s="50"/>
    </row>
    <row r="1170" spans="1:18" x14ac:dyDescent="0.25">
      <c r="A1170" s="43" t="s">
        <v>751</v>
      </c>
      <c r="C1170" s="54">
        <v>862</v>
      </c>
      <c r="D1170" s="50"/>
      <c r="E1170" s="43">
        <v>0</v>
      </c>
      <c r="F1170" s="50"/>
      <c r="G1170" s="50">
        <v>0</v>
      </c>
      <c r="H1170" s="50"/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</row>
    <row r="1171" spans="1:18" x14ac:dyDescent="0.25">
      <c r="A1171" s="52" t="s">
        <v>752</v>
      </c>
      <c r="C1171" s="54">
        <v>22500</v>
      </c>
      <c r="D1171" s="50">
        <v>2500</v>
      </c>
      <c r="E1171" s="43">
        <v>0</v>
      </c>
      <c r="F1171" s="50"/>
      <c r="G1171" s="50">
        <v>0</v>
      </c>
      <c r="H1171" s="50"/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</row>
    <row r="1172" spans="1:18" x14ac:dyDescent="0.25">
      <c r="A1172" s="43" t="s">
        <v>753</v>
      </c>
      <c r="C1172" s="54">
        <v>4079</v>
      </c>
      <c r="D1172" s="54">
        <v>5625</v>
      </c>
      <c r="E1172" s="43">
        <v>5838</v>
      </c>
      <c r="F1172" s="54">
        <v>5121</v>
      </c>
      <c r="G1172" s="54">
        <v>7847</v>
      </c>
      <c r="H1172" s="54">
        <v>7000</v>
      </c>
      <c r="I1172" s="54">
        <f t="shared" ref="I1172" si="647">H1172*1.023</f>
        <v>7160.9999999999991</v>
      </c>
      <c r="J1172" s="54">
        <f t="shared" ref="J1172:K1172" si="648">I1172*1.024</f>
        <v>7332.8639999999996</v>
      </c>
      <c r="K1172" s="54">
        <f t="shared" si="648"/>
        <v>7508.8527359999998</v>
      </c>
      <c r="L1172" s="54">
        <f t="shared" ref="L1172" si="649">K1172*1.023</f>
        <v>7681.5563489279994</v>
      </c>
      <c r="M1172" s="54">
        <f t="shared" ref="M1172" si="650">L1172*1.022</f>
        <v>7850.5505886044157</v>
      </c>
      <c r="N1172" s="54">
        <f t="shared" ref="N1172" si="651">M1172*1.023</f>
        <v>8031.1132521423169</v>
      </c>
      <c r="O1172" s="54">
        <f t="shared" ref="O1172:R1173" si="652">N1172*1.025</f>
        <v>8231.8910834458748</v>
      </c>
      <c r="P1172" s="54">
        <f t="shared" si="652"/>
        <v>8437.6883605320218</v>
      </c>
      <c r="Q1172" s="50">
        <f t="shared" ref="Q1172:R1172" si="653">P1172*1.024</f>
        <v>8640.1928811847902</v>
      </c>
      <c r="R1172" s="50">
        <f t="shared" si="653"/>
        <v>8847.5575103332249</v>
      </c>
    </row>
    <row r="1173" spans="1:18" x14ac:dyDescent="0.25">
      <c r="A1173" s="43" t="s">
        <v>754</v>
      </c>
      <c r="C1173" s="54">
        <v>356</v>
      </c>
      <c r="D1173" s="54">
        <v>0</v>
      </c>
      <c r="E1173" s="43">
        <v>0</v>
      </c>
      <c r="F1173" s="54">
        <v>0</v>
      </c>
      <c r="G1173" s="54">
        <v>0</v>
      </c>
      <c r="H1173" s="54">
        <v>0</v>
      </c>
      <c r="I1173" s="54">
        <f>H1173*1.02</f>
        <v>0</v>
      </c>
      <c r="J1173" s="54">
        <f t="shared" ref="J1173" si="654">I1173*1.021</f>
        <v>0</v>
      </c>
      <c r="K1173" s="54">
        <f t="shared" ref="K1173" si="655">J1173*1.023</f>
        <v>0</v>
      </c>
      <c r="L1173" s="54">
        <f t="shared" ref="L1173" si="656">K1173*1.024</f>
        <v>0</v>
      </c>
      <c r="M1173" s="54">
        <f t="shared" ref="M1173" si="657">L1173*1.023</f>
        <v>0</v>
      </c>
      <c r="N1173" s="54">
        <f t="shared" ref="N1173" si="658">M1173*1.021</f>
        <v>0</v>
      </c>
      <c r="O1173" s="54">
        <f t="shared" ref="O1173" si="659">N1173*1.022</f>
        <v>0</v>
      </c>
      <c r="P1173" s="54">
        <f t="shared" si="652"/>
        <v>0</v>
      </c>
      <c r="Q1173" s="50">
        <f t="shared" si="652"/>
        <v>0</v>
      </c>
      <c r="R1173" s="50">
        <f t="shared" si="652"/>
        <v>0</v>
      </c>
    </row>
    <row r="1174" spans="1:18" x14ac:dyDescent="0.25">
      <c r="A1174" s="52" t="s">
        <v>755</v>
      </c>
      <c r="B1174" s="53"/>
      <c r="C1174" s="59"/>
      <c r="D1174" s="50"/>
      <c r="E1174" s="43">
        <v>0</v>
      </c>
      <c r="F1174" s="50"/>
      <c r="G1174" s="50">
        <v>0</v>
      </c>
      <c r="H1174" s="50"/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</row>
    <row r="1175" spans="1:18" x14ac:dyDescent="0.25">
      <c r="A1175" s="43" t="s">
        <v>756</v>
      </c>
      <c r="C1175" s="54">
        <v>758</v>
      </c>
      <c r="D1175" s="54">
        <v>520</v>
      </c>
      <c r="E1175" s="43">
        <v>645</v>
      </c>
      <c r="F1175" s="54">
        <v>546</v>
      </c>
      <c r="G1175" s="54">
        <v>585</v>
      </c>
      <c r="H1175" s="54">
        <v>600</v>
      </c>
      <c r="I1175" s="54">
        <f t="shared" ref="I1175" si="660">H1175*1.023</f>
        <v>613.79999999999995</v>
      </c>
      <c r="J1175" s="54">
        <f t="shared" ref="J1175:K1175" si="661">I1175*1.024</f>
        <v>628.53120000000001</v>
      </c>
      <c r="K1175" s="54">
        <f t="shared" si="661"/>
        <v>643.61594880000007</v>
      </c>
      <c r="L1175" s="54">
        <f t="shared" ref="L1175" si="662">K1175*1.023</f>
        <v>658.4191156224</v>
      </c>
      <c r="M1175" s="54">
        <f t="shared" ref="M1175" si="663">L1175*1.022</f>
        <v>672.90433616609278</v>
      </c>
      <c r="N1175" s="54">
        <f t="shared" ref="N1175" si="664">M1175*1.023</f>
        <v>688.38113589791283</v>
      </c>
      <c r="O1175" s="54">
        <f t="shared" ref="O1175:P1175" si="665">N1175*1.025</f>
        <v>705.59066429536063</v>
      </c>
      <c r="P1175" s="54">
        <f t="shared" si="665"/>
        <v>723.23043090274462</v>
      </c>
      <c r="Q1175" s="50">
        <f t="shared" ref="Q1175:R1175" si="666">P1175*1.024</f>
        <v>740.58796124441051</v>
      </c>
      <c r="R1175" s="50">
        <f t="shared" si="666"/>
        <v>758.36207231427636</v>
      </c>
    </row>
    <row r="1176" spans="1:18" x14ac:dyDescent="0.25">
      <c r="C1176" s="50"/>
      <c r="D1176" s="50"/>
      <c r="E1176" s="50"/>
      <c r="F1176" s="50"/>
      <c r="G1176" s="50"/>
      <c r="H1176" s="50"/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</row>
    <row r="1177" spans="1:18" x14ac:dyDescent="0.25">
      <c r="A1177" s="41" t="s">
        <v>216</v>
      </c>
      <c r="B1177" s="44"/>
      <c r="C1177" s="51">
        <f t="shared" ref="C1177" si="667">SUM(C1162:C1176)</f>
        <v>2367490</v>
      </c>
      <c r="D1177" s="51">
        <f t="shared" ref="D1177:F1177" si="668">SUM(D1162:D1176)</f>
        <v>2517188</v>
      </c>
      <c r="E1177" s="51">
        <f t="shared" si="668"/>
        <v>2642762</v>
      </c>
      <c r="F1177" s="51">
        <f t="shared" si="668"/>
        <v>2709562</v>
      </c>
      <c r="G1177" s="51">
        <f>SUM(G1162:G1176)</f>
        <v>2795986</v>
      </c>
      <c r="H1177" s="51">
        <f>SUM(H1162:H1176)</f>
        <v>2975100</v>
      </c>
      <c r="I1177" s="51">
        <f t="shared" ref="I1177:R1177" si="669">SUM(I1162:I1176)</f>
        <v>3042151.8999999994</v>
      </c>
      <c r="J1177" s="51">
        <f t="shared" si="669"/>
        <v>3113728.3456000006</v>
      </c>
      <c r="K1177" s="51">
        <f t="shared" si="669"/>
        <v>3127222.6258944003</v>
      </c>
      <c r="L1177" s="51">
        <f t="shared" si="669"/>
        <v>3199148.7462899708</v>
      </c>
      <c r="M1177" s="51">
        <f t="shared" si="669"/>
        <v>3269530.0187083501</v>
      </c>
      <c r="N1177" s="51">
        <f t="shared" si="669"/>
        <v>3344729.2091386421</v>
      </c>
      <c r="O1177" s="51">
        <f t="shared" si="669"/>
        <v>3428347.4393671076</v>
      </c>
      <c r="P1177" s="51">
        <f t="shared" si="669"/>
        <v>3514056.1253512851</v>
      </c>
      <c r="Q1177" s="51">
        <f t="shared" si="669"/>
        <v>3598393.472359716</v>
      </c>
      <c r="R1177" s="51">
        <f t="shared" si="669"/>
        <v>3684754.915696349</v>
      </c>
    </row>
    <row r="1178" spans="1:18" x14ac:dyDescent="0.25">
      <c r="C1178" s="50"/>
      <c r="D1178" s="50"/>
      <c r="E1178" s="50"/>
      <c r="F1178" s="50"/>
      <c r="G1178" s="50"/>
      <c r="H1178" s="50"/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</row>
    <row r="1179" spans="1:18" x14ac:dyDescent="0.25">
      <c r="A1179" s="41" t="s">
        <v>165</v>
      </c>
      <c r="B1179" s="44"/>
      <c r="C1179" s="50"/>
      <c r="D1179" s="50"/>
      <c r="E1179" s="50"/>
      <c r="F1179" s="50"/>
      <c r="G1179" s="50"/>
      <c r="H1179" s="50"/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</row>
    <row r="1180" spans="1:18" x14ac:dyDescent="0.25">
      <c r="C1180" s="50"/>
      <c r="D1180" s="50"/>
      <c r="E1180" s="50"/>
      <c r="F1180" s="50"/>
      <c r="G1180" s="50"/>
      <c r="H1180" s="50"/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</row>
    <row r="1181" spans="1:18" x14ac:dyDescent="0.25">
      <c r="A1181" s="52" t="s">
        <v>757</v>
      </c>
      <c r="B1181" s="53"/>
      <c r="C1181" s="50"/>
      <c r="D1181" s="50"/>
      <c r="E1181" s="50"/>
      <c r="F1181" s="50"/>
      <c r="G1181" s="50"/>
      <c r="H1181" s="50"/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</row>
    <row r="1182" spans="1:18" x14ac:dyDescent="0.25">
      <c r="A1182" s="52" t="s">
        <v>758</v>
      </c>
      <c r="B1182" s="53"/>
      <c r="C1182" s="54">
        <v>813384</v>
      </c>
      <c r="D1182" s="50">
        <v>873807</v>
      </c>
      <c r="E1182" s="50">
        <v>986389</v>
      </c>
      <c r="F1182" s="50">
        <v>959132</v>
      </c>
      <c r="G1182" s="50">
        <v>993239</v>
      </c>
      <c r="H1182" s="50">
        <f>1020000+60000+24000</f>
        <v>1104000</v>
      </c>
      <c r="I1182" s="50">
        <f t="shared" ref="I1182:I1183" si="670">H1182*1.023</f>
        <v>1129392</v>
      </c>
      <c r="J1182" s="54">
        <f t="shared" ref="J1182:K1183" si="671">I1182*1.024</f>
        <v>1156497.4080000001</v>
      </c>
      <c r="K1182" s="54">
        <f t="shared" si="671"/>
        <v>1184253.3457920002</v>
      </c>
      <c r="L1182" s="54">
        <f t="shared" ref="L1182:L1183" si="672">K1182*1.023</f>
        <v>1211491.1727452162</v>
      </c>
      <c r="M1182" s="54">
        <f t="shared" ref="M1182:M1183" si="673">L1182*1.022</f>
        <v>1238143.978545611</v>
      </c>
      <c r="N1182" s="54">
        <f t="shared" ref="N1182:N1183" si="674">M1182*1.023</f>
        <v>1266621.2900521599</v>
      </c>
      <c r="O1182" s="54">
        <f t="shared" ref="O1182:P1183" si="675">N1182*1.025</f>
        <v>1298286.8223034637</v>
      </c>
      <c r="P1182" s="54">
        <f t="shared" si="675"/>
        <v>1330743.9928610502</v>
      </c>
      <c r="Q1182" s="50">
        <f t="shared" ref="Q1182:R1183" si="676">P1182*1.024</f>
        <v>1362681.8486897154</v>
      </c>
      <c r="R1182" s="50">
        <f t="shared" si="676"/>
        <v>1395386.2130582687</v>
      </c>
    </row>
    <row r="1183" spans="1:18" x14ac:dyDescent="0.25">
      <c r="A1183" s="52" t="s">
        <v>759</v>
      </c>
      <c r="B1183" s="53"/>
      <c r="C1183" s="54"/>
      <c r="D1183" s="50">
        <v>0</v>
      </c>
      <c r="E1183" s="50">
        <v>18161</v>
      </c>
      <c r="F1183" s="50">
        <v>5630</v>
      </c>
      <c r="G1183" s="50">
        <v>7739</v>
      </c>
      <c r="H1183" s="50">
        <v>10500</v>
      </c>
      <c r="I1183" s="50">
        <f t="shared" si="670"/>
        <v>10741.499999999998</v>
      </c>
      <c r="J1183" s="54">
        <f t="shared" si="671"/>
        <v>10999.295999999998</v>
      </c>
      <c r="K1183" s="54">
        <f t="shared" si="671"/>
        <v>11263.279103999999</v>
      </c>
      <c r="L1183" s="54">
        <f t="shared" si="672"/>
        <v>11522.334523391999</v>
      </c>
      <c r="M1183" s="54">
        <f t="shared" si="673"/>
        <v>11775.825882906624</v>
      </c>
      <c r="N1183" s="54">
        <f t="shared" si="674"/>
        <v>12046.669878213475</v>
      </c>
      <c r="O1183" s="54">
        <f t="shared" si="675"/>
        <v>12347.836625168811</v>
      </c>
      <c r="P1183" s="54">
        <f t="shared" si="675"/>
        <v>12656.532540798031</v>
      </c>
      <c r="Q1183" s="50">
        <f t="shared" si="676"/>
        <v>12960.289321777183</v>
      </c>
      <c r="R1183" s="50">
        <f t="shared" si="676"/>
        <v>13271.336265499836</v>
      </c>
    </row>
    <row r="1184" spans="1:18" x14ac:dyDescent="0.25">
      <c r="A1184" s="52" t="s">
        <v>760</v>
      </c>
      <c r="B1184" s="53"/>
      <c r="C1184" s="54"/>
      <c r="D1184" s="50"/>
      <c r="E1184" s="50"/>
      <c r="F1184" s="50"/>
      <c r="G1184" s="50"/>
      <c r="H1184" s="50"/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</row>
    <row r="1185" spans="1:18" x14ac:dyDescent="0.25">
      <c r="A1185" s="52" t="s">
        <v>761</v>
      </c>
      <c r="B1185" s="53"/>
      <c r="C1185" s="54">
        <v>839909</v>
      </c>
      <c r="D1185" s="50">
        <v>926606</v>
      </c>
      <c r="E1185" s="50">
        <v>937826</v>
      </c>
      <c r="F1185" s="50">
        <v>963314</v>
      </c>
      <c r="G1185" s="50">
        <v>1048055</v>
      </c>
      <c r="H1185" s="50">
        <v>1101000</v>
      </c>
      <c r="I1185" s="50">
        <f t="shared" ref="I1185" si="677">H1185*1.023</f>
        <v>1126323</v>
      </c>
      <c r="J1185" s="54">
        <f t="shared" ref="J1185:K1185" si="678">I1185*1.024</f>
        <v>1153354.7520000001</v>
      </c>
      <c r="K1185" s="54">
        <f t="shared" si="678"/>
        <v>1181035.2660480002</v>
      </c>
      <c r="L1185" s="54">
        <f t="shared" ref="L1185" si="679">K1185*1.023</f>
        <v>1208199.077167104</v>
      </c>
      <c r="M1185" s="54">
        <f t="shared" ref="M1185" si="680">L1185*1.022</f>
        <v>1234779.4568647803</v>
      </c>
      <c r="N1185" s="54">
        <f t="shared" ref="N1185" si="681">M1185*1.023</f>
        <v>1263179.3843726702</v>
      </c>
      <c r="O1185" s="54">
        <f t="shared" ref="O1185:P1185" si="682">N1185*1.025</f>
        <v>1294758.8689819868</v>
      </c>
      <c r="P1185" s="54">
        <f t="shared" si="682"/>
        <v>1327127.8407065363</v>
      </c>
      <c r="Q1185" s="50">
        <f t="shared" ref="Q1185:R1185" si="683">P1185*1.024</f>
        <v>1358978.9088834932</v>
      </c>
      <c r="R1185" s="50">
        <f t="shared" si="683"/>
        <v>1391594.402696697</v>
      </c>
    </row>
    <row r="1186" spans="1:18" x14ac:dyDescent="0.25">
      <c r="A1186" s="52" t="s">
        <v>762</v>
      </c>
      <c r="B1186" s="53"/>
      <c r="C1186" s="54">
        <v>6843</v>
      </c>
      <c r="D1186" s="50">
        <v>0</v>
      </c>
      <c r="E1186" s="50"/>
      <c r="F1186" s="50">
        <v>0</v>
      </c>
      <c r="G1186" s="50">
        <v>0</v>
      </c>
      <c r="H1186" s="50">
        <v>0</v>
      </c>
      <c r="I1186" s="50">
        <v>0</v>
      </c>
      <c r="J1186" s="50">
        <v>0</v>
      </c>
      <c r="K1186" s="50">
        <v>0</v>
      </c>
      <c r="L1186" s="50">
        <v>0</v>
      </c>
      <c r="M1186" s="50">
        <v>0</v>
      </c>
      <c r="N1186" s="50">
        <v>0</v>
      </c>
      <c r="O1186" s="50">
        <v>0</v>
      </c>
      <c r="P1186" s="50">
        <v>0</v>
      </c>
      <c r="Q1186" s="50">
        <v>0</v>
      </c>
      <c r="R1186" s="50">
        <v>0</v>
      </c>
    </row>
    <row r="1187" spans="1:18" x14ac:dyDescent="0.25">
      <c r="A1187" s="52" t="s">
        <v>763</v>
      </c>
      <c r="B1187" s="53"/>
      <c r="C1187" s="50">
        <v>0</v>
      </c>
      <c r="D1187" s="50">
        <v>0</v>
      </c>
      <c r="E1187" s="50">
        <v>0</v>
      </c>
      <c r="F1187" s="50">
        <v>0</v>
      </c>
      <c r="G1187" s="50">
        <v>0</v>
      </c>
      <c r="H1187" s="50">
        <v>0</v>
      </c>
      <c r="I1187" s="50">
        <v>0</v>
      </c>
      <c r="J1187" s="54">
        <v>0</v>
      </c>
      <c r="K1187" s="54">
        <v>0</v>
      </c>
      <c r="L1187" s="54">
        <v>0</v>
      </c>
      <c r="M1187" s="54">
        <v>0</v>
      </c>
      <c r="N1187" s="54">
        <v>0</v>
      </c>
      <c r="O1187" s="54">
        <v>0</v>
      </c>
      <c r="P1187" s="50">
        <v>0</v>
      </c>
      <c r="Q1187" s="50">
        <f t="shared" ref="Q1187:R1190" si="684">P1187*1.024</f>
        <v>0</v>
      </c>
      <c r="R1187" s="50">
        <f t="shared" si="684"/>
        <v>0</v>
      </c>
    </row>
    <row r="1188" spans="1:18" x14ac:dyDescent="0.25">
      <c r="A1188" s="52" t="s">
        <v>764</v>
      </c>
      <c r="B1188" s="53"/>
      <c r="C1188" s="50">
        <v>63942</v>
      </c>
      <c r="D1188" s="50">
        <v>57210</v>
      </c>
      <c r="E1188" s="50">
        <v>65143</v>
      </c>
      <c r="F1188" s="50">
        <v>66751</v>
      </c>
      <c r="G1188" s="50">
        <v>69851</v>
      </c>
      <c r="H1188" s="50">
        <v>72500</v>
      </c>
      <c r="I1188" s="50">
        <f t="shared" ref="I1188:I1190" si="685">H1188*1.023</f>
        <v>74167.5</v>
      </c>
      <c r="J1188" s="54">
        <f t="shared" ref="J1188:K1190" si="686">I1188*1.024</f>
        <v>75947.520000000004</v>
      </c>
      <c r="K1188" s="54">
        <f t="shared" si="686"/>
        <v>77770.260480000012</v>
      </c>
      <c r="L1188" s="54">
        <f t="shared" ref="L1188:L1190" si="687">K1188*1.023</f>
        <v>79558.976471040005</v>
      </c>
      <c r="M1188" s="54">
        <f t="shared" ref="M1188:M1190" si="688">L1188*1.022</f>
        <v>81309.273953402881</v>
      </c>
      <c r="N1188" s="54">
        <f t="shared" ref="N1188:N1190" si="689">M1188*1.023</f>
        <v>83179.387254331145</v>
      </c>
      <c r="O1188" s="54">
        <f t="shared" ref="O1188:P1190" si="690">N1188*1.025</f>
        <v>85258.871935689414</v>
      </c>
      <c r="P1188" s="54">
        <f t="shared" si="690"/>
        <v>87390.343734081645</v>
      </c>
      <c r="Q1188" s="50">
        <f t="shared" si="684"/>
        <v>89487.711983699613</v>
      </c>
      <c r="R1188" s="50">
        <f t="shared" si="684"/>
        <v>91635.417071308402</v>
      </c>
    </row>
    <row r="1189" spans="1:18" x14ac:dyDescent="0.25">
      <c r="A1189" s="52" t="s">
        <v>765</v>
      </c>
      <c r="B1189" s="53"/>
      <c r="C1189" s="54">
        <v>43131</v>
      </c>
      <c r="D1189" s="50">
        <f>13260+1537</f>
        <v>14797</v>
      </c>
      <c r="E1189" s="50">
        <v>41145</v>
      </c>
      <c r="F1189" s="50">
        <v>-10428</v>
      </c>
      <c r="G1189" s="50">
        <v>157</v>
      </c>
      <c r="H1189" s="50">
        <v>0</v>
      </c>
      <c r="I1189" s="50">
        <f t="shared" si="685"/>
        <v>0</v>
      </c>
      <c r="J1189" s="54">
        <f t="shared" si="686"/>
        <v>0</v>
      </c>
      <c r="K1189" s="54">
        <f t="shared" si="686"/>
        <v>0</v>
      </c>
      <c r="L1189" s="54">
        <f t="shared" si="687"/>
        <v>0</v>
      </c>
      <c r="M1189" s="54">
        <f t="shared" si="688"/>
        <v>0</v>
      </c>
      <c r="N1189" s="54">
        <f t="shared" si="689"/>
        <v>0</v>
      </c>
      <c r="O1189" s="54">
        <f t="shared" si="690"/>
        <v>0</v>
      </c>
      <c r="P1189" s="54">
        <f t="shared" si="690"/>
        <v>0</v>
      </c>
      <c r="Q1189" s="50">
        <f t="shared" si="684"/>
        <v>0</v>
      </c>
      <c r="R1189" s="50">
        <f t="shared" si="684"/>
        <v>0</v>
      </c>
    </row>
    <row r="1190" spans="1:18" x14ac:dyDescent="0.25">
      <c r="A1190" s="52" t="s">
        <v>766</v>
      </c>
      <c r="B1190" s="53"/>
      <c r="C1190" s="54"/>
      <c r="D1190" s="50"/>
      <c r="E1190" s="50"/>
      <c r="F1190" s="50"/>
      <c r="G1190" s="50">
        <v>22555</v>
      </c>
      <c r="H1190" s="50">
        <v>25000</v>
      </c>
      <c r="I1190" s="50">
        <f t="shared" si="685"/>
        <v>25574.999999999996</v>
      </c>
      <c r="J1190" s="54">
        <f t="shared" si="686"/>
        <v>26188.799999999996</v>
      </c>
      <c r="K1190" s="54">
        <f t="shared" si="686"/>
        <v>26817.331199999997</v>
      </c>
      <c r="L1190" s="54">
        <f t="shared" si="687"/>
        <v>27434.129817599995</v>
      </c>
      <c r="M1190" s="54">
        <f t="shared" si="688"/>
        <v>28037.680673587194</v>
      </c>
      <c r="N1190" s="54">
        <f t="shared" si="689"/>
        <v>28682.547329079698</v>
      </c>
      <c r="O1190" s="54">
        <f t="shared" si="690"/>
        <v>29399.611012306686</v>
      </c>
      <c r="P1190" s="54">
        <f t="shared" si="690"/>
        <v>30134.60128761435</v>
      </c>
      <c r="Q1190" s="50">
        <f t="shared" si="684"/>
        <v>30857.831718517096</v>
      </c>
      <c r="R1190" s="50">
        <f t="shared" si="684"/>
        <v>31598.419679761508</v>
      </c>
    </row>
    <row r="1191" spans="1:18" x14ac:dyDescent="0.25">
      <c r="A1191" s="52" t="s">
        <v>755</v>
      </c>
      <c r="B1191" s="53"/>
      <c r="C1191" s="50">
        <f>14103+36292</f>
        <v>50395</v>
      </c>
      <c r="D1191" s="50">
        <v>58900</v>
      </c>
      <c r="E1191" s="50">
        <v>72982</v>
      </c>
      <c r="F1191" s="50">
        <v>70413</v>
      </c>
      <c r="G1191" s="50">
        <v>137836</v>
      </c>
      <c r="H1191" s="50">
        <v>115300</v>
      </c>
      <c r="I1191" s="50">
        <v>118153.09999999998</v>
      </c>
      <c r="J1191" s="54">
        <v>121504.34939999998</v>
      </c>
      <c r="K1191" s="54">
        <v>125163.19113059997</v>
      </c>
      <c r="L1191" s="54">
        <v>129135.89053045375</v>
      </c>
      <c r="M1191" s="54">
        <v>133106.92634410079</v>
      </c>
      <c r="N1191" s="54">
        <v>136984.73104077129</v>
      </c>
      <c r="O1191" s="54">
        <v>141250.1850692695</v>
      </c>
      <c r="P1191" s="50">
        <v>145897.10862014754</v>
      </c>
      <c r="Q1191" s="50">
        <v>150680.41885766137</v>
      </c>
      <c r="R1191" s="50">
        <v>155622.10904831698</v>
      </c>
    </row>
    <row r="1192" spans="1:18" x14ac:dyDescent="0.25">
      <c r="A1192" s="43" t="s">
        <v>767</v>
      </c>
      <c r="C1192" s="50">
        <v>0</v>
      </c>
      <c r="D1192" s="50">
        <v>0</v>
      </c>
      <c r="E1192" s="50">
        <v>0</v>
      </c>
      <c r="F1192" s="50">
        <v>0</v>
      </c>
      <c r="G1192" s="50">
        <v>0</v>
      </c>
      <c r="H1192" s="50">
        <v>4500</v>
      </c>
      <c r="I1192" s="50">
        <f>H1192*1.025</f>
        <v>4612.5</v>
      </c>
      <c r="J1192" s="50">
        <f>I1192*1.029</f>
        <v>4746.2624999999998</v>
      </c>
      <c r="K1192" s="54">
        <f>J1192*1.031</f>
        <v>4893.3966374999991</v>
      </c>
      <c r="L1192" s="54">
        <f>K1192*1.033</f>
        <v>5054.8787265374986</v>
      </c>
      <c r="M1192" s="54">
        <f>L1192*1.032</f>
        <v>5216.6348457866989</v>
      </c>
      <c r="N1192" s="54">
        <f>M1192*1.03</f>
        <v>5373.1338911602998</v>
      </c>
      <c r="O1192" s="54">
        <f>N1192*1.032</f>
        <v>5545.0741756774296</v>
      </c>
      <c r="P1192" s="54">
        <f>O1192*1.034</f>
        <v>5733.6066976504626</v>
      </c>
      <c r="Q1192" s="50">
        <f>P1192*1.034</f>
        <v>5928.5493253705781</v>
      </c>
      <c r="R1192" s="50">
        <f>Q1192*1.034</f>
        <v>6130.1200024331783</v>
      </c>
    </row>
    <row r="1193" spans="1:18" x14ac:dyDescent="0.25">
      <c r="A1193" s="43" t="s">
        <v>768</v>
      </c>
      <c r="C1193" s="54">
        <v>34900</v>
      </c>
      <c r="D1193" s="50">
        <v>52631</v>
      </c>
      <c r="E1193" s="50">
        <v>67120</v>
      </c>
      <c r="F1193" s="50">
        <v>50443</v>
      </c>
      <c r="G1193" s="50">
        <v>29245</v>
      </c>
      <c r="H1193" s="50">
        <v>30000</v>
      </c>
      <c r="I1193" s="50">
        <f t="shared" ref="I1193:I1197" si="691">H1193*1.023</f>
        <v>30689.999999999996</v>
      </c>
      <c r="J1193" s="54">
        <f t="shared" ref="J1193:K1197" si="692">I1193*1.024</f>
        <v>31426.559999999998</v>
      </c>
      <c r="K1193" s="54">
        <f t="shared" si="692"/>
        <v>32180.797439999998</v>
      </c>
      <c r="L1193" s="54">
        <f t="shared" ref="L1193:L1197" si="693">K1193*1.023</f>
        <v>32920.955781119992</v>
      </c>
      <c r="M1193" s="54">
        <f t="shared" ref="M1193:M1197" si="694">L1193*1.022</f>
        <v>33645.216808304634</v>
      </c>
      <c r="N1193" s="54">
        <f t="shared" ref="N1193:N1197" si="695">M1193*1.023</f>
        <v>34419.056794895638</v>
      </c>
      <c r="O1193" s="54">
        <f t="shared" ref="O1193:P1197" si="696">N1193*1.025</f>
        <v>35279.533214768024</v>
      </c>
      <c r="P1193" s="54">
        <f t="shared" si="696"/>
        <v>36161.521545137221</v>
      </c>
      <c r="Q1193" s="50">
        <f t="shared" ref="Q1193:R1197" si="697">P1193*1.024</f>
        <v>37029.398062220513</v>
      </c>
      <c r="R1193" s="50">
        <f t="shared" si="697"/>
        <v>37918.103615713808</v>
      </c>
    </row>
    <row r="1194" spans="1:18" x14ac:dyDescent="0.25">
      <c r="A1194" s="52" t="s">
        <v>769</v>
      </c>
      <c r="B1194" s="53"/>
      <c r="C1194" s="54">
        <v>142728</v>
      </c>
      <c r="D1194" s="50">
        <v>126985</v>
      </c>
      <c r="E1194" s="50">
        <v>68745</v>
      </c>
      <c r="F1194" s="50">
        <v>19265</v>
      </c>
      <c r="G1194" s="50">
        <v>10782</v>
      </c>
      <c r="H1194" s="50">
        <v>10000</v>
      </c>
      <c r="I1194" s="50">
        <f t="shared" si="691"/>
        <v>10230</v>
      </c>
      <c r="J1194" s="54">
        <f t="shared" si="692"/>
        <v>10475.52</v>
      </c>
      <c r="K1194" s="54">
        <f t="shared" si="692"/>
        <v>10726.932480000001</v>
      </c>
      <c r="L1194" s="54">
        <f t="shared" si="693"/>
        <v>10973.65192704</v>
      </c>
      <c r="M1194" s="54">
        <f t="shared" si="694"/>
        <v>11215.072269434881</v>
      </c>
      <c r="N1194" s="54">
        <f t="shared" si="695"/>
        <v>11473.018931631881</v>
      </c>
      <c r="O1194" s="54">
        <f t="shared" si="696"/>
        <v>11759.844404922676</v>
      </c>
      <c r="P1194" s="54">
        <f t="shared" si="696"/>
        <v>12053.840515045742</v>
      </c>
      <c r="Q1194" s="50">
        <f t="shared" si="697"/>
        <v>12343.13268740684</v>
      </c>
      <c r="R1194" s="50">
        <f t="shared" si="697"/>
        <v>12639.367871904604</v>
      </c>
    </row>
    <row r="1195" spans="1:18" x14ac:dyDescent="0.25">
      <c r="A1195" s="52" t="s">
        <v>36</v>
      </c>
      <c r="B1195" s="53"/>
      <c r="C1195" s="54">
        <v>6763</v>
      </c>
      <c r="D1195" s="50">
        <v>5543</v>
      </c>
      <c r="E1195" s="50">
        <v>8224</v>
      </c>
      <c r="F1195" s="50">
        <v>7284</v>
      </c>
      <c r="G1195" s="50">
        <v>9259</v>
      </c>
      <c r="H1195" s="50">
        <v>10000</v>
      </c>
      <c r="I1195" s="50">
        <f t="shared" si="691"/>
        <v>10230</v>
      </c>
      <c r="J1195" s="54">
        <f t="shared" si="692"/>
        <v>10475.52</v>
      </c>
      <c r="K1195" s="54">
        <f t="shared" si="692"/>
        <v>10726.932480000001</v>
      </c>
      <c r="L1195" s="54">
        <f t="shared" si="693"/>
        <v>10973.65192704</v>
      </c>
      <c r="M1195" s="54">
        <f t="shared" si="694"/>
        <v>11215.072269434881</v>
      </c>
      <c r="N1195" s="54">
        <f t="shared" si="695"/>
        <v>11473.018931631881</v>
      </c>
      <c r="O1195" s="54">
        <f t="shared" si="696"/>
        <v>11759.844404922676</v>
      </c>
      <c r="P1195" s="54">
        <f t="shared" si="696"/>
        <v>12053.840515045742</v>
      </c>
      <c r="Q1195" s="50">
        <f t="shared" si="697"/>
        <v>12343.13268740684</v>
      </c>
      <c r="R1195" s="50">
        <f t="shared" si="697"/>
        <v>12639.367871904604</v>
      </c>
    </row>
    <row r="1196" spans="1:18" x14ac:dyDescent="0.25">
      <c r="A1196" s="52" t="s">
        <v>770</v>
      </c>
      <c r="B1196" s="53"/>
      <c r="C1196" s="54">
        <v>154252</v>
      </c>
      <c r="D1196" s="50">
        <v>160267</v>
      </c>
      <c r="E1196" s="50">
        <v>163488</v>
      </c>
      <c r="F1196" s="50">
        <v>164544</v>
      </c>
      <c r="G1196" s="50">
        <v>165531</v>
      </c>
      <c r="H1196" s="50">
        <v>176000</v>
      </c>
      <c r="I1196" s="50">
        <f t="shared" si="691"/>
        <v>180047.99999999997</v>
      </c>
      <c r="J1196" s="54">
        <f t="shared" si="692"/>
        <v>184369.15199999997</v>
      </c>
      <c r="K1196" s="54">
        <f t="shared" si="692"/>
        <v>188794.01164799999</v>
      </c>
      <c r="L1196" s="54">
        <f t="shared" si="693"/>
        <v>193136.27391590396</v>
      </c>
      <c r="M1196" s="54">
        <f t="shared" si="694"/>
        <v>197385.27194205386</v>
      </c>
      <c r="N1196" s="54">
        <f t="shared" si="695"/>
        <v>201925.13319672109</v>
      </c>
      <c r="O1196" s="54">
        <f t="shared" si="696"/>
        <v>206973.26152663911</v>
      </c>
      <c r="P1196" s="54">
        <f t="shared" si="696"/>
        <v>212147.59306480506</v>
      </c>
      <c r="Q1196" s="50">
        <f t="shared" si="697"/>
        <v>217239.13529836037</v>
      </c>
      <c r="R1196" s="50">
        <f t="shared" si="697"/>
        <v>222452.87454552102</v>
      </c>
    </row>
    <row r="1197" spans="1:18" x14ac:dyDescent="0.25">
      <c r="A1197" s="52" t="s">
        <v>771</v>
      </c>
      <c r="B1197" s="53"/>
      <c r="C1197" s="54"/>
      <c r="D1197" s="50">
        <v>4596</v>
      </c>
      <c r="E1197" s="50">
        <v>21035</v>
      </c>
      <c r="F1197" s="50">
        <v>20566</v>
      </c>
      <c r="G1197" s="50">
        <v>21640</v>
      </c>
      <c r="H1197" s="50">
        <v>23000</v>
      </c>
      <c r="I1197" s="50">
        <f t="shared" si="691"/>
        <v>23528.999999999996</v>
      </c>
      <c r="J1197" s="54">
        <f t="shared" si="692"/>
        <v>24093.695999999996</v>
      </c>
      <c r="K1197" s="54">
        <f t="shared" si="692"/>
        <v>24671.944703999998</v>
      </c>
      <c r="L1197" s="54">
        <f t="shared" si="693"/>
        <v>25239.399432191996</v>
      </c>
      <c r="M1197" s="54">
        <f t="shared" si="694"/>
        <v>25794.666219700222</v>
      </c>
      <c r="N1197" s="54">
        <f t="shared" si="695"/>
        <v>26387.943542753324</v>
      </c>
      <c r="O1197" s="54">
        <f t="shared" si="696"/>
        <v>27047.642131322154</v>
      </c>
      <c r="P1197" s="54">
        <f t="shared" si="696"/>
        <v>27723.833184605206</v>
      </c>
      <c r="Q1197" s="50">
        <f t="shared" si="697"/>
        <v>28389.20518103573</v>
      </c>
      <c r="R1197" s="50">
        <f t="shared" si="697"/>
        <v>29070.546105380588</v>
      </c>
    </row>
    <row r="1198" spans="1:18" x14ac:dyDescent="0.25">
      <c r="A1198" s="52" t="s">
        <v>756</v>
      </c>
      <c r="B1198" s="53"/>
      <c r="C1198" s="54">
        <v>55</v>
      </c>
      <c r="D1198" s="50">
        <v>0</v>
      </c>
      <c r="E1198" s="50">
        <v>0</v>
      </c>
      <c r="F1198" s="50">
        <v>0</v>
      </c>
      <c r="G1198" s="50">
        <v>0</v>
      </c>
      <c r="H1198" s="50"/>
      <c r="I1198" s="54"/>
      <c r="J1198" s="54"/>
      <c r="K1198" s="54"/>
      <c r="L1198" s="54"/>
      <c r="M1198" s="54"/>
      <c r="N1198" s="54"/>
      <c r="O1198" s="54"/>
      <c r="P1198" s="54"/>
      <c r="Q1198" s="50"/>
      <c r="R1198" s="50"/>
    </row>
    <row r="1199" spans="1:18" x14ac:dyDescent="0.25">
      <c r="A1199" s="52" t="s">
        <v>772</v>
      </c>
      <c r="B1199" s="53"/>
      <c r="C1199" s="50"/>
      <c r="D1199" s="50"/>
      <c r="E1199" s="50"/>
      <c r="F1199" s="50"/>
      <c r="G1199" s="50">
        <v>0</v>
      </c>
      <c r="H1199" s="50"/>
      <c r="I1199" s="50"/>
      <c r="J1199" s="50"/>
      <c r="K1199" s="50"/>
      <c r="L1199" s="50"/>
      <c r="M1199" s="50"/>
      <c r="N1199" s="50"/>
      <c r="O1199" s="50"/>
      <c r="P1199" s="50"/>
      <c r="Q1199" s="50"/>
      <c r="R1199" s="50"/>
    </row>
    <row r="1200" spans="1:18" x14ac:dyDescent="0.25">
      <c r="A1200" s="52" t="s">
        <v>773</v>
      </c>
      <c r="B1200" s="53"/>
      <c r="C1200" s="52">
        <v>0</v>
      </c>
      <c r="D1200" s="50">
        <v>0</v>
      </c>
      <c r="E1200" s="50">
        <v>0</v>
      </c>
      <c r="F1200" s="50">
        <v>0</v>
      </c>
      <c r="G1200" s="50">
        <v>0</v>
      </c>
      <c r="H1200" s="50"/>
      <c r="I1200" s="50">
        <f t="shared" ref="I1200:I1202" si="698">H1200*1.025</f>
        <v>0</v>
      </c>
      <c r="J1200" s="50">
        <f t="shared" ref="J1200:J1202" si="699">I1200*1.029</f>
        <v>0</v>
      </c>
      <c r="K1200" s="54">
        <f t="shared" ref="K1200:K1202" si="700">J1200*1.031</f>
        <v>0</v>
      </c>
      <c r="L1200" s="54">
        <f t="shared" ref="L1200:L1202" si="701">K1200*1.033</f>
        <v>0</v>
      </c>
      <c r="M1200" s="54">
        <f t="shared" ref="M1200:M1202" si="702">L1200*1.032</f>
        <v>0</v>
      </c>
      <c r="N1200" s="54">
        <f t="shared" ref="N1200:N1202" si="703">M1200*1.03</f>
        <v>0</v>
      </c>
      <c r="O1200" s="54">
        <f t="shared" ref="O1200:O1202" si="704">N1200*1.032</f>
        <v>0</v>
      </c>
      <c r="P1200" s="54">
        <f t="shared" ref="P1200:R1206" si="705">O1200*1.034</f>
        <v>0</v>
      </c>
      <c r="Q1200" s="54">
        <f t="shared" si="705"/>
        <v>0</v>
      </c>
      <c r="R1200" s="54">
        <f t="shared" si="705"/>
        <v>0</v>
      </c>
    </row>
    <row r="1201" spans="1:18" x14ac:dyDescent="0.25">
      <c r="A1201" s="52" t="s">
        <v>774</v>
      </c>
      <c r="B1201" s="53"/>
      <c r="C1201" s="54">
        <v>35082</v>
      </c>
      <c r="D1201" s="50">
        <v>73599</v>
      </c>
      <c r="E1201" s="50">
        <v>21014</v>
      </c>
      <c r="F1201" s="50"/>
      <c r="G1201" s="50">
        <v>76876</v>
      </c>
      <c r="H1201" s="50">
        <v>73200</v>
      </c>
      <c r="I1201" s="50">
        <f t="shared" si="698"/>
        <v>75030</v>
      </c>
      <c r="J1201" s="50">
        <f t="shared" si="699"/>
        <v>77205.87</v>
      </c>
      <c r="K1201" s="54">
        <f t="shared" si="700"/>
        <v>79599.251969999983</v>
      </c>
      <c r="L1201" s="54">
        <f t="shared" si="701"/>
        <v>82226.027285009972</v>
      </c>
      <c r="M1201" s="54">
        <f t="shared" si="702"/>
        <v>84857.260158130288</v>
      </c>
      <c r="N1201" s="54">
        <f t="shared" si="703"/>
        <v>87402.977962874196</v>
      </c>
      <c r="O1201" s="54">
        <f t="shared" si="704"/>
        <v>90199.873257686166</v>
      </c>
      <c r="P1201" s="54">
        <f t="shared" si="705"/>
        <v>93266.668948447492</v>
      </c>
      <c r="Q1201" s="50">
        <f t="shared" si="705"/>
        <v>96437.73569269471</v>
      </c>
      <c r="R1201" s="50">
        <f t="shared" si="705"/>
        <v>99716.618706246329</v>
      </c>
    </row>
    <row r="1202" spans="1:18" x14ac:dyDescent="0.25">
      <c r="A1202" s="52" t="s">
        <v>775</v>
      </c>
      <c r="B1202" s="53"/>
      <c r="C1202" s="50">
        <v>-1775</v>
      </c>
      <c r="D1202" s="50">
        <v>8265</v>
      </c>
      <c r="E1202" s="50">
        <v>60</v>
      </c>
      <c r="F1202" s="50"/>
      <c r="G1202" s="50">
        <v>15167</v>
      </c>
      <c r="H1202" s="50">
        <v>7500</v>
      </c>
      <c r="I1202" s="50">
        <f t="shared" si="698"/>
        <v>7687.4999999999991</v>
      </c>
      <c r="J1202" s="50">
        <f t="shared" si="699"/>
        <v>7910.4374999999982</v>
      </c>
      <c r="K1202" s="54">
        <f t="shared" si="700"/>
        <v>8155.6610624999976</v>
      </c>
      <c r="L1202" s="54">
        <f t="shared" si="701"/>
        <v>8424.7978775624961</v>
      </c>
      <c r="M1202" s="54">
        <f t="shared" si="702"/>
        <v>8694.3914096444969</v>
      </c>
      <c r="N1202" s="54">
        <f t="shared" si="703"/>
        <v>8955.2231519338329</v>
      </c>
      <c r="O1202" s="54">
        <f t="shared" si="704"/>
        <v>9241.7902927957166</v>
      </c>
      <c r="P1202" s="54">
        <f t="shared" si="705"/>
        <v>9556.0111627507704</v>
      </c>
      <c r="Q1202" s="50">
        <f t="shared" si="705"/>
        <v>9880.9155422842978</v>
      </c>
      <c r="R1202" s="50">
        <f t="shared" si="705"/>
        <v>10216.866670721964</v>
      </c>
    </row>
    <row r="1203" spans="1:18" x14ac:dyDescent="0.25">
      <c r="A1203" s="43" t="s">
        <v>221</v>
      </c>
      <c r="B1203" s="53"/>
      <c r="C1203" s="50"/>
      <c r="D1203" s="50"/>
      <c r="E1203" s="50"/>
      <c r="F1203" s="50"/>
      <c r="G1203" s="50">
        <v>0</v>
      </c>
      <c r="H1203" s="58">
        <v>310</v>
      </c>
      <c r="I1203" s="58">
        <v>4210</v>
      </c>
      <c r="J1203" s="58">
        <v>4210</v>
      </c>
      <c r="K1203" s="169">
        <v>4210</v>
      </c>
      <c r="L1203" s="169">
        <v>4250</v>
      </c>
      <c r="M1203" s="169">
        <v>5950</v>
      </c>
      <c r="N1203" s="169">
        <v>5950</v>
      </c>
      <c r="O1203" s="169">
        <v>5950</v>
      </c>
      <c r="P1203" s="169">
        <v>5950</v>
      </c>
      <c r="Q1203" s="58">
        <v>5090</v>
      </c>
      <c r="R1203" s="58">
        <v>5090</v>
      </c>
    </row>
    <row r="1204" spans="1:18" x14ac:dyDescent="0.25">
      <c r="A1204" s="43" t="s">
        <v>219</v>
      </c>
      <c r="B1204" s="53"/>
      <c r="C1204" s="50"/>
      <c r="D1204" s="50"/>
      <c r="E1204" s="50"/>
      <c r="F1204" s="50"/>
      <c r="G1204" s="50">
        <v>0</v>
      </c>
      <c r="H1204" s="67">
        <v>5000</v>
      </c>
      <c r="I1204" s="50">
        <f t="shared" ref="I1204" si="706">H1204*1.023</f>
        <v>5115</v>
      </c>
      <c r="J1204" s="54">
        <f t="shared" ref="J1204:K1204" si="707">I1204*1.024</f>
        <v>5237.76</v>
      </c>
      <c r="K1204" s="54">
        <f t="shared" si="707"/>
        <v>5363.4662400000007</v>
      </c>
      <c r="L1204" s="54">
        <f t="shared" ref="L1204" si="708">K1204*1.023</f>
        <v>5486.8259635200002</v>
      </c>
      <c r="M1204" s="54">
        <f t="shared" ref="M1204" si="709">L1204*1.022</f>
        <v>5607.5361347174403</v>
      </c>
      <c r="N1204" s="54">
        <f t="shared" ref="N1204" si="710">M1204*1.023</f>
        <v>5736.5094658159405</v>
      </c>
      <c r="O1204" s="54">
        <f t="shared" ref="O1204:P1204" si="711">N1204*1.025</f>
        <v>5879.9222024613382</v>
      </c>
      <c r="P1204" s="54">
        <f t="shared" si="711"/>
        <v>6026.920257522871</v>
      </c>
      <c r="Q1204" s="50">
        <f t="shared" ref="Q1204:R1204" si="712">P1204*1.024</f>
        <v>6171.56634370342</v>
      </c>
      <c r="R1204" s="50">
        <f t="shared" si="712"/>
        <v>6319.6839359523019</v>
      </c>
    </row>
    <row r="1205" spans="1:18" x14ac:dyDescent="0.25">
      <c r="A1205" s="109" t="s">
        <v>776</v>
      </c>
      <c r="B1205" s="53"/>
      <c r="C1205" s="50"/>
      <c r="D1205" s="50"/>
      <c r="E1205" s="50"/>
      <c r="F1205" s="50"/>
      <c r="G1205" s="50"/>
      <c r="H1205" s="50">
        <v>30300</v>
      </c>
      <c r="I1205" s="50">
        <f t="shared" ref="I1205:I1206" si="713">H1205*1.025</f>
        <v>31057.499999999996</v>
      </c>
      <c r="J1205" s="50">
        <f t="shared" ref="J1205:J1206" si="714">I1205*1.029</f>
        <v>31958.167499999992</v>
      </c>
      <c r="K1205" s="54">
        <f t="shared" ref="K1205:K1206" si="715">J1205*1.031</f>
        <v>32948.870692499986</v>
      </c>
      <c r="L1205" s="54">
        <f t="shared" ref="L1205:L1206" si="716">K1205*1.033</f>
        <v>34036.183425352479</v>
      </c>
      <c r="M1205" s="54">
        <f t="shared" ref="M1205:M1206" si="717">L1205*1.032</f>
        <v>35125.341294963757</v>
      </c>
      <c r="N1205" s="54">
        <f t="shared" ref="N1205:N1206" si="718">M1205*1.03</f>
        <v>36179.101533812667</v>
      </c>
      <c r="O1205" s="54">
        <f t="shared" ref="O1205:O1206" si="719">N1205*1.032</f>
        <v>37336.832782894671</v>
      </c>
      <c r="P1205" s="54">
        <f t="shared" si="705"/>
        <v>38606.285097513093</v>
      </c>
      <c r="Q1205" s="50">
        <f t="shared" si="705"/>
        <v>39918.898790828542</v>
      </c>
      <c r="R1205" s="50">
        <f t="shared" si="705"/>
        <v>41276.141349716716</v>
      </c>
    </row>
    <row r="1206" spans="1:18" x14ac:dyDescent="0.25">
      <c r="A1206" s="52" t="s">
        <v>775</v>
      </c>
      <c r="B1206" s="53"/>
      <c r="C1206" s="50"/>
      <c r="D1206" s="50"/>
      <c r="E1206" s="50"/>
      <c r="F1206" s="50"/>
      <c r="G1206" s="50"/>
      <c r="H1206" s="50">
        <v>2900</v>
      </c>
      <c r="I1206" s="50">
        <f t="shared" si="713"/>
        <v>2972.4999999999995</v>
      </c>
      <c r="J1206" s="50">
        <f t="shared" si="714"/>
        <v>3058.7024999999994</v>
      </c>
      <c r="K1206" s="54">
        <f t="shared" si="715"/>
        <v>3153.5222774999993</v>
      </c>
      <c r="L1206" s="54">
        <f t="shared" si="716"/>
        <v>3257.588512657499</v>
      </c>
      <c r="M1206" s="54">
        <f t="shared" si="717"/>
        <v>3361.8313450625392</v>
      </c>
      <c r="N1206" s="54">
        <f t="shared" si="718"/>
        <v>3462.6862854144156</v>
      </c>
      <c r="O1206" s="54">
        <f t="shared" si="719"/>
        <v>3573.492246547677</v>
      </c>
      <c r="P1206" s="54">
        <f t="shared" si="705"/>
        <v>3694.9909829302983</v>
      </c>
      <c r="Q1206" s="50">
        <f t="shared" si="705"/>
        <v>3820.6206763499285</v>
      </c>
      <c r="R1206" s="50">
        <f t="shared" si="705"/>
        <v>3950.5217793458264</v>
      </c>
    </row>
    <row r="1207" spans="1:18" x14ac:dyDescent="0.25">
      <c r="A1207" s="52" t="s">
        <v>749</v>
      </c>
      <c r="B1207" s="53"/>
      <c r="C1207" s="54">
        <v>55138</v>
      </c>
      <c r="D1207" s="52">
        <f>67569+3726</f>
        <v>71295</v>
      </c>
      <c r="E1207" s="50">
        <v>74453</v>
      </c>
      <c r="F1207" s="50">
        <f>74911+177</f>
        <v>75088</v>
      </c>
      <c r="G1207" s="50"/>
      <c r="H1207" s="50"/>
      <c r="I1207" s="50"/>
      <c r="J1207" s="50"/>
      <c r="K1207" s="50"/>
      <c r="L1207" s="50"/>
      <c r="M1207" s="50"/>
      <c r="N1207" s="50"/>
      <c r="O1207" s="50"/>
      <c r="P1207" s="50"/>
      <c r="Q1207" s="50"/>
      <c r="R1207" s="50"/>
    </row>
    <row r="1208" spans="1:18" x14ac:dyDescent="0.25">
      <c r="A1208" s="52" t="s">
        <v>775</v>
      </c>
      <c r="B1208" s="53"/>
      <c r="C1208" s="54"/>
      <c r="D1208" s="50"/>
      <c r="E1208" s="50">
        <v>7228</v>
      </c>
      <c r="F1208" s="50">
        <v>6870</v>
      </c>
      <c r="G1208" s="50">
        <v>-19441</v>
      </c>
      <c r="H1208" s="50"/>
      <c r="I1208" s="54"/>
      <c r="J1208" s="54"/>
      <c r="K1208" s="54"/>
      <c r="L1208" s="54"/>
      <c r="M1208" s="54"/>
      <c r="N1208" s="54"/>
      <c r="O1208" s="54"/>
      <c r="P1208" s="54"/>
      <c r="Q1208" s="50"/>
      <c r="R1208" s="50"/>
    </row>
    <row r="1209" spans="1:18" x14ac:dyDescent="0.25">
      <c r="A1209" s="52" t="s">
        <v>777</v>
      </c>
      <c r="B1209" s="53"/>
      <c r="C1209" s="54"/>
      <c r="D1209" s="50"/>
      <c r="E1209" s="50"/>
      <c r="F1209" s="50"/>
      <c r="G1209" s="50">
        <v>12510</v>
      </c>
      <c r="H1209" s="50">
        <v>59800</v>
      </c>
      <c r="I1209" s="50">
        <v>59800</v>
      </c>
      <c r="J1209" s="50">
        <v>59800</v>
      </c>
      <c r="K1209" s="50"/>
      <c r="L1209" s="50"/>
      <c r="M1209" s="50"/>
      <c r="N1209" s="50"/>
      <c r="O1209" s="50"/>
      <c r="P1209" s="50"/>
      <c r="Q1209" s="50"/>
      <c r="R1209" s="50"/>
    </row>
    <row r="1210" spans="1:18" x14ac:dyDescent="0.25">
      <c r="A1210" s="52" t="s">
        <v>778</v>
      </c>
      <c r="B1210" s="53"/>
      <c r="C1210" s="54">
        <f>11614+2752+4643+6296</f>
        <v>25305</v>
      </c>
      <c r="D1210" s="50">
        <v>7559</v>
      </c>
      <c r="E1210" s="50">
        <v>7830</v>
      </c>
      <c r="F1210" s="50">
        <v>9915</v>
      </c>
      <c r="G1210" s="50">
        <v>6122</v>
      </c>
      <c r="H1210" s="50">
        <v>30000</v>
      </c>
      <c r="I1210" s="50">
        <f t="shared" ref="I1210" si="720">H1210*1.023</f>
        <v>30689.999999999996</v>
      </c>
      <c r="J1210" s="50">
        <f t="shared" ref="J1210:K1210" si="721">I1210*1.024</f>
        <v>31426.559999999998</v>
      </c>
      <c r="K1210" s="50">
        <f t="shared" si="721"/>
        <v>32180.797439999998</v>
      </c>
      <c r="L1210" s="50">
        <f t="shared" ref="L1210" si="722">K1210*1.023</f>
        <v>32920.955781119992</v>
      </c>
      <c r="M1210" s="50">
        <f t="shared" ref="M1210" si="723">L1210*1.022</f>
        <v>33645.216808304634</v>
      </c>
      <c r="N1210" s="50">
        <f t="shared" ref="N1210" si="724">M1210*1.023</f>
        <v>34419.056794895638</v>
      </c>
      <c r="O1210" s="50">
        <f t="shared" ref="O1210:P1210" si="725">N1210*1.025</f>
        <v>35279.533214768024</v>
      </c>
      <c r="P1210" s="50">
        <f t="shared" si="725"/>
        <v>36161.521545137221</v>
      </c>
      <c r="Q1210" s="50">
        <f t="shared" ref="Q1210:R1210" si="726">P1210*1.024</f>
        <v>37029.398062220513</v>
      </c>
      <c r="R1210" s="50">
        <f t="shared" si="726"/>
        <v>37918.103615713808</v>
      </c>
    </row>
    <row r="1211" spans="1:18" s="43" customFormat="1" x14ac:dyDescent="0.25">
      <c r="A1211" s="52" t="s">
        <v>779</v>
      </c>
      <c r="B1211" s="53"/>
      <c r="C1211" s="50">
        <v>0</v>
      </c>
      <c r="D1211" s="50">
        <v>0</v>
      </c>
      <c r="E1211" s="50">
        <f>D1211*1.025</f>
        <v>0</v>
      </c>
      <c r="F1211" s="50">
        <v>30000</v>
      </c>
      <c r="G1211" s="50">
        <v>0</v>
      </c>
      <c r="H1211" s="50">
        <v>0</v>
      </c>
      <c r="I1211" s="50">
        <v>0</v>
      </c>
      <c r="J1211" s="50">
        <v>0</v>
      </c>
      <c r="K1211" s="50">
        <v>0</v>
      </c>
      <c r="L1211" s="50">
        <v>0</v>
      </c>
      <c r="M1211" s="50">
        <v>0</v>
      </c>
      <c r="N1211" s="50">
        <v>0</v>
      </c>
      <c r="O1211" s="50">
        <v>0</v>
      </c>
      <c r="P1211" s="50">
        <v>0</v>
      </c>
      <c r="Q1211" s="50">
        <f t="shared" ref="Q1211:R1211" si="727">P1211*1.025</f>
        <v>0</v>
      </c>
      <c r="R1211" s="50">
        <f t="shared" si="727"/>
        <v>0</v>
      </c>
    </row>
    <row r="1212" spans="1:18" s="43" customFormat="1" x14ac:dyDescent="0.25">
      <c r="A1212" s="52" t="s">
        <v>780</v>
      </c>
      <c r="B1212" s="53"/>
      <c r="C1212" s="50"/>
      <c r="D1212" s="50"/>
      <c r="E1212" s="50"/>
      <c r="F1212" s="50">
        <v>26633</v>
      </c>
      <c r="G1212" s="50"/>
      <c r="H1212" s="50"/>
      <c r="I1212" s="50"/>
      <c r="J1212" s="50"/>
      <c r="K1212" s="50"/>
      <c r="L1212" s="50"/>
      <c r="M1212" s="50"/>
      <c r="N1212" s="50"/>
      <c r="O1212" s="50"/>
      <c r="P1212" s="50"/>
      <c r="Q1212" s="50"/>
      <c r="R1212" s="50"/>
    </row>
    <row r="1213" spans="1:18" s="43" customFormat="1" x14ac:dyDescent="0.25">
      <c r="A1213" s="43" t="s">
        <v>751</v>
      </c>
      <c r="B1213" s="53"/>
      <c r="C1213" s="54">
        <v>7944</v>
      </c>
      <c r="D1213" s="50"/>
      <c r="E1213" s="50"/>
      <c r="F1213" s="50"/>
      <c r="G1213" s="50"/>
      <c r="H1213" s="50"/>
      <c r="I1213" s="50"/>
      <c r="J1213" s="50"/>
      <c r="K1213" s="50"/>
      <c r="L1213" s="50"/>
      <c r="M1213" s="50"/>
      <c r="N1213" s="50"/>
      <c r="O1213" s="50"/>
      <c r="P1213" s="50"/>
      <c r="Q1213" s="50"/>
      <c r="R1213" s="50"/>
    </row>
    <row r="1214" spans="1:18" s="43" customFormat="1" x14ac:dyDescent="0.25">
      <c r="A1214" s="52" t="s">
        <v>752</v>
      </c>
      <c r="B1214" s="53"/>
      <c r="C1214" s="54">
        <f>3.43+95</f>
        <v>98.43</v>
      </c>
      <c r="D1214" s="50">
        <v>20477</v>
      </c>
      <c r="E1214" s="50">
        <v>343</v>
      </c>
      <c r="F1214" s="50">
        <v>3407</v>
      </c>
      <c r="G1214" s="50"/>
      <c r="H1214" s="50"/>
      <c r="I1214" s="50"/>
      <c r="J1214" s="50"/>
      <c r="K1214" s="50"/>
      <c r="L1214" s="50"/>
      <c r="M1214" s="50"/>
      <c r="N1214" s="50"/>
      <c r="O1214" s="50"/>
      <c r="P1214" s="50"/>
      <c r="Q1214" s="50"/>
      <c r="R1214" s="50"/>
    </row>
    <row r="1215" spans="1:18" s="43" customFormat="1" x14ac:dyDescent="0.25">
      <c r="A1215" s="43" t="s">
        <v>781</v>
      </c>
      <c r="B1215" s="53"/>
      <c r="C1215" s="54">
        <v>6494</v>
      </c>
      <c r="D1215" s="43">
        <v>7389</v>
      </c>
      <c r="E1215" s="43">
        <v>10579</v>
      </c>
      <c r="F1215" s="43">
        <v>9026</v>
      </c>
      <c r="G1215" s="43">
        <v>0</v>
      </c>
      <c r="H1215" s="43">
        <v>0</v>
      </c>
      <c r="I1215" s="54">
        <f t="shared" ref="I1215" si="728">H1215*1.023</f>
        <v>0</v>
      </c>
      <c r="J1215" s="54">
        <f t="shared" ref="J1215:K1215" si="729">I1215*1.024</f>
        <v>0</v>
      </c>
      <c r="K1215" s="54">
        <f t="shared" si="729"/>
        <v>0</v>
      </c>
      <c r="L1215" s="54">
        <f t="shared" ref="L1215" si="730">K1215*1.023</f>
        <v>0</v>
      </c>
      <c r="M1215" s="54">
        <f t="shared" ref="M1215" si="731">L1215*1.022</f>
        <v>0</v>
      </c>
      <c r="N1215" s="54">
        <f t="shared" ref="N1215" si="732">M1215*1.023</f>
        <v>0</v>
      </c>
      <c r="O1215" s="54">
        <f t="shared" ref="O1215:P1215" si="733">N1215*1.025</f>
        <v>0</v>
      </c>
      <c r="P1215" s="54">
        <f t="shared" si="733"/>
        <v>0</v>
      </c>
      <c r="Q1215" s="54">
        <f t="shared" ref="Q1215:R1215" si="734">P1215*1.024</f>
        <v>0</v>
      </c>
      <c r="R1215" s="54">
        <f t="shared" si="734"/>
        <v>0</v>
      </c>
    </row>
    <row r="1216" spans="1:18" s="43" customFormat="1" x14ac:dyDescent="0.25">
      <c r="A1216" s="43" t="s">
        <v>782</v>
      </c>
      <c r="B1216" s="53"/>
      <c r="C1216" s="54">
        <v>1080</v>
      </c>
      <c r="D1216" s="54">
        <v>0</v>
      </c>
      <c r="E1216" s="54">
        <v>0</v>
      </c>
      <c r="F1216" s="50">
        <v>195</v>
      </c>
      <c r="G1216" s="50">
        <v>0</v>
      </c>
      <c r="H1216" s="50">
        <v>5000</v>
      </c>
      <c r="I1216" s="54">
        <v>5119</v>
      </c>
      <c r="J1216" s="54">
        <v>5252.1059999999998</v>
      </c>
      <c r="K1216" s="54">
        <v>5392.922693999999</v>
      </c>
      <c r="L1216" s="54">
        <v>5538.7083454619988</v>
      </c>
      <c r="M1216" s="54">
        <v>5683.0260567356627</v>
      </c>
      <c r="N1216" s="54">
        <v>5829.9651866719187</v>
      </c>
      <c r="O1216" s="54">
        <v>5992.4307328889936</v>
      </c>
      <c r="P1216" s="54">
        <v>6164.4217979139275</v>
      </c>
      <c r="Q1216" s="54">
        <v>6337.8506174978647</v>
      </c>
      <c r="R1216" s="54">
        <v>6516.3081404305713</v>
      </c>
    </row>
    <row r="1217" spans="1:18" s="43" customFormat="1" x14ac:dyDescent="0.25">
      <c r="A1217" s="43" t="s">
        <v>783</v>
      </c>
      <c r="B1217" s="53"/>
      <c r="C1217" s="52">
        <v>0</v>
      </c>
      <c r="D1217" s="54">
        <v>0</v>
      </c>
      <c r="E1217" s="54">
        <v>0</v>
      </c>
      <c r="F1217" s="50">
        <v>0</v>
      </c>
      <c r="G1217" s="50">
        <v>0</v>
      </c>
      <c r="H1217" s="50">
        <v>0</v>
      </c>
      <c r="I1217" s="54">
        <f t="shared" ref="I1217" si="735">H1217*1.023</f>
        <v>0</v>
      </c>
      <c r="J1217" s="54">
        <f t="shared" ref="J1217:K1217" si="736">I1217*1.024</f>
        <v>0</v>
      </c>
      <c r="K1217" s="54">
        <f t="shared" si="736"/>
        <v>0</v>
      </c>
      <c r="L1217" s="54">
        <f t="shared" ref="L1217" si="737">K1217*1.023</f>
        <v>0</v>
      </c>
      <c r="M1217" s="54">
        <f t="shared" ref="M1217" si="738">L1217*1.022</f>
        <v>0</v>
      </c>
      <c r="N1217" s="54">
        <f t="shared" ref="N1217" si="739">M1217*1.023</f>
        <v>0</v>
      </c>
      <c r="O1217" s="54">
        <f t="shared" ref="O1217:P1217" si="740">N1217*1.025</f>
        <v>0</v>
      </c>
      <c r="P1217" s="54">
        <f t="shared" si="740"/>
        <v>0</v>
      </c>
      <c r="Q1217" s="54">
        <f t="shared" ref="Q1217:R1217" si="741">P1217*1.024</f>
        <v>0</v>
      </c>
      <c r="R1217" s="54">
        <f t="shared" si="741"/>
        <v>0</v>
      </c>
    </row>
    <row r="1218" spans="1:18" s="43" customFormat="1" x14ac:dyDescent="0.25">
      <c r="A1218" s="59" t="s">
        <v>784</v>
      </c>
      <c r="B1218" s="53"/>
      <c r="C1218" s="50"/>
      <c r="D1218" s="50"/>
      <c r="E1218" s="50">
        <v>8395</v>
      </c>
      <c r="F1218" s="50">
        <v>8395</v>
      </c>
      <c r="G1218" s="50">
        <v>8395</v>
      </c>
      <c r="H1218" s="58">
        <v>8395</v>
      </c>
      <c r="I1218" s="58">
        <v>8395</v>
      </c>
      <c r="J1218" s="58">
        <v>8395</v>
      </c>
      <c r="K1218" s="58">
        <v>8395</v>
      </c>
      <c r="L1218" s="58">
        <v>8395</v>
      </c>
      <c r="M1218" s="58">
        <v>8395</v>
      </c>
      <c r="N1218" s="58">
        <v>8395</v>
      </c>
      <c r="O1218" s="58">
        <v>8395</v>
      </c>
      <c r="P1218" s="58">
        <v>8395</v>
      </c>
      <c r="Q1218" s="58">
        <v>8395</v>
      </c>
      <c r="R1218" s="58">
        <v>8395</v>
      </c>
    </row>
    <row r="1219" spans="1:18" s="43" customFormat="1" x14ac:dyDescent="0.25">
      <c r="A1219" s="52" t="s">
        <v>785</v>
      </c>
      <c r="B1219" s="53"/>
      <c r="C1219" s="50"/>
      <c r="D1219" s="50"/>
      <c r="E1219" s="50"/>
      <c r="F1219" s="50">
        <v>4970</v>
      </c>
      <c r="G1219" s="50">
        <v>9497</v>
      </c>
      <c r="H1219" s="58">
        <v>4970</v>
      </c>
      <c r="I1219" s="58">
        <v>4970</v>
      </c>
      <c r="J1219" s="58">
        <v>4970</v>
      </c>
      <c r="K1219" s="58">
        <v>4970</v>
      </c>
      <c r="L1219" s="58">
        <v>4970</v>
      </c>
      <c r="M1219" s="58">
        <v>4970</v>
      </c>
      <c r="N1219" s="58">
        <v>4970</v>
      </c>
      <c r="O1219" s="58">
        <v>4970</v>
      </c>
      <c r="P1219" s="58">
        <v>4970</v>
      </c>
      <c r="Q1219" s="58">
        <v>4970</v>
      </c>
      <c r="R1219" s="58">
        <v>4970</v>
      </c>
    </row>
    <row r="1220" spans="1:18" x14ac:dyDescent="0.25">
      <c r="C1220" s="51"/>
      <c r="D1220" s="51"/>
      <c r="E1220" s="51"/>
      <c r="F1220" s="51"/>
      <c r="G1220" s="51"/>
      <c r="H1220" s="51"/>
      <c r="I1220" s="51"/>
      <c r="J1220" s="51"/>
      <c r="K1220" s="51"/>
      <c r="L1220" s="51"/>
      <c r="M1220" s="51"/>
      <c r="N1220" s="51"/>
      <c r="O1220" s="51"/>
      <c r="P1220" s="51"/>
      <c r="Q1220" s="51"/>
      <c r="R1220" s="51"/>
    </row>
    <row r="1221" spans="1:18" x14ac:dyDescent="0.25">
      <c r="A1221" s="41" t="s">
        <v>230</v>
      </c>
      <c r="B1221" s="44"/>
      <c r="C1221" s="51">
        <f t="shared" ref="C1221:Q1221" si="742">SUM(C1181:C1220)</f>
        <v>2285668.4300000002</v>
      </c>
      <c r="D1221" s="51">
        <f t="shared" si="742"/>
        <v>2469926</v>
      </c>
      <c r="E1221" s="51">
        <f t="shared" si="742"/>
        <v>2580160</v>
      </c>
      <c r="F1221" s="51">
        <f t="shared" si="742"/>
        <v>2491413</v>
      </c>
      <c r="G1221" s="51">
        <f>SUM(G1181:G1220)</f>
        <v>2625015</v>
      </c>
      <c r="H1221" s="51">
        <f t="shared" si="742"/>
        <v>2909175</v>
      </c>
      <c r="I1221" s="51">
        <f t="shared" si="742"/>
        <v>2978738.1</v>
      </c>
      <c r="J1221" s="51">
        <f t="shared" si="742"/>
        <v>3049503.4394000005</v>
      </c>
      <c r="K1221" s="51">
        <f t="shared" si="742"/>
        <v>3062666.1815205999</v>
      </c>
      <c r="L1221" s="51">
        <f t="shared" si="742"/>
        <v>3135146.4801553236</v>
      </c>
      <c r="M1221" s="51">
        <f t="shared" si="742"/>
        <v>3207914.6798266633</v>
      </c>
      <c r="N1221" s="51">
        <f t="shared" si="742"/>
        <v>3283045.8355974383</v>
      </c>
      <c r="O1221" s="51">
        <f t="shared" si="742"/>
        <v>3366486.2705161795</v>
      </c>
      <c r="P1221" s="51">
        <f t="shared" si="742"/>
        <v>3452616.4750647335</v>
      </c>
      <c r="Q1221" s="51">
        <f t="shared" si="742"/>
        <v>3536971.548422243</v>
      </c>
      <c r="R1221" s="51">
        <f t="shared" ref="R1221" si="743">SUM(R1181:R1220)</f>
        <v>3624327.5220308383</v>
      </c>
    </row>
    <row r="1222" spans="1:18" x14ac:dyDescent="0.25">
      <c r="A1222" s="41"/>
      <c r="B1222" s="44"/>
      <c r="C1222" s="51"/>
      <c r="D1222" s="51"/>
      <c r="E1222" s="51"/>
      <c r="F1222" s="51"/>
      <c r="G1222" s="51"/>
      <c r="H1222" s="51"/>
      <c r="I1222" s="51"/>
      <c r="J1222" s="51"/>
      <c r="K1222" s="51"/>
      <c r="L1222" s="51"/>
      <c r="M1222" s="51"/>
      <c r="N1222" s="51"/>
      <c r="O1222" s="51"/>
      <c r="P1222" s="51"/>
      <c r="Q1222" s="51"/>
      <c r="R1222" s="51"/>
    </row>
    <row r="1223" spans="1:18" x14ac:dyDescent="0.25">
      <c r="A1223" s="41" t="s">
        <v>171</v>
      </c>
      <c r="B1223" s="44"/>
      <c r="C1223" s="51"/>
      <c r="D1223" s="51"/>
      <c r="E1223" s="51"/>
      <c r="F1223" s="51"/>
      <c r="G1223" s="51"/>
      <c r="H1223" s="51"/>
      <c r="I1223" s="51"/>
      <c r="J1223" s="51"/>
      <c r="K1223" s="51"/>
      <c r="L1223" s="51"/>
      <c r="M1223" s="51"/>
      <c r="N1223" s="51"/>
      <c r="O1223" s="51"/>
      <c r="P1223" s="51"/>
      <c r="Q1223" s="51"/>
      <c r="R1223" s="51"/>
    </row>
    <row r="1224" spans="1:18" x14ac:dyDescent="0.25">
      <c r="A1224" s="41"/>
      <c r="B1224" s="44"/>
      <c r="C1224" s="51"/>
      <c r="D1224" s="51"/>
      <c r="E1224" s="51"/>
      <c r="F1224" s="51"/>
      <c r="G1224" s="51"/>
      <c r="H1224" s="51"/>
      <c r="I1224" s="51"/>
      <c r="J1224" s="51"/>
      <c r="K1224" s="51"/>
      <c r="L1224" s="51"/>
      <c r="M1224" s="51"/>
      <c r="N1224" s="51"/>
      <c r="O1224" s="51"/>
      <c r="P1224" s="51"/>
      <c r="Q1224" s="51"/>
      <c r="R1224" s="51"/>
    </row>
    <row r="1225" spans="1:18" x14ac:dyDescent="0.25">
      <c r="A1225" s="52" t="s">
        <v>786</v>
      </c>
      <c r="B1225" s="44"/>
      <c r="C1225" s="51"/>
      <c r="D1225" s="51"/>
      <c r="E1225" s="51"/>
      <c r="F1225" s="51"/>
      <c r="G1225" s="51"/>
      <c r="H1225" s="51"/>
      <c r="I1225" s="51"/>
      <c r="J1225" s="51"/>
      <c r="K1225" s="51"/>
      <c r="L1225" s="51"/>
      <c r="M1225" s="51"/>
      <c r="N1225" s="51"/>
      <c r="O1225" s="51"/>
      <c r="P1225" s="51"/>
      <c r="Q1225" s="51"/>
      <c r="R1225" s="51"/>
    </row>
    <row r="1226" spans="1:18" x14ac:dyDescent="0.25">
      <c r="A1226" s="52" t="s">
        <v>787</v>
      </c>
      <c r="B1226" s="44"/>
      <c r="C1226" s="51"/>
      <c r="D1226" s="67">
        <v>50361</v>
      </c>
      <c r="E1226" s="51"/>
      <c r="F1226" s="51"/>
      <c r="G1226" s="51"/>
      <c r="H1226" s="51"/>
      <c r="I1226" s="51"/>
      <c r="J1226" s="51"/>
      <c r="K1226" s="51"/>
      <c r="L1226" s="51"/>
      <c r="M1226" s="51"/>
      <c r="N1226" s="51"/>
      <c r="O1226" s="51"/>
      <c r="P1226" s="51"/>
      <c r="Q1226" s="51"/>
      <c r="R1226" s="51"/>
    </row>
    <row r="1227" spans="1:18" x14ac:dyDescent="0.25">
      <c r="A1227" s="52" t="s">
        <v>788</v>
      </c>
      <c r="B1227" s="44"/>
      <c r="C1227" s="51"/>
      <c r="D1227" s="67"/>
      <c r="E1227" s="51"/>
      <c r="F1227" s="43">
        <v>56970</v>
      </c>
      <c r="G1227" s="51"/>
      <c r="H1227" s="51"/>
      <c r="I1227" s="51"/>
      <c r="J1227" s="51"/>
      <c r="K1227" s="51"/>
      <c r="L1227" s="51"/>
      <c r="M1227" s="51"/>
      <c r="N1227" s="51"/>
      <c r="O1227" s="51"/>
      <c r="P1227" s="51"/>
      <c r="Q1227" s="51"/>
      <c r="R1227" s="51"/>
    </row>
    <row r="1228" spans="1:18" x14ac:dyDescent="0.25">
      <c r="B1228" s="44"/>
      <c r="C1228" s="51"/>
      <c r="D1228" s="51"/>
      <c r="E1228" s="51"/>
      <c r="F1228" s="51"/>
      <c r="G1228" s="51"/>
      <c r="H1228" s="51"/>
      <c r="I1228" s="51"/>
      <c r="J1228" s="51"/>
      <c r="K1228" s="51"/>
      <c r="L1228" s="51"/>
      <c r="M1228" s="51"/>
      <c r="N1228" s="51"/>
      <c r="O1228" s="51"/>
      <c r="P1228" s="51"/>
      <c r="Q1228" s="51"/>
      <c r="R1228" s="51"/>
    </row>
    <row r="1229" spans="1:18" x14ac:dyDescent="0.25">
      <c r="A1229" s="41" t="s">
        <v>230</v>
      </c>
      <c r="C1229" s="51">
        <f t="shared" ref="C1229" si="744">SUM(C1225:C1228)</f>
        <v>0</v>
      </c>
      <c r="D1229" s="51">
        <f>SUM(D1225:D1228)</f>
        <v>50361</v>
      </c>
      <c r="E1229" s="51">
        <f t="shared" ref="E1229" si="745">SUM(E1225:E1228)</f>
        <v>0</v>
      </c>
      <c r="F1229" s="51">
        <f>SUM(F1227:F1228)</f>
        <v>56970</v>
      </c>
      <c r="G1229" s="51">
        <v>0</v>
      </c>
      <c r="H1229" s="51">
        <v>0</v>
      </c>
      <c r="I1229" s="51">
        <v>0</v>
      </c>
      <c r="J1229" s="51">
        <v>0</v>
      </c>
      <c r="K1229" s="51">
        <v>0</v>
      </c>
      <c r="L1229" s="51">
        <v>0</v>
      </c>
      <c r="M1229" s="51">
        <v>0</v>
      </c>
      <c r="N1229" s="51">
        <v>0</v>
      </c>
      <c r="O1229" s="51">
        <v>0</v>
      </c>
      <c r="P1229" s="51">
        <v>0</v>
      </c>
      <c r="Q1229" s="51">
        <f t="shared" ref="Q1229:R1229" si="746">SUM(Q1225:Q1228)</f>
        <v>0</v>
      </c>
      <c r="R1229" s="51">
        <f t="shared" si="746"/>
        <v>0</v>
      </c>
    </row>
    <row r="1230" spans="1:18" x14ac:dyDescent="0.25">
      <c r="A1230" s="41"/>
      <c r="C1230" s="50"/>
      <c r="D1230" s="50"/>
      <c r="E1230" s="50"/>
      <c r="F1230" s="50"/>
      <c r="G1230" s="50"/>
      <c r="H1230" s="50"/>
      <c r="I1230" s="50"/>
      <c r="J1230" s="50"/>
      <c r="K1230" s="50"/>
      <c r="L1230" s="50"/>
      <c r="M1230" s="50"/>
      <c r="N1230" s="50"/>
      <c r="O1230" s="50"/>
      <c r="P1230" s="50"/>
      <c r="Q1230" s="50"/>
      <c r="R1230" s="50"/>
    </row>
    <row r="1231" spans="1:18" x14ac:dyDescent="0.25">
      <c r="A1231" s="41" t="s">
        <v>789</v>
      </c>
      <c r="B1231" s="44"/>
      <c r="C1231" s="51">
        <f>C1221-C1177</f>
        <v>-81821.569999999832</v>
      </c>
      <c r="D1231" s="51">
        <f>D1221-D1177+D1229</f>
        <v>3099</v>
      </c>
      <c r="E1231" s="51">
        <f t="shared" ref="E1231:R1231" si="747">E1221-E1177</f>
        <v>-62602</v>
      </c>
      <c r="F1231" s="51">
        <f>F1221-F1177+F1229</f>
        <v>-161179</v>
      </c>
      <c r="G1231" s="51">
        <f t="shared" ref="G1231" si="748">G1221-G1177</f>
        <v>-170971</v>
      </c>
      <c r="H1231" s="51">
        <f t="shared" si="747"/>
        <v>-65925</v>
      </c>
      <c r="I1231" s="51">
        <f t="shared" si="747"/>
        <v>-63413.799999999348</v>
      </c>
      <c r="J1231" s="51">
        <f t="shared" si="747"/>
        <v>-64224.906200000085</v>
      </c>
      <c r="K1231" s="51">
        <f t="shared" si="747"/>
        <v>-64556.444373800419</v>
      </c>
      <c r="L1231" s="51">
        <f t="shared" si="747"/>
        <v>-64002.266134647187</v>
      </c>
      <c r="M1231" s="51">
        <f t="shared" si="747"/>
        <v>-61615.338881686796</v>
      </c>
      <c r="N1231" s="51">
        <f t="shared" si="747"/>
        <v>-61683.373541203793</v>
      </c>
      <c r="O1231" s="51">
        <f t="shared" si="747"/>
        <v>-61861.168850928079</v>
      </c>
      <c r="P1231" s="51">
        <f t="shared" si="747"/>
        <v>-61439.650286551565</v>
      </c>
      <c r="Q1231" s="51">
        <f t="shared" si="747"/>
        <v>-61421.92393747298</v>
      </c>
      <c r="R1231" s="51">
        <f t="shared" si="747"/>
        <v>-60427.393665510695</v>
      </c>
    </row>
    <row r="1232" spans="1:18" x14ac:dyDescent="0.25">
      <c r="C1232" s="50"/>
      <c r="D1232" s="50"/>
      <c r="E1232" s="50"/>
      <c r="F1232" s="50"/>
      <c r="G1232" s="50"/>
      <c r="H1232" s="50"/>
      <c r="I1232" s="50"/>
      <c r="J1232" s="50"/>
      <c r="K1232" s="50"/>
      <c r="L1232" s="50"/>
      <c r="M1232" s="50"/>
      <c r="N1232" s="50"/>
      <c r="O1232" s="50"/>
      <c r="P1232" s="50"/>
      <c r="Q1232" s="50"/>
      <c r="R1232" s="50"/>
    </row>
    <row r="1233" spans="1:18" x14ac:dyDescent="0.25">
      <c r="A1233" s="41" t="s">
        <v>790</v>
      </c>
      <c r="B1233" s="44"/>
      <c r="C1233" s="50"/>
      <c r="D1233" s="50"/>
      <c r="E1233" s="50"/>
      <c r="F1233" s="50"/>
      <c r="G1233" s="50"/>
      <c r="H1233" s="50"/>
      <c r="I1233" s="50"/>
      <c r="J1233" s="50"/>
      <c r="K1233" s="50"/>
      <c r="L1233" s="50"/>
      <c r="M1233" s="50"/>
      <c r="N1233" s="50"/>
      <c r="O1233" s="50"/>
      <c r="P1233" s="50"/>
      <c r="Q1233" s="50"/>
      <c r="R1233" s="50"/>
    </row>
    <row r="1234" spans="1:18" x14ac:dyDescent="0.25">
      <c r="A1234" s="41"/>
      <c r="B1234" s="44"/>
      <c r="C1234" s="50"/>
      <c r="D1234" s="50"/>
      <c r="E1234" s="50"/>
      <c r="F1234" s="50"/>
      <c r="G1234" s="50"/>
      <c r="H1234" s="50"/>
      <c r="I1234" s="50"/>
      <c r="J1234" s="50"/>
      <c r="K1234" s="50"/>
      <c r="L1234" s="50"/>
      <c r="M1234" s="50"/>
      <c r="N1234" s="50"/>
      <c r="O1234" s="50"/>
      <c r="P1234" s="50"/>
      <c r="Q1234" s="50"/>
      <c r="R1234" s="50"/>
    </row>
    <row r="1235" spans="1:18" x14ac:dyDescent="0.25">
      <c r="A1235" s="41" t="s">
        <v>202</v>
      </c>
      <c r="B1235" s="44"/>
      <c r="C1235" s="50"/>
      <c r="D1235" s="50"/>
      <c r="E1235" s="50"/>
      <c r="F1235" s="50"/>
      <c r="G1235" s="50"/>
      <c r="H1235" s="50"/>
      <c r="I1235" s="50"/>
      <c r="J1235" s="50"/>
      <c r="K1235" s="50"/>
      <c r="L1235" s="50"/>
      <c r="M1235" s="50"/>
      <c r="N1235" s="50"/>
      <c r="O1235" s="50"/>
      <c r="P1235" s="50"/>
      <c r="Q1235" s="50"/>
      <c r="R1235" s="50"/>
    </row>
    <row r="1236" spans="1:18" x14ac:dyDescent="0.25">
      <c r="C1236" s="50"/>
      <c r="D1236" s="50"/>
      <c r="E1236" s="50"/>
      <c r="F1236" s="50"/>
      <c r="G1236" s="50"/>
      <c r="H1236" s="50"/>
      <c r="I1236" s="50"/>
      <c r="J1236" s="50"/>
      <c r="K1236" s="50"/>
      <c r="L1236" s="50"/>
      <c r="M1236" s="50"/>
      <c r="N1236" s="50"/>
      <c r="O1236" s="50"/>
      <c r="P1236" s="50"/>
      <c r="Q1236" s="50"/>
      <c r="R1236" s="50"/>
    </row>
    <row r="1237" spans="1:18" x14ac:dyDescent="0.25">
      <c r="A1237" s="52" t="s">
        <v>791</v>
      </c>
      <c r="B1237" s="53"/>
      <c r="C1237" s="50"/>
      <c r="D1237" s="50"/>
      <c r="E1237" s="50"/>
      <c r="F1237" s="50"/>
      <c r="G1237" s="50"/>
      <c r="H1237" s="50"/>
      <c r="I1237" s="50"/>
      <c r="J1237" s="50"/>
      <c r="K1237" s="50"/>
      <c r="L1237" s="50"/>
      <c r="M1237" s="50"/>
      <c r="N1237" s="50"/>
      <c r="O1237" s="50"/>
      <c r="P1237" s="50"/>
      <c r="Q1237" s="50"/>
      <c r="R1237" s="50"/>
    </row>
    <row r="1238" spans="1:18" x14ac:dyDescent="0.25">
      <c r="A1238" s="52" t="s">
        <v>792</v>
      </c>
      <c r="B1238" s="53"/>
      <c r="C1238" s="54"/>
      <c r="D1238" s="54"/>
      <c r="E1238" s="54"/>
      <c r="F1238" s="54"/>
      <c r="G1238" s="54"/>
      <c r="H1238" s="54"/>
      <c r="I1238" s="54"/>
      <c r="J1238" s="54"/>
      <c r="K1238" s="54"/>
      <c r="L1238" s="54"/>
      <c r="M1238" s="54"/>
      <c r="N1238" s="54"/>
      <c r="O1238" s="54"/>
      <c r="P1238" s="54"/>
      <c r="Q1238" s="54"/>
      <c r="R1238" s="54"/>
    </row>
    <row r="1239" spans="1:18" x14ac:dyDescent="0.25">
      <c r="A1239" s="52" t="s">
        <v>793</v>
      </c>
      <c r="B1239" s="53"/>
      <c r="C1239" s="52"/>
      <c r="D1239" s="54"/>
      <c r="E1239" s="54"/>
      <c r="F1239" s="54"/>
      <c r="G1239" s="54"/>
      <c r="H1239" s="54"/>
      <c r="I1239" s="54"/>
      <c r="J1239" s="54"/>
      <c r="K1239" s="54"/>
      <c r="L1239" s="54"/>
      <c r="M1239" s="54"/>
      <c r="N1239" s="54"/>
      <c r="O1239" s="54"/>
      <c r="P1239" s="54"/>
      <c r="Q1239" s="54"/>
      <c r="R1239" s="54"/>
    </row>
    <row r="1240" spans="1:18" x14ac:dyDescent="0.25">
      <c r="A1240" s="52" t="s">
        <v>794</v>
      </c>
      <c r="B1240" s="53"/>
      <c r="C1240" s="52">
        <v>5000</v>
      </c>
      <c r="D1240" s="50"/>
      <c r="E1240" s="50"/>
      <c r="F1240" s="50"/>
      <c r="G1240" s="50"/>
      <c r="H1240" s="50"/>
      <c r="I1240" s="54"/>
      <c r="J1240" s="54"/>
      <c r="K1240" s="54"/>
      <c r="L1240" s="54"/>
      <c r="M1240" s="54"/>
      <c r="N1240" s="54"/>
      <c r="O1240" s="54"/>
      <c r="P1240" s="54"/>
      <c r="Q1240" s="54"/>
      <c r="R1240" s="54"/>
    </row>
    <row r="1241" spans="1:18" x14ac:dyDescent="0.25">
      <c r="A1241" s="52" t="s">
        <v>795</v>
      </c>
      <c r="B1241" s="53"/>
      <c r="C1241" s="52"/>
      <c r="D1241" s="50">
        <v>5000</v>
      </c>
      <c r="E1241" s="50"/>
      <c r="F1241" s="50"/>
      <c r="G1241" s="50"/>
      <c r="H1241" s="50"/>
      <c r="I1241" s="54"/>
      <c r="J1241" s="54"/>
      <c r="K1241" s="54"/>
      <c r="L1241" s="54"/>
      <c r="M1241" s="54"/>
      <c r="N1241" s="54"/>
      <c r="O1241" s="54"/>
      <c r="P1241" s="54"/>
      <c r="Q1241" s="54"/>
      <c r="R1241" s="54"/>
    </row>
    <row r="1242" spans="1:18" x14ac:dyDescent="0.25">
      <c r="A1242" s="52" t="s">
        <v>796</v>
      </c>
      <c r="B1242" s="53"/>
      <c r="C1242" s="52">
        <v>0</v>
      </c>
      <c r="D1242" s="50"/>
      <c r="E1242" s="50"/>
      <c r="F1242" s="50"/>
      <c r="G1242" s="50"/>
      <c r="H1242" s="50"/>
      <c r="I1242" s="54"/>
      <c r="J1242" s="54"/>
      <c r="K1242" s="54"/>
      <c r="L1242" s="54"/>
      <c r="M1242" s="54"/>
      <c r="N1242" s="54"/>
      <c r="O1242" s="54"/>
      <c r="P1242" s="54"/>
      <c r="Q1242" s="54"/>
      <c r="R1242" s="54"/>
    </row>
    <row r="1243" spans="1:18" x14ac:dyDescent="0.25">
      <c r="A1243" s="52" t="s">
        <v>797</v>
      </c>
      <c r="B1243" s="53"/>
      <c r="C1243" s="50"/>
      <c r="D1243" s="50"/>
      <c r="E1243" s="50"/>
      <c r="F1243" s="50"/>
      <c r="G1243" s="50"/>
      <c r="H1243" s="50"/>
      <c r="I1243" s="50"/>
      <c r="J1243" s="50"/>
      <c r="K1243" s="50"/>
      <c r="L1243" s="50"/>
      <c r="M1243" s="50"/>
      <c r="N1243" s="50"/>
      <c r="O1243" s="50"/>
      <c r="P1243" s="50"/>
      <c r="Q1243" s="50"/>
      <c r="R1243" s="50"/>
    </row>
    <row r="1244" spans="1:18" x14ac:dyDescent="0.25">
      <c r="A1244" s="52" t="s">
        <v>798</v>
      </c>
      <c r="B1244" s="53"/>
      <c r="C1244" s="54"/>
      <c r="D1244" s="50"/>
      <c r="E1244" s="50"/>
      <c r="F1244" s="50"/>
      <c r="G1244" s="50"/>
      <c r="H1244" s="50"/>
      <c r="I1244" s="54"/>
      <c r="J1244" s="54"/>
      <c r="K1244" s="54"/>
      <c r="L1244" s="54"/>
      <c r="M1244" s="54"/>
      <c r="N1244" s="54"/>
      <c r="O1244" s="54"/>
      <c r="P1244" s="54"/>
      <c r="Q1244" s="54"/>
      <c r="R1244" s="54"/>
    </row>
    <row r="1245" spans="1:18" x14ac:dyDescent="0.25">
      <c r="A1245" s="181" t="s">
        <v>799</v>
      </c>
      <c r="B1245" s="53"/>
      <c r="C1245" s="54">
        <v>18182</v>
      </c>
      <c r="D1245" s="50"/>
      <c r="E1245" s="50"/>
      <c r="F1245" s="50"/>
      <c r="G1245" s="50"/>
      <c r="H1245" s="50"/>
      <c r="I1245" s="54"/>
      <c r="J1245" s="54"/>
      <c r="K1245" s="54"/>
      <c r="L1245" s="54"/>
      <c r="M1245" s="54"/>
      <c r="N1245" s="54"/>
      <c r="O1245" s="54"/>
      <c r="P1245" s="54"/>
      <c r="Q1245" s="54"/>
      <c r="R1245" s="54"/>
    </row>
    <row r="1246" spans="1:18" x14ac:dyDescent="0.25">
      <c r="A1246" s="181" t="s">
        <v>800</v>
      </c>
      <c r="B1246" s="53"/>
      <c r="C1246" s="54">
        <v>23563</v>
      </c>
      <c r="D1246" s="50">
        <v>37563</v>
      </c>
      <c r="E1246">
        <v>38762</v>
      </c>
      <c r="F1246" s="50"/>
      <c r="G1246" s="50"/>
      <c r="H1246" s="50"/>
      <c r="I1246" s="54"/>
      <c r="J1246" s="54"/>
      <c r="K1246" s="54"/>
      <c r="L1246" s="54"/>
      <c r="M1246" s="54"/>
      <c r="N1246" s="54"/>
      <c r="O1246" s="54"/>
      <c r="P1246" s="54"/>
      <c r="Q1246" s="54"/>
      <c r="R1246" s="54"/>
    </row>
    <row r="1247" spans="1:18" x14ac:dyDescent="0.25">
      <c r="A1247" s="181" t="s">
        <v>801</v>
      </c>
      <c r="B1247" s="53"/>
      <c r="C1247" s="54">
        <v>3000</v>
      </c>
      <c r="D1247" s="50"/>
      <c r="E1247" s="50"/>
      <c r="F1247" s="50"/>
      <c r="G1247" s="50"/>
      <c r="H1247" s="50"/>
      <c r="I1247" s="54"/>
      <c r="J1247" s="54"/>
      <c r="K1247" s="54"/>
      <c r="L1247" s="54"/>
      <c r="M1247" s="54"/>
      <c r="N1247" s="54"/>
      <c r="O1247" s="54"/>
      <c r="P1247" s="54"/>
      <c r="Q1247" s="54"/>
      <c r="R1247" s="54"/>
    </row>
    <row r="1248" spans="1:18" x14ac:dyDescent="0.25">
      <c r="A1248" s="181" t="s">
        <v>802</v>
      </c>
      <c r="B1248" s="53"/>
      <c r="C1248" s="54">
        <v>6423</v>
      </c>
      <c r="D1248" s="50">
        <v>49577</v>
      </c>
      <c r="E1248" s="50"/>
      <c r="F1248" s="50"/>
      <c r="G1248" s="50"/>
      <c r="H1248" s="50"/>
      <c r="I1248" s="54"/>
      <c r="J1248" s="54"/>
      <c r="K1248" s="54"/>
      <c r="L1248" s="54"/>
      <c r="M1248" s="54"/>
      <c r="N1248" s="54"/>
      <c r="O1248" s="54"/>
      <c r="P1248" s="54"/>
      <c r="Q1248" s="54"/>
      <c r="R1248" s="54"/>
    </row>
    <row r="1249" spans="1:18" x14ac:dyDescent="0.25">
      <c r="A1249" s="52" t="s">
        <v>803</v>
      </c>
      <c r="B1249" s="53"/>
      <c r="C1249" s="50">
        <v>48000</v>
      </c>
      <c r="D1249" s="50"/>
      <c r="E1249" s="50"/>
      <c r="F1249" s="50"/>
      <c r="G1249" s="50"/>
      <c r="H1249" s="50"/>
      <c r="I1249" s="54"/>
      <c r="J1249" s="54"/>
      <c r="K1249" s="54"/>
      <c r="L1249" s="54"/>
      <c r="M1249" s="54"/>
      <c r="N1249" s="54"/>
      <c r="O1249" s="54"/>
      <c r="P1249" s="54"/>
      <c r="Q1249" s="54"/>
      <c r="R1249" s="54"/>
    </row>
    <row r="1250" spans="1:18" x14ac:dyDescent="0.25">
      <c r="A1250" s="52" t="s">
        <v>804</v>
      </c>
      <c r="B1250" s="53"/>
      <c r="C1250" s="50">
        <v>10000</v>
      </c>
      <c r="D1250" s="50">
        <v>10000</v>
      </c>
      <c r="E1250" s="50">
        <v>10000</v>
      </c>
      <c r="F1250" s="50"/>
      <c r="G1250" s="50"/>
      <c r="H1250" s="50"/>
      <c r="I1250" s="54"/>
      <c r="J1250" s="54"/>
      <c r="K1250" s="54"/>
      <c r="L1250" s="54"/>
      <c r="M1250" s="54"/>
      <c r="N1250" s="54"/>
      <c r="O1250" s="54"/>
      <c r="P1250" s="54"/>
      <c r="Q1250" s="54"/>
      <c r="R1250" s="54"/>
    </row>
    <row r="1251" spans="1:18" x14ac:dyDescent="0.25">
      <c r="A1251" s="52" t="s">
        <v>805</v>
      </c>
      <c r="B1251" s="53"/>
      <c r="C1251" s="50"/>
      <c r="D1251" s="50">
        <v>10000</v>
      </c>
      <c r="E1251" s="50"/>
      <c r="F1251" s="50"/>
      <c r="G1251" s="50"/>
      <c r="H1251" s="50"/>
      <c r="I1251" s="54"/>
      <c r="J1251" s="54"/>
      <c r="K1251" s="54"/>
      <c r="L1251" s="54"/>
      <c r="M1251" s="54"/>
      <c r="N1251" s="54"/>
      <c r="O1251" s="54"/>
      <c r="P1251" s="54"/>
      <c r="Q1251" s="54"/>
      <c r="R1251" s="54"/>
    </row>
    <row r="1252" spans="1:18" x14ac:dyDescent="0.25">
      <c r="A1252" s="181" t="s">
        <v>806</v>
      </c>
      <c r="B1252" s="53"/>
      <c r="C1252" s="50"/>
      <c r="D1252" s="50">
        <v>20000</v>
      </c>
      <c r="E1252" s="50"/>
      <c r="F1252" s="50"/>
      <c r="G1252" s="50"/>
      <c r="H1252" s="50"/>
      <c r="I1252" s="54"/>
      <c r="J1252" s="54"/>
      <c r="K1252" s="54"/>
      <c r="L1252" s="54"/>
      <c r="M1252" s="54"/>
      <c r="N1252" s="54"/>
      <c r="O1252" s="54"/>
      <c r="P1252" s="54"/>
      <c r="Q1252" s="54"/>
      <c r="R1252" s="54"/>
    </row>
    <row r="1253" spans="1:18" x14ac:dyDescent="0.25">
      <c r="A1253" s="181" t="s">
        <v>807</v>
      </c>
      <c r="B1253" s="53"/>
      <c r="C1253" s="50"/>
      <c r="D1253" s="50">
        <v>7438</v>
      </c>
      <c r="E1253" s="50"/>
      <c r="F1253" s="50"/>
      <c r="G1253" s="50"/>
      <c r="H1253" s="50"/>
      <c r="I1253" s="54"/>
      <c r="J1253" s="54"/>
      <c r="K1253" s="54"/>
      <c r="L1253" s="54"/>
      <c r="M1253" s="54"/>
      <c r="N1253" s="54"/>
      <c r="O1253" s="54"/>
      <c r="P1253" s="54"/>
      <c r="Q1253" s="54"/>
      <c r="R1253" s="54"/>
    </row>
    <row r="1254" spans="1:18" x14ac:dyDescent="0.25">
      <c r="A1254" s="59" t="s">
        <v>808</v>
      </c>
      <c r="B1254" s="53"/>
      <c r="C1254" s="50"/>
      <c r="D1254" s="50">
        <v>32500</v>
      </c>
      <c r="E1254">
        <v>15000</v>
      </c>
      <c r="F1254" s="50"/>
      <c r="G1254" s="50"/>
      <c r="H1254" s="50"/>
      <c r="I1254" s="54"/>
      <c r="J1254" s="54"/>
      <c r="K1254" s="54"/>
      <c r="L1254" s="54"/>
      <c r="M1254" s="54"/>
      <c r="N1254" s="54"/>
      <c r="O1254" s="54"/>
      <c r="P1254" s="54"/>
      <c r="Q1254" s="54"/>
      <c r="R1254" s="54"/>
    </row>
    <row r="1255" spans="1:18" x14ac:dyDescent="0.25">
      <c r="A1255" s="59" t="s">
        <v>809</v>
      </c>
      <c r="B1255" s="53"/>
      <c r="C1255" s="50"/>
      <c r="D1255" s="50"/>
      <c r="E1255" s="50">
        <v>25000</v>
      </c>
      <c r="F1255" s="50"/>
      <c r="G1255" s="50"/>
      <c r="H1255" s="50"/>
      <c r="I1255" s="54"/>
      <c r="J1255" s="54"/>
      <c r="K1255" s="54"/>
      <c r="L1255" s="54"/>
      <c r="M1255" s="54"/>
      <c r="N1255" s="54"/>
      <c r="O1255" s="54"/>
      <c r="P1255" s="54"/>
      <c r="Q1255" s="54"/>
      <c r="R1255" s="54"/>
    </row>
    <row r="1256" spans="1:18" x14ac:dyDescent="0.25">
      <c r="A1256" s="59" t="s">
        <v>810</v>
      </c>
      <c r="B1256" s="53"/>
      <c r="C1256" s="50"/>
      <c r="D1256" s="50"/>
      <c r="E1256" s="50"/>
      <c r="F1256">
        <v>32588</v>
      </c>
      <c r="G1256" s="50">
        <v>32588</v>
      </c>
      <c r="H1256" s="50"/>
      <c r="I1256" s="54"/>
      <c r="J1256" s="54"/>
      <c r="K1256" s="54"/>
      <c r="L1256" s="54"/>
      <c r="M1256" s="54"/>
      <c r="N1256" s="54"/>
      <c r="O1256" s="54"/>
      <c r="P1256" s="54"/>
      <c r="Q1256" s="54"/>
      <c r="R1256" s="54"/>
    </row>
    <row r="1257" spans="1:18" x14ac:dyDescent="0.25">
      <c r="A1257" s="59" t="s">
        <v>811</v>
      </c>
      <c r="B1257" s="53"/>
      <c r="C1257" s="50"/>
      <c r="D1257" s="50"/>
      <c r="E1257" s="50"/>
      <c r="F1257" s="50">
        <v>0</v>
      </c>
      <c r="G1257" s="50"/>
      <c r="H1257" s="50"/>
      <c r="I1257" s="54"/>
      <c r="J1257" s="54"/>
      <c r="K1257" s="54"/>
      <c r="L1257" s="54"/>
      <c r="M1257" s="54"/>
      <c r="N1257" s="54"/>
      <c r="O1257" s="54"/>
      <c r="P1257" s="54"/>
      <c r="Q1257" s="54"/>
      <c r="R1257" s="54"/>
    </row>
    <row r="1258" spans="1:18" x14ac:dyDescent="0.25">
      <c r="A1258" s="59" t="s">
        <v>812</v>
      </c>
      <c r="B1258" s="53"/>
      <c r="C1258" s="50"/>
      <c r="D1258" s="50"/>
      <c r="E1258" s="50"/>
      <c r="F1258" s="50"/>
      <c r="G1258" s="50">
        <v>10000</v>
      </c>
      <c r="H1258" s="50"/>
      <c r="I1258" s="54"/>
      <c r="J1258" s="54"/>
      <c r="K1258" s="54"/>
      <c r="L1258" s="54"/>
      <c r="M1258" s="54"/>
      <c r="N1258" s="54"/>
      <c r="O1258" s="54"/>
      <c r="P1258" s="54"/>
      <c r="Q1258" s="54"/>
      <c r="R1258" s="54"/>
    </row>
    <row r="1259" spans="1:18" x14ac:dyDescent="0.25">
      <c r="A1259" s="59" t="s">
        <v>813</v>
      </c>
      <c r="B1259" s="53"/>
      <c r="C1259" s="50"/>
      <c r="D1259" s="50"/>
      <c r="E1259" s="50"/>
      <c r="F1259" s="50"/>
      <c r="G1259" s="50">
        <v>10000</v>
      </c>
      <c r="H1259" s="50"/>
      <c r="I1259" s="54"/>
      <c r="J1259" s="54"/>
      <c r="K1259" s="54"/>
      <c r="L1259" s="54"/>
      <c r="M1259" s="54"/>
      <c r="N1259" s="54"/>
      <c r="O1259" s="54"/>
      <c r="P1259" s="54"/>
      <c r="Q1259" s="54"/>
      <c r="R1259" s="54"/>
    </row>
    <row r="1260" spans="1:18" x14ac:dyDescent="0.25">
      <c r="A1260" s="59" t="s">
        <v>814</v>
      </c>
      <c r="B1260" s="53"/>
      <c r="C1260" s="50"/>
      <c r="D1260" s="50"/>
      <c r="E1260" s="50"/>
      <c r="F1260" s="50"/>
      <c r="G1260" s="50">
        <v>20000</v>
      </c>
      <c r="H1260" s="50"/>
      <c r="I1260" s="54"/>
      <c r="J1260" s="54"/>
      <c r="K1260" s="54"/>
      <c r="L1260" s="54"/>
      <c r="M1260" s="54"/>
      <c r="N1260" s="54"/>
      <c r="O1260" s="54"/>
      <c r="P1260" s="54"/>
      <c r="Q1260" s="54"/>
      <c r="R1260" s="54"/>
    </row>
    <row r="1261" spans="1:18" x14ac:dyDescent="0.25">
      <c r="A1261" s="59" t="s">
        <v>815</v>
      </c>
      <c r="B1261" s="53"/>
      <c r="C1261" s="50"/>
      <c r="D1261" s="50"/>
      <c r="E1261" s="50"/>
      <c r="F1261" s="50"/>
      <c r="G1261" s="50">
        <v>10080</v>
      </c>
      <c r="H1261" s="50"/>
      <c r="I1261" s="54"/>
      <c r="J1261" s="54"/>
      <c r="K1261" s="54"/>
      <c r="L1261" s="54"/>
      <c r="M1261" s="54"/>
      <c r="N1261" s="54"/>
      <c r="O1261" s="54"/>
      <c r="P1261" s="54"/>
      <c r="Q1261" s="54"/>
      <c r="R1261" s="54"/>
    </row>
    <row r="1262" spans="1:18" x14ac:dyDescent="0.25">
      <c r="A1262" s="59" t="s">
        <v>816</v>
      </c>
      <c r="B1262" s="53"/>
      <c r="C1262" s="50"/>
      <c r="D1262" s="50"/>
      <c r="E1262" s="50"/>
      <c r="F1262" s="50"/>
      <c r="G1262" s="50">
        <v>13440</v>
      </c>
      <c r="H1262" s="50"/>
      <c r="I1262" s="54"/>
      <c r="J1262" s="54"/>
      <c r="K1262" s="54"/>
      <c r="L1262" s="54"/>
      <c r="M1262" s="54"/>
      <c r="N1262" s="54"/>
      <c r="O1262" s="54"/>
      <c r="P1262" s="54"/>
      <c r="Q1262" s="54"/>
      <c r="R1262" s="54"/>
    </row>
    <row r="1263" spans="1:18" x14ac:dyDescent="0.25">
      <c r="A1263" s="59" t="s">
        <v>817</v>
      </c>
      <c r="B1263" s="53"/>
      <c r="C1263" s="50"/>
      <c r="D1263" s="50"/>
      <c r="E1263" s="50"/>
      <c r="F1263" s="50"/>
      <c r="G1263" s="50"/>
      <c r="H1263" s="50"/>
      <c r="I1263" s="54"/>
      <c r="J1263" s="54"/>
      <c r="K1263" s="54"/>
      <c r="L1263" s="54"/>
      <c r="M1263" s="54"/>
      <c r="N1263" s="54"/>
      <c r="O1263" s="54"/>
      <c r="P1263" s="54"/>
      <c r="Q1263" s="54"/>
      <c r="R1263" s="54"/>
    </row>
    <row r="1264" spans="1:18" x14ac:dyDescent="0.25">
      <c r="A1264" s="59" t="s">
        <v>818</v>
      </c>
      <c r="B1264" s="53"/>
      <c r="C1264" s="50"/>
      <c r="D1264" s="50"/>
      <c r="E1264" s="50"/>
      <c r="F1264" s="50"/>
      <c r="G1264" s="50"/>
      <c r="H1264" s="50"/>
      <c r="I1264" s="54"/>
      <c r="J1264" s="54"/>
      <c r="K1264" s="54"/>
      <c r="L1264" s="54"/>
      <c r="M1264" s="54"/>
      <c r="N1264" s="54"/>
      <c r="O1264" s="54"/>
      <c r="P1264" s="54"/>
      <c r="Q1264" s="54"/>
      <c r="R1264" s="54"/>
    </row>
    <row r="1265" spans="1:18" x14ac:dyDescent="0.25">
      <c r="A1265" s="59"/>
      <c r="B1265" s="53"/>
      <c r="C1265" s="50"/>
      <c r="D1265" s="50"/>
      <c r="E1265" s="50"/>
      <c r="F1265" s="50"/>
      <c r="G1265" s="50"/>
      <c r="H1265" s="50"/>
      <c r="I1265" s="54"/>
      <c r="J1265" s="54"/>
      <c r="K1265" s="54"/>
      <c r="L1265" s="54"/>
      <c r="M1265" s="54"/>
      <c r="N1265" s="54"/>
      <c r="O1265" s="54"/>
      <c r="P1265" s="54"/>
      <c r="Q1265" s="54"/>
      <c r="R1265" s="54"/>
    </row>
    <row r="1266" spans="1:18" x14ac:dyDescent="0.25">
      <c r="C1266" s="50"/>
      <c r="D1266" s="50"/>
      <c r="E1266" s="50"/>
      <c r="F1266" s="50"/>
      <c r="G1266" s="50"/>
      <c r="H1266" s="50"/>
      <c r="I1266" s="50"/>
      <c r="J1266" s="50"/>
      <c r="K1266" s="50"/>
      <c r="L1266" s="50"/>
      <c r="M1266" s="50"/>
      <c r="N1266" s="50"/>
      <c r="O1266" s="50"/>
      <c r="P1266" s="50"/>
      <c r="Q1266" s="50"/>
      <c r="R1266" s="50"/>
    </row>
    <row r="1267" spans="1:18" x14ac:dyDescent="0.25">
      <c r="A1267" s="41" t="s">
        <v>216</v>
      </c>
      <c r="B1267" s="44"/>
      <c r="C1267" s="51">
        <f t="shared" ref="C1267:Q1267" si="749">SUM(C1237:C1266)</f>
        <v>114168</v>
      </c>
      <c r="D1267" s="51">
        <f t="shared" si="749"/>
        <v>172078</v>
      </c>
      <c r="E1267" s="51">
        <f t="shared" si="749"/>
        <v>88762</v>
      </c>
      <c r="F1267" s="51">
        <f t="shared" si="749"/>
        <v>32588</v>
      </c>
      <c r="G1267" s="51">
        <f t="shared" ref="G1267" si="750">SUM(G1237:G1266)</f>
        <v>96108</v>
      </c>
      <c r="H1267" s="51">
        <f t="shared" si="749"/>
        <v>0</v>
      </c>
      <c r="I1267" s="51">
        <f t="shared" si="749"/>
        <v>0</v>
      </c>
      <c r="J1267" s="51">
        <f t="shared" si="749"/>
        <v>0</v>
      </c>
      <c r="K1267" s="51">
        <f t="shared" si="749"/>
        <v>0</v>
      </c>
      <c r="L1267" s="51">
        <f t="shared" si="749"/>
        <v>0</v>
      </c>
      <c r="M1267" s="51">
        <f t="shared" si="749"/>
        <v>0</v>
      </c>
      <c r="N1267" s="51">
        <f t="shared" si="749"/>
        <v>0</v>
      </c>
      <c r="O1267" s="51">
        <f t="shared" si="749"/>
        <v>0</v>
      </c>
      <c r="P1267" s="51">
        <f t="shared" si="749"/>
        <v>0</v>
      </c>
      <c r="Q1267" s="51">
        <f t="shared" si="749"/>
        <v>0</v>
      </c>
      <c r="R1267" s="51">
        <f t="shared" ref="R1267" si="751">SUM(R1237:R1266)</f>
        <v>0</v>
      </c>
    </row>
    <row r="1268" spans="1:18" x14ac:dyDescent="0.25">
      <c r="C1268" s="50"/>
      <c r="D1268" s="50"/>
      <c r="E1268" s="50"/>
      <c r="F1268" s="50"/>
      <c r="G1268" s="50"/>
      <c r="H1268" s="50"/>
      <c r="I1268" s="50"/>
      <c r="J1268" s="50"/>
      <c r="K1268" s="50"/>
      <c r="L1268" s="50"/>
      <c r="M1268" s="50"/>
      <c r="N1268" s="50"/>
      <c r="O1268" s="50"/>
      <c r="P1268" s="50"/>
      <c r="Q1268" s="50"/>
      <c r="R1268" s="50"/>
    </row>
    <row r="1269" spans="1:18" x14ac:dyDescent="0.25">
      <c r="A1269" s="41" t="s">
        <v>165</v>
      </c>
      <c r="B1269" s="44"/>
      <c r="C1269" s="50"/>
      <c r="D1269" s="50"/>
      <c r="E1269" s="50"/>
      <c r="F1269" s="50"/>
      <c r="G1269" s="50"/>
      <c r="H1269" s="50"/>
      <c r="I1269" s="50"/>
      <c r="J1269" s="50"/>
      <c r="K1269" s="50"/>
      <c r="L1269" s="50"/>
      <c r="M1269" s="50"/>
      <c r="N1269" s="50"/>
      <c r="O1269" s="50"/>
      <c r="P1269" s="50"/>
      <c r="Q1269" s="50"/>
      <c r="R1269" s="50"/>
    </row>
    <row r="1270" spans="1:18" x14ac:dyDescent="0.25">
      <c r="C1270" s="50"/>
      <c r="D1270" s="50"/>
      <c r="E1270" s="50"/>
      <c r="F1270" s="50"/>
      <c r="G1270" s="50"/>
      <c r="H1270" s="50"/>
      <c r="I1270" s="50"/>
      <c r="J1270" s="50"/>
      <c r="K1270" s="50"/>
      <c r="L1270" s="50"/>
      <c r="M1270" s="50"/>
      <c r="N1270" s="50"/>
      <c r="O1270" s="50"/>
      <c r="P1270" s="50"/>
      <c r="Q1270" s="50"/>
      <c r="R1270" s="50"/>
    </row>
    <row r="1271" spans="1:18" x14ac:dyDescent="0.25">
      <c r="A1271" s="52" t="s">
        <v>819</v>
      </c>
      <c r="B1271" s="53"/>
      <c r="C1271" s="50"/>
      <c r="D1271" s="50"/>
      <c r="E1271" s="50"/>
      <c r="F1271" s="50"/>
      <c r="G1271" s="50"/>
      <c r="H1271" s="50"/>
      <c r="I1271" s="54"/>
      <c r="J1271" s="54"/>
      <c r="K1271" s="54"/>
      <c r="L1271" s="54"/>
      <c r="M1271" s="54"/>
      <c r="N1271" s="54"/>
      <c r="O1271" s="54"/>
      <c r="P1271" s="54"/>
      <c r="Q1271" s="54"/>
      <c r="R1271" s="54"/>
    </row>
    <row r="1272" spans="1:18" x14ac:dyDescent="0.25">
      <c r="A1272" s="52" t="s">
        <v>820</v>
      </c>
      <c r="B1272" s="53"/>
      <c r="C1272" s="54">
        <v>73281</v>
      </c>
      <c r="D1272" s="50">
        <v>87913</v>
      </c>
      <c r="E1272" s="50">
        <v>92294</v>
      </c>
      <c r="F1272" s="50">
        <v>106637</v>
      </c>
      <c r="G1272" s="50">
        <v>55424</v>
      </c>
      <c r="H1272" s="50">
        <v>92500</v>
      </c>
      <c r="I1272" s="50">
        <v>94733.5</v>
      </c>
      <c r="J1272" s="50">
        <v>97278.728999999992</v>
      </c>
      <c r="K1272" s="50">
        <v>100004.72147099997</v>
      </c>
      <c r="L1272" s="50">
        <v>102881.16344658297</v>
      </c>
      <c r="M1272" s="50">
        <v>105739.90142575555</v>
      </c>
      <c r="N1272" s="50">
        <v>108602.00172027835</v>
      </c>
      <c r="O1272" s="50">
        <v>111760.03680186759</v>
      </c>
      <c r="P1272" s="50">
        <v>115141.81558453612</v>
      </c>
      <c r="Q1272" s="50">
        <v>118580.51061406604</v>
      </c>
      <c r="R1272" s="50">
        <v>122124.69423379173</v>
      </c>
    </row>
    <row r="1273" spans="1:18" x14ac:dyDescent="0.25">
      <c r="A1273" s="43" t="s">
        <v>821</v>
      </c>
      <c r="C1273" s="182">
        <v>77312</v>
      </c>
      <c r="D1273" s="183">
        <v>78879</v>
      </c>
      <c r="E1273" s="182">
        <v>111853</v>
      </c>
      <c r="F1273" s="183">
        <v>112181</v>
      </c>
      <c r="G1273" s="182">
        <v>112661</v>
      </c>
      <c r="H1273" s="182">
        <v>114900</v>
      </c>
      <c r="I1273" s="182">
        <v>117600</v>
      </c>
      <c r="J1273" s="183">
        <v>120400</v>
      </c>
      <c r="K1273" s="183">
        <v>123300</v>
      </c>
      <c r="L1273" s="183">
        <v>126100</v>
      </c>
      <c r="M1273" s="183">
        <v>128900</v>
      </c>
      <c r="N1273" s="183">
        <v>131900</v>
      </c>
      <c r="O1273" s="183">
        <v>135200</v>
      </c>
      <c r="P1273" s="183">
        <v>138500</v>
      </c>
      <c r="Q1273" s="183">
        <v>141900</v>
      </c>
      <c r="R1273" s="183">
        <v>141900</v>
      </c>
    </row>
    <row r="1274" spans="1:18" x14ac:dyDescent="0.25">
      <c r="A1274" s="52" t="s">
        <v>822</v>
      </c>
      <c r="B1274" s="53"/>
      <c r="C1274" s="50">
        <v>0</v>
      </c>
      <c r="D1274" s="54">
        <f>C1274*1.025</f>
        <v>0</v>
      </c>
      <c r="E1274" s="54">
        <f>D1274*1.025</f>
        <v>0</v>
      </c>
      <c r="F1274" s="54">
        <v>0</v>
      </c>
      <c r="G1274" s="54">
        <v>0</v>
      </c>
      <c r="H1274" s="54">
        <v>0</v>
      </c>
      <c r="I1274" s="54">
        <v>0</v>
      </c>
      <c r="J1274" s="54">
        <v>0</v>
      </c>
      <c r="K1274" s="54">
        <v>0</v>
      </c>
      <c r="L1274" s="54">
        <v>0</v>
      </c>
      <c r="M1274" s="54">
        <v>0</v>
      </c>
      <c r="N1274" s="54">
        <v>0</v>
      </c>
      <c r="O1274" s="54">
        <v>0</v>
      </c>
      <c r="P1274" s="54">
        <v>0</v>
      </c>
      <c r="Q1274" s="54">
        <f t="shared" ref="Q1274:R1275" si="752">P1274*1.025</f>
        <v>0</v>
      </c>
      <c r="R1274" s="54">
        <f t="shared" si="752"/>
        <v>0</v>
      </c>
    </row>
    <row r="1275" spans="1:18" x14ac:dyDescent="0.25">
      <c r="A1275" s="52" t="s">
        <v>823</v>
      </c>
      <c r="B1275" s="53"/>
      <c r="C1275" s="50">
        <v>0</v>
      </c>
      <c r="D1275" s="54">
        <f>C1275*1.025</f>
        <v>0</v>
      </c>
      <c r="E1275" s="54">
        <f>D1275*1.025</f>
        <v>0</v>
      </c>
      <c r="F1275" s="54">
        <v>0</v>
      </c>
      <c r="G1275" s="54">
        <v>0</v>
      </c>
      <c r="H1275" s="54">
        <v>0</v>
      </c>
      <c r="I1275" s="54">
        <v>0</v>
      </c>
      <c r="J1275" s="54">
        <v>0</v>
      </c>
      <c r="K1275" s="54">
        <v>0</v>
      </c>
      <c r="L1275" s="54">
        <v>0</v>
      </c>
      <c r="M1275" s="54">
        <v>0</v>
      </c>
      <c r="N1275" s="54">
        <v>0</v>
      </c>
      <c r="O1275" s="54">
        <v>0</v>
      </c>
      <c r="P1275" s="54">
        <v>0</v>
      </c>
      <c r="Q1275" s="54">
        <f t="shared" si="752"/>
        <v>0</v>
      </c>
      <c r="R1275" s="54">
        <f t="shared" si="752"/>
        <v>0</v>
      </c>
    </row>
    <row r="1276" spans="1:18" x14ac:dyDescent="0.25">
      <c r="A1276" s="52" t="s">
        <v>824</v>
      </c>
      <c r="B1276" s="53"/>
      <c r="C1276" s="50"/>
      <c r="D1276" s="54"/>
      <c r="E1276" s="54"/>
      <c r="F1276" s="54"/>
      <c r="G1276" s="54"/>
      <c r="H1276" s="54"/>
      <c r="I1276" s="54"/>
      <c r="J1276" s="54"/>
      <c r="K1276" s="54"/>
      <c r="L1276" s="54"/>
      <c r="M1276" s="54"/>
      <c r="N1276" s="54"/>
      <c r="O1276" s="54"/>
      <c r="P1276" s="54"/>
      <c r="Q1276" s="54"/>
      <c r="R1276" s="54"/>
    </row>
    <row r="1277" spans="1:18" x14ac:dyDescent="0.25">
      <c r="A1277" s="52" t="s">
        <v>792</v>
      </c>
      <c r="B1277" s="53"/>
      <c r="C1277" s="59">
        <v>0</v>
      </c>
      <c r="D1277" s="54"/>
      <c r="E1277" s="54"/>
      <c r="F1277" s="54"/>
      <c r="G1277" s="54"/>
      <c r="H1277" s="54"/>
      <c r="I1277" s="54"/>
      <c r="J1277" s="54"/>
      <c r="K1277" s="54"/>
      <c r="L1277" s="54"/>
      <c r="M1277" s="54"/>
      <c r="N1277" s="54"/>
      <c r="O1277" s="54"/>
      <c r="P1277" s="54"/>
      <c r="Q1277" s="54"/>
      <c r="R1277" s="54"/>
    </row>
    <row r="1278" spans="1:18" x14ac:dyDescent="0.25">
      <c r="A1278" s="52" t="s">
        <v>793</v>
      </c>
      <c r="B1278" s="53"/>
      <c r="C1278" s="68">
        <v>0</v>
      </c>
      <c r="D1278" s="54"/>
      <c r="E1278" s="54"/>
      <c r="F1278" s="54"/>
      <c r="G1278" s="54"/>
      <c r="H1278" s="54"/>
      <c r="I1278" s="54"/>
      <c r="J1278" s="54"/>
      <c r="K1278" s="54"/>
      <c r="L1278" s="54"/>
      <c r="M1278" s="54"/>
      <c r="N1278" s="54"/>
      <c r="O1278" s="54"/>
      <c r="P1278" s="54"/>
      <c r="Q1278" s="54"/>
      <c r="R1278" s="54"/>
    </row>
    <row r="1279" spans="1:18" x14ac:dyDescent="0.25">
      <c r="A1279" s="52" t="s">
        <v>794</v>
      </c>
      <c r="B1279" s="53"/>
      <c r="C1279" s="50">
        <v>4991</v>
      </c>
      <c r="D1279" s="50">
        <v>5000</v>
      </c>
      <c r="E1279" s="54"/>
      <c r="F1279" s="54"/>
      <c r="G1279" s="54"/>
      <c r="H1279" s="54"/>
      <c r="I1279" s="54"/>
      <c r="J1279" s="54"/>
      <c r="K1279" s="54"/>
      <c r="L1279" s="54"/>
      <c r="M1279" s="54"/>
      <c r="N1279" s="54"/>
      <c r="O1279" s="54"/>
      <c r="P1279" s="54"/>
      <c r="Q1279" s="54"/>
      <c r="R1279" s="54"/>
    </row>
    <row r="1280" spans="1:18" x14ac:dyDescent="0.25">
      <c r="A1280" s="52" t="s">
        <v>795</v>
      </c>
      <c r="B1280" s="53"/>
      <c r="C1280" s="50"/>
      <c r="D1280" s="50"/>
      <c r="E1280" s="54"/>
      <c r="F1280" s="54"/>
      <c r="G1280" s="54"/>
      <c r="H1280" s="54"/>
      <c r="I1280" s="54"/>
      <c r="J1280" s="54"/>
      <c r="K1280" s="54"/>
      <c r="L1280" s="54"/>
      <c r="M1280" s="54"/>
      <c r="N1280" s="54"/>
      <c r="O1280" s="54"/>
      <c r="P1280" s="54"/>
      <c r="Q1280" s="54"/>
      <c r="R1280" s="54"/>
    </row>
    <row r="1281" spans="1:18" x14ac:dyDescent="0.25">
      <c r="A1281" s="52" t="s">
        <v>796</v>
      </c>
      <c r="B1281" s="53"/>
      <c r="C1281" s="59">
        <v>0</v>
      </c>
      <c r="D1281" s="54"/>
      <c r="E1281" s="54"/>
      <c r="F1281" s="54"/>
      <c r="G1281" s="54"/>
      <c r="H1281" s="54"/>
      <c r="I1281" s="54"/>
      <c r="J1281" s="54"/>
      <c r="K1281" s="54"/>
      <c r="L1281" s="54"/>
      <c r="M1281" s="54"/>
      <c r="N1281" s="54"/>
      <c r="O1281" s="54"/>
      <c r="P1281" s="54"/>
      <c r="Q1281" s="54"/>
      <c r="R1281" s="54"/>
    </row>
    <row r="1282" spans="1:18" x14ac:dyDescent="0.25">
      <c r="A1282" s="52" t="s">
        <v>825</v>
      </c>
      <c r="B1282" s="53"/>
      <c r="C1282" s="50"/>
      <c r="D1282" s="54"/>
      <c r="E1282" s="54"/>
      <c r="F1282" s="54"/>
      <c r="G1282" s="54"/>
      <c r="H1282" s="54"/>
      <c r="I1282" s="54"/>
      <c r="J1282" s="54"/>
      <c r="K1282" s="54"/>
      <c r="L1282" s="54"/>
      <c r="M1282" s="54"/>
      <c r="N1282" s="54"/>
      <c r="O1282" s="54"/>
      <c r="P1282" s="54"/>
      <c r="Q1282" s="54"/>
      <c r="R1282" s="54"/>
    </row>
    <row r="1283" spans="1:18" x14ac:dyDescent="0.25">
      <c r="A1283" s="52" t="s">
        <v>826</v>
      </c>
      <c r="B1283" s="53"/>
      <c r="C1283" s="59">
        <v>0</v>
      </c>
      <c r="D1283" s="54"/>
      <c r="E1283" s="54"/>
      <c r="F1283" s="54"/>
      <c r="G1283" s="54"/>
      <c r="H1283" s="54"/>
      <c r="I1283" s="54"/>
      <c r="J1283" s="54"/>
      <c r="K1283" s="54"/>
      <c r="L1283" s="54"/>
      <c r="M1283" s="54"/>
      <c r="N1283" s="54"/>
      <c r="O1283" s="54"/>
      <c r="P1283" s="54"/>
      <c r="Q1283" s="54"/>
      <c r="R1283" s="54"/>
    </row>
    <row r="1284" spans="1:18" x14ac:dyDescent="0.25">
      <c r="A1284" s="52" t="s">
        <v>822</v>
      </c>
      <c r="B1284" s="53"/>
      <c r="C1284" s="59">
        <v>0</v>
      </c>
      <c r="D1284" s="54"/>
      <c r="E1284" s="54"/>
      <c r="F1284" s="54"/>
      <c r="G1284" s="54"/>
      <c r="H1284" s="54"/>
      <c r="I1284" s="54"/>
      <c r="J1284" s="54"/>
      <c r="K1284" s="54"/>
      <c r="L1284" s="54"/>
      <c r="M1284" s="54"/>
      <c r="N1284" s="54"/>
      <c r="O1284" s="54"/>
      <c r="P1284" s="54"/>
      <c r="Q1284" s="54"/>
      <c r="R1284" s="54"/>
    </row>
    <row r="1285" spans="1:18" x14ac:dyDescent="0.25">
      <c r="A1285" s="52" t="s">
        <v>797</v>
      </c>
      <c r="B1285" s="53"/>
      <c r="C1285" s="184"/>
      <c r="D1285" s="67"/>
      <c r="E1285" s="67"/>
      <c r="F1285" s="67"/>
      <c r="G1285" s="67"/>
      <c r="H1285" s="67"/>
      <c r="I1285" s="67"/>
      <c r="J1285" s="67"/>
      <c r="K1285" s="67"/>
      <c r="L1285" s="67"/>
      <c r="M1285" s="67"/>
      <c r="N1285" s="67"/>
      <c r="O1285" s="67"/>
      <c r="P1285" s="67"/>
      <c r="Q1285" s="67"/>
      <c r="R1285" s="67"/>
    </row>
    <row r="1286" spans="1:18" x14ac:dyDescent="0.25">
      <c r="A1286" s="43" t="s">
        <v>827</v>
      </c>
      <c r="C1286" s="59">
        <v>5500</v>
      </c>
      <c r="D1286" s="54">
        <v>5660</v>
      </c>
      <c r="E1286" s="54">
        <v>5824</v>
      </c>
      <c r="F1286" s="54">
        <v>11647</v>
      </c>
      <c r="G1286" s="50">
        <v>11961</v>
      </c>
      <c r="H1286" s="50">
        <v>12700</v>
      </c>
      <c r="I1286" s="54">
        <f>H1286*1.023</f>
        <v>12992.099999999999</v>
      </c>
      <c r="J1286" s="54">
        <f>I1286*1.024</f>
        <v>13303.910399999999</v>
      </c>
      <c r="K1286" s="54">
        <f>J1286*1.024</f>
        <v>13623.204249599999</v>
      </c>
      <c r="L1286" s="54">
        <f>K1286*1.023</f>
        <v>13936.537947340797</v>
      </c>
      <c r="M1286" s="54">
        <f>L1286*1.022</f>
        <v>14243.141782182296</v>
      </c>
      <c r="N1286" s="54">
        <f>M1286*1.023</f>
        <v>14570.734043172488</v>
      </c>
      <c r="O1286" s="54">
        <f>N1286*1.025</f>
        <v>14935.002394251798</v>
      </c>
      <c r="P1286" s="54">
        <f>O1286*1.025</f>
        <v>15308.377454108091</v>
      </c>
      <c r="Q1286" s="54">
        <f>P1286*1.024</f>
        <v>15675.778513006686</v>
      </c>
      <c r="R1286" s="54">
        <f>Q1286*1.024</f>
        <v>16051.997197318846</v>
      </c>
    </row>
    <row r="1287" spans="1:18" x14ac:dyDescent="0.25">
      <c r="A1287" s="43" t="s">
        <v>828</v>
      </c>
      <c r="C1287" s="59">
        <v>0</v>
      </c>
      <c r="D1287" s="50">
        <v>0</v>
      </c>
      <c r="E1287" s="50">
        <v>0</v>
      </c>
      <c r="F1287" s="50">
        <v>0</v>
      </c>
      <c r="G1287" s="50">
        <v>0</v>
      </c>
      <c r="H1287" s="50">
        <v>0</v>
      </c>
      <c r="I1287" s="54">
        <v>0</v>
      </c>
      <c r="J1287" s="54">
        <v>0</v>
      </c>
      <c r="K1287" s="54">
        <v>0</v>
      </c>
      <c r="L1287" s="54">
        <v>0</v>
      </c>
      <c r="M1287" s="54">
        <v>0</v>
      </c>
      <c r="N1287" s="54">
        <v>0</v>
      </c>
      <c r="O1287" s="54">
        <v>0</v>
      </c>
      <c r="P1287" s="54">
        <v>0</v>
      </c>
      <c r="Q1287" s="54">
        <f>P1287*1.024</f>
        <v>0</v>
      </c>
      <c r="R1287" s="54">
        <f>Q1287*1.024</f>
        <v>0</v>
      </c>
    </row>
    <row r="1288" spans="1:18" x14ac:dyDescent="0.25">
      <c r="A1288" s="181" t="s">
        <v>799</v>
      </c>
      <c r="C1288" s="50">
        <v>18159</v>
      </c>
      <c r="D1288" s="50"/>
      <c r="E1288" s="50"/>
      <c r="F1288" s="50"/>
      <c r="G1288" s="50"/>
      <c r="H1288" s="50"/>
      <c r="I1288" s="54"/>
      <c r="J1288" s="54"/>
      <c r="K1288" s="54"/>
      <c r="L1288" s="54"/>
      <c r="M1288" s="54"/>
      <c r="N1288" s="54"/>
      <c r="O1288" s="54"/>
      <c r="P1288" s="54"/>
      <c r="Q1288" s="54"/>
      <c r="R1288" s="54"/>
    </row>
    <row r="1289" spans="1:18" x14ac:dyDescent="0.25">
      <c r="A1289" s="181" t="s">
        <v>800</v>
      </c>
      <c r="C1289" s="50">
        <v>14649</v>
      </c>
      <c r="D1289" s="50">
        <v>27700</v>
      </c>
      <c r="E1289" s="50">
        <v>33065</v>
      </c>
      <c r="F1289" s="50">
        <v>18518</v>
      </c>
      <c r="G1289" s="50"/>
      <c r="H1289" s="50"/>
      <c r="I1289" s="54"/>
      <c r="J1289" s="54"/>
      <c r="K1289" s="54"/>
      <c r="L1289" s="54"/>
      <c r="M1289" s="54"/>
      <c r="N1289" s="54"/>
      <c r="O1289" s="54"/>
      <c r="P1289" s="54"/>
      <c r="Q1289" s="54"/>
      <c r="R1289" s="54"/>
    </row>
    <row r="1290" spans="1:18" x14ac:dyDescent="0.25">
      <c r="A1290" s="181" t="s">
        <v>801</v>
      </c>
      <c r="B1290" s="52"/>
      <c r="C1290" s="50">
        <v>3000</v>
      </c>
      <c r="D1290" s="50"/>
      <c r="E1290" s="50"/>
      <c r="F1290" s="50"/>
      <c r="G1290" s="50"/>
      <c r="H1290" s="50"/>
      <c r="I1290" s="54"/>
      <c r="J1290" s="54"/>
      <c r="K1290" s="54"/>
      <c r="L1290" s="54"/>
      <c r="M1290" s="54"/>
      <c r="N1290" s="54"/>
      <c r="O1290" s="54"/>
      <c r="P1290" s="54"/>
      <c r="Q1290" s="54"/>
      <c r="R1290" s="54"/>
    </row>
    <row r="1291" spans="1:18" x14ac:dyDescent="0.25">
      <c r="A1291" s="181" t="s">
        <v>802</v>
      </c>
      <c r="B1291" s="52"/>
      <c r="C1291" s="50">
        <v>6423</v>
      </c>
      <c r="D1291" s="50">
        <v>33429</v>
      </c>
      <c r="E1291" s="50"/>
      <c r="F1291" s="50"/>
      <c r="G1291" s="50"/>
      <c r="H1291" s="50"/>
      <c r="I1291" s="54"/>
      <c r="J1291" s="54"/>
      <c r="K1291" s="54"/>
      <c r="L1291" s="54"/>
      <c r="M1291" s="54"/>
      <c r="N1291" s="54"/>
      <c r="O1291" s="54"/>
      <c r="P1291" s="54"/>
      <c r="Q1291" s="54"/>
      <c r="R1291" s="54"/>
    </row>
    <row r="1292" spans="1:18" x14ac:dyDescent="0.25">
      <c r="A1292" s="52" t="s">
        <v>803</v>
      </c>
      <c r="B1292" s="52"/>
      <c r="C1292" s="50">
        <v>48000</v>
      </c>
      <c r="D1292" s="50"/>
      <c r="E1292" s="50"/>
      <c r="F1292" s="50"/>
      <c r="G1292" s="50"/>
      <c r="H1292" s="50"/>
      <c r="I1292" s="54"/>
      <c r="J1292" s="54"/>
      <c r="K1292" s="54"/>
      <c r="L1292" s="54"/>
      <c r="M1292" s="54"/>
      <c r="N1292" s="54"/>
      <c r="O1292" s="54"/>
      <c r="P1292" s="54"/>
      <c r="Q1292" s="54"/>
      <c r="R1292" s="54"/>
    </row>
    <row r="1293" spans="1:18" x14ac:dyDescent="0.25">
      <c r="A1293" s="52" t="s">
        <v>829</v>
      </c>
      <c r="B1293" s="52"/>
      <c r="C1293" s="50"/>
      <c r="D1293" s="50"/>
      <c r="E1293" s="50">
        <v>6664</v>
      </c>
      <c r="F1293" s="50">
        <v>3332</v>
      </c>
      <c r="G1293" s="50"/>
      <c r="H1293" s="50"/>
      <c r="I1293" s="54"/>
      <c r="J1293" s="54"/>
      <c r="K1293" s="54"/>
      <c r="L1293" s="54"/>
      <c r="M1293" s="54"/>
      <c r="N1293" s="54"/>
      <c r="O1293" s="54"/>
      <c r="P1293" s="54"/>
      <c r="Q1293" s="54"/>
      <c r="R1293" s="54"/>
    </row>
    <row r="1294" spans="1:18" x14ac:dyDescent="0.25">
      <c r="A1294" s="52" t="s">
        <v>804</v>
      </c>
      <c r="B1294" s="52"/>
      <c r="C1294" s="50">
        <v>0</v>
      </c>
      <c r="D1294" s="50">
        <v>9996</v>
      </c>
      <c r="E1294" s="50"/>
      <c r="F1294" s="50"/>
      <c r="G1294" s="50"/>
      <c r="H1294" s="50"/>
      <c r="I1294" s="54"/>
      <c r="J1294" s="54"/>
      <c r="K1294" s="54"/>
      <c r="L1294" s="54"/>
      <c r="M1294" s="54"/>
      <c r="N1294" s="54"/>
      <c r="O1294" s="54"/>
      <c r="P1294" s="54"/>
      <c r="Q1294" s="54"/>
      <c r="R1294" s="54"/>
    </row>
    <row r="1295" spans="1:18" x14ac:dyDescent="0.25">
      <c r="A1295" s="52" t="s">
        <v>805</v>
      </c>
      <c r="B1295" s="52"/>
      <c r="C1295" s="50"/>
      <c r="D1295" s="50">
        <v>9996</v>
      </c>
      <c r="E1295" s="50"/>
      <c r="F1295" s="50"/>
      <c r="G1295" s="50"/>
      <c r="H1295" s="50"/>
      <c r="I1295" s="54"/>
      <c r="J1295" s="54"/>
      <c r="K1295" s="54"/>
      <c r="L1295" s="54"/>
      <c r="M1295" s="54"/>
      <c r="N1295" s="54"/>
      <c r="O1295" s="54"/>
      <c r="P1295" s="54"/>
      <c r="Q1295" s="54"/>
      <c r="R1295" s="54"/>
    </row>
    <row r="1296" spans="1:18" x14ac:dyDescent="0.25">
      <c r="A1296" s="52" t="s">
        <v>830</v>
      </c>
      <c r="B1296" s="52"/>
      <c r="C1296" s="50"/>
      <c r="D1296" s="50"/>
      <c r="E1296" s="50">
        <v>9996</v>
      </c>
      <c r="F1296" s="50"/>
      <c r="G1296" s="50"/>
      <c r="H1296" s="50"/>
      <c r="I1296" s="54"/>
      <c r="J1296" s="54"/>
      <c r="K1296" s="54"/>
      <c r="L1296" s="54"/>
      <c r="M1296" s="54"/>
      <c r="N1296" s="54"/>
      <c r="O1296" s="54"/>
      <c r="P1296" s="54"/>
      <c r="Q1296" s="54"/>
      <c r="R1296" s="54"/>
    </row>
    <row r="1297" spans="1:18" x14ac:dyDescent="0.25">
      <c r="A1297" s="181" t="s">
        <v>806</v>
      </c>
      <c r="B1297" s="52"/>
      <c r="C1297" s="50"/>
      <c r="D1297" s="50">
        <v>19520</v>
      </c>
      <c r="E1297" s="50">
        <v>468</v>
      </c>
      <c r="F1297" s="50"/>
      <c r="G1297" s="50"/>
      <c r="H1297" s="50"/>
      <c r="I1297" s="54"/>
      <c r="J1297" s="54"/>
      <c r="K1297" s="54"/>
      <c r="L1297" s="54"/>
      <c r="M1297" s="54"/>
      <c r="N1297" s="54"/>
      <c r="O1297" s="54"/>
      <c r="P1297" s="54"/>
      <c r="Q1297" s="54"/>
      <c r="R1297" s="54"/>
    </row>
    <row r="1298" spans="1:18" x14ac:dyDescent="0.25">
      <c r="A1298" s="181" t="s">
        <v>807</v>
      </c>
      <c r="B1298" s="52"/>
      <c r="C1298" s="50"/>
      <c r="D1298" s="50">
        <v>7436</v>
      </c>
      <c r="E1298" s="50">
        <v>0</v>
      </c>
      <c r="F1298" s="50"/>
      <c r="G1298" s="50"/>
      <c r="H1298" s="50"/>
      <c r="I1298" s="54"/>
      <c r="J1298" s="54"/>
      <c r="K1298" s="54"/>
      <c r="L1298" s="54"/>
      <c r="M1298" s="54"/>
      <c r="N1298" s="54"/>
      <c r="O1298" s="54"/>
      <c r="P1298" s="54"/>
      <c r="Q1298" s="54"/>
      <c r="R1298" s="54"/>
    </row>
    <row r="1299" spans="1:18" x14ac:dyDescent="0.25">
      <c r="A1299" s="59" t="s">
        <v>808</v>
      </c>
      <c r="B1299" s="52"/>
      <c r="C1299" s="50"/>
      <c r="D1299" s="50">
        <v>22500</v>
      </c>
      <c r="E1299" s="50">
        <v>13947</v>
      </c>
      <c r="F1299" s="50">
        <v>11028</v>
      </c>
      <c r="G1299" s="50"/>
      <c r="H1299" s="50"/>
      <c r="I1299" s="54"/>
      <c r="J1299" s="54"/>
      <c r="K1299" s="54"/>
      <c r="L1299" s="54"/>
      <c r="M1299" s="54"/>
      <c r="N1299" s="54"/>
      <c r="O1299" s="54"/>
      <c r="P1299" s="54"/>
      <c r="Q1299" s="54"/>
      <c r="R1299" s="54"/>
    </row>
    <row r="1300" spans="1:18" x14ac:dyDescent="0.25">
      <c r="A1300" s="59" t="s">
        <v>809</v>
      </c>
      <c r="B1300" s="52"/>
      <c r="C1300" s="50"/>
      <c r="D1300" s="50"/>
      <c r="E1300" s="50">
        <v>9912</v>
      </c>
      <c r="F1300" s="50">
        <v>14988</v>
      </c>
      <c r="G1300" s="50"/>
      <c r="H1300" s="50"/>
      <c r="I1300" s="54"/>
      <c r="J1300" s="54"/>
      <c r="K1300" s="54"/>
      <c r="L1300" s="54"/>
      <c r="M1300" s="54"/>
      <c r="N1300" s="54"/>
      <c r="O1300" s="54"/>
      <c r="P1300" s="54"/>
      <c r="Q1300" s="54"/>
      <c r="R1300" s="54"/>
    </row>
    <row r="1301" spans="1:18" x14ac:dyDescent="0.25">
      <c r="A1301" s="59" t="s">
        <v>810</v>
      </c>
      <c r="B1301" s="52"/>
      <c r="C1301" s="50"/>
      <c r="D1301" s="50"/>
      <c r="E1301" s="50"/>
      <c r="F1301" s="50">
        <v>26311</v>
      </c>
      <c r="G1301" s="50">
        <v>27746</v>
      </c>
      <c r="H1301" s="50"/>
      <c r="I1301" s="54"/>
      <c r="J1301" s="54"/>
      <c r="K1301" s="54"/>
      <c r="L1301" s="54"/>
      <c r="M1301" s="54"/>
      <c r="N1301" s="54"/>
      <c r="O1301" s="54"/>
      <c r="P1301" s="54"/>
      <c r="Q1301" s="54"/>
      <c r="R1301" s="54"/>
    </row>
    <row r="1302" spans="1:18" x14ac:dyDescent="0.25">
      <c r="A1302" s="59" t="s">
        <v>812</v>
      </c>
      <c r="B1302" s="52"/>
      <c r="C1302" s="50"/>
      <c r="D1302" s="50"/>
      <c r="E1302" s="50"/>
      <c r="F1302" s="50"/>
      <c r="G1302" s="50">
        <v>6627</v>
      </c>
      <c r="H1302" s="50"/>
      <c r="I1302" s="54"/>
      <c r="J1302" s="54"/>
      <c r="K1302" s="54"/>
      <c r="L1302" s="54"/>
      <c r="M1302" s="54"/>
      <c r="N1302" s="54"/>
      <c r="O1302" s="54"/>
      <c r="P1302" s="54"/>
      <c r="Q1302" s="54"/>
      <c r="R1302" s="54"/>
    </row>
    <row r="1303" spans="1:18" x14ac:dyDescent="0.25">
      <c r="A1303" s="59" t="s">
        <v>813</v>
      </c>
      <c r="B1303" s="52"/>
      <c r="C1303" s="50"/>
      <c r="D1303" s="50"/>
      <c r="E1303" s="50"/>
      <c r="F1303" s="50"/>
      <c r="G1303" s="50">
        <v>4982</v>
      </c>
      <c r="H1303" s="50"/>
      <c r="I1303" s="54"/>
      <c r="J1303" s="54"/>
      <c r="K1303" s="54"/>
      <c r="L1303" s="54"/>
      <c r="M1303" s="54"/>
      <c r="N1303" s="54"/>
      <c r="O1303" s="54"/>
      <c r="P1303" s="54"/>
      <c r="Q1303" s="54"/>
      <c r="R1303" s="54"/>
    </row>
    <row r="1304" spans="1:18" x14ac:dyDescent="0.25">
      <c r="A1304" s="59" t="s">
        <v>814</v>
      </c>
      <c r="B1304" s="52"/>
      <c r="C1304" s="50"/>
      <c r="D1304" s="50"/>
      <c r="E1304" s="50"/>
      <c r="F1304" s="50"/>
      <c r="G1304" s="50">
        <v>5526</v>
      </c>
      <c r="H1304" s="50"/>
      <c r="I1304" s="54"/>
      <c r="J1304" s="54"/>
      <c r="K1304" s="54"/>
      <c r="L1304" s="54"/>
      <c r="M1304" s="54"/>
      <c r="N1304" s="54"/>
      <c r="O1304" s="54"/>
      <c r="P1304" s="54"/>
      <c r="Q1304" s="54"/>
      <c r="R1304" s="54"/>
    </row>
    <row r="1305" spans="1:18" x14ac:dyDescent="0.25">
      <c r="A1305" s="59" t="s">
        <v>815</v>
      </c>
      <c r="B1305" s="52"/>
      <c r="C1305" s="50"/>
      <c r="D1305" s="50"/>
      <c r="E1305" s="50"/>
      <c r="F1305" s="50"/>
      <c r="G1305" s="50">
        <v>5040</v>
      </c>
      <c r="H1305" s="50"/>
      <c r="I1305" s="54"/>
      <c r="J1305" s="54"/>
      <c r="K1305" s="54"/>
      <c r="L1305" s="54"/>
      <c r="M1305" s="54"/>
      <c r="N1305" s="54"/>
      <c r="O1305" s="54"/>
      <c r="P1305" s="54"/>
      <c r="Q1305" s="54"/>
      <c r="R1305" s="54"/>
    </row>
    <row r="1306" spans="1:18" x14ac:dyDescent="0.25">
      <c r="A1306" s="59" t="s">
        <v>816</v>
      </c>
      <c r="C1306" s="50"/>
      <c r="D1306" s="50"/>
      <c r="E1306" s="50"/>
      <c r="F1306" s="50"/>
      <c r="G1306" s="50">
        <v>6472</v>
      </c>
      <c r="H1306" s="50"/>
      <c r="I1306" s="50"/>
      <c r="J1306" s="50"/>
      <c r="K1306" s="50"/>
      <c r="L1306" s="50"/>
      <c r="M1306" s="50"/>
      <c r="N1306" s="50"/>
      <c r="O1306" s="50"/>
      <c r="P1306" s="50"/>
      <c r="Q1306" s="50"/>
      <c r="R1306" s="50"/>
    </row>
    <row r="1307" spans="1:18" x14ac:dyDescent="0.25">
      <c r="A1307" s="59" t="s">
        <v>817</v>
      </c>
      <c r="C1307" s="50"/>
      <c r="D1307" s="50"/>
      <c r="E1307" s="50"/>
      <c r="F1307" s="50"/>
      <c r="G1307" s="50"/>
      <c r="H1307" s="50"/>
      <c r="I1307" s="50"/>
      <c r="J1307" s="50"/>
      <c r="K1307" s="50"/>
      <c r="L1307" s="50"/>
      <c r="M1307" s="50"/>
      <c r="N1307" s="50"/>
      <c r="O1307" s="50"/>
      <c r="P1307" s="50"/>
      <c r="Q1307" s="50"/>
      <c r="R1307" s="50"/>
    </row>
    <row r="1308" spans="1:18" x14ac:dyDescent="0.25">
      <c r="A1308" s="59" t="s">
        <v>818</v>
      </c>
      <c r="C1308" s="50"/>
      <c r="D1308" s="50"/>
      <c r="E1308" s="50"/>
      <c r="F1308" s="50"/>
      <c r="G1308" s="50"/>
      <c r="H1308" s="50"/>
      <c r="I1308" s="50"/>
      <c r="J1308" s="50"/>
      <c r="K1308" s="50"/>
      <c r="L1308" s="50"/>
      <c r="M1308" s="50"/>
      <c r="N1308" s="50"/>
      <c r="O1308" s="50"/>
      <c r="P1308" s="50"/>
      <c r="Q1308" s="50"/>
      <c r="R1308" s="50"/>
    </row>
    <row r="1309" spans="1:18" x14ac:dyDescent="0.25">
      <c r="A1309" s="59"/>
      <c r="C1309" s="50"/>
      <c r="D1309" s="50"/>
      <c r="E1309" s="50"/>
      <c r="F1309" s="50"/>
      <c r="G1309" s="50"/>
      <c r="H1309" s="50"/>
      <c r="I1309" s="50"/>
      <c r="J1309" s="50"/>
      <c r="K1309" s="50"/>
      <c r="L1309" s="50"/>
      <c r="M1309" s="50"/>
      <c r="N1309" s="50"/>
      <c r="O1309" s="50"/>
      <c r="P1309" s="50"/>
      <c r="Q1309" s="50"/>
      <c r="R1309" s="50"/>
    </row>
    <row r="1310" spans="1:18" x14ac:dyDescent="0.25">
      <c r="A1310" s="59"/>
      <c r="C1310" s="50"/>
      <c r="D1310" s="50"/>
      <c r="E1310" s="50"/>
      <c r="F1310" s="50"/>
      <c r="G1310" s="50"/>
      <c r="H1310" s="50"/>
      <c r="I1310" s="50"/>
      <c r="J1310" s="50"/>
      <c r="K1310" s="50"/>
      <c r="L1310" s="50"/>
      <c r="M1310" s="50"/>
      <c r="N1310" s="50"/>
      <c r="O1310" s="50"/>
      <c r="P1310" s="50"/>
      <c r="Q1310" s="50"/>
      <c r="R1310" s="50"/>
    </row>
    <row r="1311" spans="1:18" x14ac:dyDescent="0.25">
      <c r="A1311" s="59"/>
      <c r="C1311" s="50"/>
      <c r="D1311" s="50"/>
      <c r="E1311" s="50"/>
      <c r="F1311" s="50"/>
      <c r="G1311" s="50"/>
      <c r="H1311" s="50"/>
      <c r="I1311" s="50"/>
      <c r="J1311" s="50"/>
      <c r="K1311" s="50"/>
      <c r="L1311" s="50"/>
      <c r="M1311" s="50"/>
      <c r="N1311" s="50"/>
      <c r="O1311" s="50"/>
      <c r="P1311" s="50"/>
      <c r="Q1311" s="50"/>
      <c r="R1311" s="50"/>
    </row>
    <row r="1312" spans="1:18" x14ac:dyDescent="0.25">
      <c r="A1312" s="41" t="s">
        <v>230</v>
      </c>
      <c r="B1312" s="44"/>
      <c r="C1312" s="51">
        <f t="shared" ref="C1312" si="753">SUM(C1271:C1306)</f>
        <v>251315</v>
      </c>
      <c r="D1312" s="51">
        <f t="shared" ref="D1312:F1312" si="754">SUM(D1271:D1306)</f>
        <v>308029</v>
      </c>
      <c r="E1312" s="51">
        <f t="shared" si="754"/>
        <v>284023</v>
      </c>
      <c r="F1312" s="51">
        <f t="shared" si="754"/>
        <v>304642</v>
      </c>
      <c r="G1312" s="51">
        <f t="shared" ref="G1312" si="755">SUM(G1271:G1308)</f>
        <v>236439</v>
      </c>
      <c r="H1312" s="51">
        <f t="shared" ref="H1312:R1312" si="756">SUM(H1271:H1306)</f>
        <v>220100</v>
      </c>
      <c r="I1312" s="51">
        <f t="shared" si="756"/>
        <v>225325.6</v>
      </c>
      <c r="J1312" s="51">
        <f t="shared" si="756"/>
        <v>230982.63939999999</v>
      </c>
      <c r="K1312" s="51">
        <f t="shared" si="756"/>
        <v>236927.92572059997</v>
      </c>
      <c r="L1312" s="51">
        <f t="shared" si="756"/>
        <v>242917.70139392378</v>
      </c>
      <c r="M1312" s="51">
        <f t="shared" si="756"/>
        <v>248883.04320793785</v>
      </c>
      <c r="N1312" s="51">
        <f t="shared" si="756"/>
        <v>255072.73576345085</v>
      </c>
      <c r="O1312" s="51">
        <f t="shared" si="756"/>
        <v>261895.03919611938</v>
      </c>
      <c r="P1312" s="51">
        <f t="shared" si="756"/>
        <v>268950.19303864421</v>
      </c>
      <c r="Q1312" s="51">
        <f t="shared" si="756"/>
        <v>276156.28912707273</v>
      </c>
      <c r="R1312" s="51">
        <f t="shared" si="756"/>
        <v>280076.69143111055</v>
      </c>
    </row>
    <row r="1313" spans="1:18" x14ac:dyDescent="0.25">
      <c r="C1313" s="50"/>
      <c r="D1313" s="50"/>
      <c r="E1313" s="50"/>
      <c r="F1313" s="50"/>
      <c r="G1313" s="50"/>
      <c r="H1313" s="50"/>
      <c r="I1313" s="50"/>
      <c r="J1313" s="50"/>
      <c r="K1313" s="50"/>
      <c r="L1313" s="50"/>
      <c r="M1313" s="50"/>
      <c r="N1313" s="50"/>
      <c r="O1313" s="50"/>
      <c r="P1313" s="50"/>
      <c r="Q1313" s="50"/>
      <c r="R1313" s="50"/>
    </row>
    <row r="1314" spans="1:18" x14ac:dyDescent="0.25">
      <c r="A1314" s="41" t="s">
        <v>251</v>
      </c>
      <c r="B1314" s="44"/>
      <c r="C1314" s="50"/>
      <c r="D1314" s="50"/>
      <c r="E1314" s="50"/>
      <c r="F1314" s="50"/>
      <c r="G1314" s="50"/>
      <c r="H1314" s="50"/>
      <c r="I1314" s="50"/>
      <c r="J1314" s="50"/>
      <c r="K1314" s="50"/>
      <c r="L1314" s="50"/>
      <c r="M1314" s="50"/>
      <c r="N1314" s="50"/>
      <c r="O1314" s="50"/>
      <c r="P1314" s="50"/>
      <c r="Q1314" s="50"/>
      <c r="R1314" s="50"/>
    </row>
    <row r="1315" spans="1:18" x14ac:dyDescent="0.25">
      <c r="C1315" s="50"/>
      <c r="D1315" s="50"/>
      <c r="E1315" s="50"/>
      <c r="F1315" s="50"/>
      <c r="G1315" s="50"/>
      <c r="H1315" s="50"/>
      <c r="I1315" s="50"/>
      <c r="J1315" s="50"/>
      <c r="K1315" s="50"/>
      <c r="L1315" s="50"/>
      <c r="M1315" s="50"/>
      <c r="N1315" s="50"/>
      <c r="O1315" s="50"/>
      <c r="P1315" s="50"/>
      <c r="Q1315" s="50"/>
      <c r="R1315" s="50"/>
    </row>
    <row r="1316" spans="1:18" x14ac:dyDescent="0.25">
      <c r="A1316" s="185" t="s">
        <v>831</v>
      </c>
      <c r="B1316" s="186" t="s">
        <v>832</v>
      </c>
      <c r="C1316" s="50">
        <v>0</v>
      </c>
      <c r="D1316" s="50">
        <v>0</v>
      </c>
      <c r="E1316" s="50">
        <v>0</v>
      </c>
      <c r="F1316" s="50">
        <v>0</v>
      </c>
      <c r="G1316" s="50">
        <v>0</v>
      </c>
      <c r="H1316" s="50">
        <v>0</v>
      </c>
      <c r="I1316" s="50">
        <v>0</v>
      </c>
      <c r="J1316" s="50">
        <v>0</v>
      </c>
      <c r="K1316" s="50">
        <v>0</v>
      </c>
      <c r="L1316" s="50">
        <v>0</v>
      </c>
      <c r="M1316" s="50">
        <v>0</v>
      </c>
      <c r="N1316" s="50">
        <v>0</v>
      </c>
      <c r="O1316" s="50">
        <v>0</v>
      </c>
      <c r="P1316" s="50">
        <v>0</v>
      </c>
      <c r="Q1316" s="50">
        <v>0</v>
      </c>
      <c r="R1316" s="50">
        <v>0</v>
      </c>
    </row>
    <row r="1317" spans="1:18" x14ac:dyDescent="0.25">
      <c r="C1317" s="50"/>
      <c r="D1317" s="50"/>
      <c r="E1317" s="50"/>
      <c r="F1317" s="50"/>
      <c r="G1317" s="50"/>
      <c r="H1317" s="50"/>
      <c r="I1317" s="50"/>
      <c r="J1317" s="50"/>
      <c r="K1317" s="50"/>
      <c r="L1317" s="50"/>
      <c r="M1317" s="50"/>
      <c r="N1317" s="50"/>
      <c r="O1317" s="50"/>
      <c r="P1317" s="50"/>
      <c r="Q1317" s="50"/>
      <c r="R1317" s="50"/>
    </row>
    <row r="1318" spans="1:18" x14ac:dyDescent="0.25">
      <c r="A1318" s="41" t="s">
        <v>254</v>
      </c>
      <c r="B1318" s="44"/>
      <c r="C1318" s="51">
        <f t="shared" ref="C1318:E1318" si="757">SUM(C1316:C1317)</f>
        <v>0</v>
      </c>
      <c r="D1318" s="51">
        <f t="shared" si="757"/>
        <v>0</v>
      </c>
      <c r="E1318" s="51">
        <f t="shared" si="757"/>
        <v>0</v>
      </c>
      <c r="F1318" s="51">
        <v>0</v>
      </c>
      <c r="G1318" s="51">
        <v>0</v>
      </c>
      <c r="H1318" s="51">
        <v>0</v>
      </c>
      <c r="I1318" s="51">
        <v>0</v>
      </c>
      <c r="J1318" s="51">
        <v>0</v>
      </c>
      <c r="K1318" s="51">
        <v>0</v>
      </c>
      <c r="L1318" s="51">
        <v>0</v>
      </c>
      <c r="M1318" s="51">
        <v>0</v>
      </c>
      <c r="N1318" s="51">
        <v>0</v>
      </c>
      <c r="O1318" s="51">
        <v>0</v>
      </c>
      <c r="P1318" s="51">
        <v>0</v>
      </c>
      <c r="Q1318" s="51">
        <f>SUM(Q1316:Q1317)</f>
        <v>0</v>
      </c>
      <c r="R1318" s="51">
        <f>SUM(R1316:R1317)</f>
        <v>0</v>
      </c>
    </row>
    <row r="1319" spans="1:18" x14ac:dyDescent="0.25">
      <c r="C1319" s="50"/>
      <c r="D1319" s="50"/>
      <c r="E1319" s="50"/>
      <c r="F1319" s="50"/>
      <c r="G1319" s="50"/>
      <c r="H1319" s="50"/>
      <c r="I1319" s="50"/>
      <c r="J1319" s="50"/>
      <c r="K1319" s="50"/>
      <c r="L1319" s="50"/>
      <c r="M1319" s="50"/>
      <c r="N1319" s="50"/>
      <c r="O1319" s="50"/>
      <c r="P1319" s="50"/>
      <c r="Q1319" s="50"/>
      <c r="R1319" s="50"/>
    </row>
    <row r="1320" spans="1:18" x14ac:dyDescent="0.25">
      <c r="A1320" s="41" t="s">
        <v>171</v>
      </c>
      <c r="B1320" s="44"/>
      <c r="C1320" s="50"/>
      <c r="D1320" s="50"/>
      <c r="E1320" s="50"/>
      <c r="F1320" s="50"/>
      <c r="G1320" s="50"/>
      <c r="H1320" s="50"/>
      <c r="I1320" s="50"/>
      <c r="J1320" s="50"/>
      <c r="K1320" s="50"/>
      <c r="L1320" s="50"/>
      <c r="M1320" s="50"/>
      <c r="N1320" s="50"/>
      <c r="O1320" s="50"/>
      <c r="P1320" s="50"/>
      <c r="Q1320" s="50"/>
      <c r="R1320" s="50"/>
    </row>
    <row r="1321" spans="1:18" x14ac:dyDescent="0.25">
      <c r="C1321" s="50"/>
      <c r="D1321" s="50"/>
      <c r="E1321" s="50"/>
      <c r="F1321" s="50"/>
      <c r="G1321" s="50"/>
      <c r="H1321" s="50"/>
      <c r="I1321" s="50"/>
      <c r="J1321" s="50"/>
      <c r="K1321" s="50"/>
      <c r="L1321" s="50"/>
      <c r="M1321" s="50"/>
      <c r="N1321" s="50"/>
      <c r="O1321" s="50"/>
      <c r="P1321" s="50"/>
      <c r="Q1321" s="50"/>
      <c r="R1321" s="50"/>
    </row>
    <row r="1322" spans="1:18" x14ac:dyDescent="0.25">
      <c r="A1322" s="41" t="s">
        <v>833</v>
      </c>
      <c r="B1322" s="44"/>
      <c r="C1322" s="50"/>
      <c r="D1322" s="50"/>
      <c r="E1322" s="50"/>
      <c r="F1322" s="50"/>
      <c r="G1322" s="50"/>
      <c r="H1322" s="50"/>
      <c r="I1322" s="50"/>
      <c r="J1322" s="50"/>
      <c r="K1322" s="50"/>
      <c r="L1322" s="50"/>
      <c r="M1322" s="50"/>
      <c r="N1322" s="50"/>
      <c r="O1322" s="50"/>
      <c r="P1322" s="50"/>
      <c r="Q1322" s="50"/>
      <c r="R1322" s="50"/>
    </row>
    <row r="1323" spans="1:18" x14ac:dyDescent="0.25">
      <c r="A1323" s="43" t="s">
        <v>834</v>
      </c>
      <c r="C1323" s="50"/>
      <c r="D1323" s="50"/>
      <c r="E1323" s="50"/>
      <c r="F1323" s="50"/>
      <c r="G1323" s="50"/>
      <c r="H1323" s="50"/>
      <c r="I1323" s="50"/>
      <c r="J1323" s="50"/>
      <c r="K1323" s="50"/>
      <c r="L1323" s="50"/>
      <c r="M1323" s="50"/>
      <c r="N1323" s="50"/>
      <c r="O1323" s="50"/>
      <c r="P1323" s="50"/>
      <c r="Q1323" s="50"/>
      <c r="R1323" s="50"/>
    </row>
    <row r="1324" spans="1:18" x14ac:dyDescent="0.25">
      <c r="A1324" s="185" t="s">
        <v>835</v>
      </c>
      <c r="B1324" s="186" t="s">
        <v>832</v>
      </c>
      <c r="C1324" s="50">
        <v>0</v>
      </c>
      <c r="D1324" s="50">
        <v>0</v>
      </c>
      <c r="E1324" s="50">
        <v>0</v>
      </c>
      <c r="F1324" s="50">
        <v>0</v>
      </c>
      <c r="G1324" s="50">
        <v>0</v>
      </c>
      <c r="H1324" s="50">
        <v>0</v>
      </c>
      <c r="I1324" s="50">
        <v>0</v>
      </c>
      <c r="J1324" s="50">
        <v>0</v>
      </c>
      <c r="K1324" s="50">
        <v>0</v>
      </c>
      <c r="L1324" s="50">
        <v>0</v>
      </c>
      <c r="M1324" s="50">
        <v>0</v>
      </c>
      <c r="N1324" s="50">
        <v>0</v>
      </c>
      <c r="O1324" s="50">
        <v>0</v>
      </c>
      <c r="P1324" s="50">
        <v>0</v>
      </c>
      <c r="Q1324" s="50">
        <v>0</v>
      </c>
      <c r="R1324" s="50">
        <v>0</v>
      </c>
    </row>
    <row r="1325" spans="1:18" x14ac:dyDescent="0.25">
      <c r="A1325" s="185" t="s">
        <v>836</v>
      </c>
      <c r="B1325" s="186" t="s">
        <v>832</v>
      </c>
      <c r="C1325" s="50"/>
      <c r="D1325" s="50">
        <v>0</v>
      </c>
      <c r="E1325" s="50">
        <v>0</v>
      </c>
      <c r="F1325" s="50">
        <v>0</v>
      </c>
      <c r="G1325" s="50">
        <v>0</v>
      </c>
      <c r="H1325" s="50">
        <v>0</v>
      </c>
      <c r="I1325" s="50">
        <v>0</v>
      </c>
      <c r="J1325" s="50">
        <v>0</v>
      </c>
      <c r="K1325" s="50">
        <v>0</v>
      </c>
      <c r="L1325" s="50">
        <v>0</v>
      </c>
      <c r="M1325" s="50">
        <v>0</v>
      </c>
      <c r="N1325" s="50">
        <v>0</v>
      </c>
      <c r="O1325" s="50">
        <v>0</v>
      </c>
      <c r="P1325" s="50">
        <v>0</v>
      </c>
      <c r="Q1325" s="50">
        <v>0</v>
      </c>
      <c r="R1325" s="50">
        <v>0</v>
      </c>
    </row>
    <row r="1326" spans="1:18" x14ac:dyDescent="0.25">
      <c r="A1326" s="185" t="s">
        <v>837</v>
      </c>
      <c r="B1326" s="186" t="s">
        <v>832</v>
      </c>
      <c r="C1326" s="43">
        <v>0</v>
      </c>
      <c r="D1326" s="43">
        <v>0</v>
      </c>
      <c r="E1326" s="43">
        <v>0</v>
      </c>
      <c r="F1326" s="43">
        <v>0</v>
      </c>
      <c r="G1326" s="43">
        <v>0</v>
      </c>
      <c r="H1326" s="43">
        <v>0</v>
      </c>
      <c r="I1326" s="43">
        <v>0</v>
      </c>
      <c r="J1326" s="43">
        <v>0</v>
      </c>
      <c r="K1326" s="43">
        <v>0</v>
      </c>
      <c r="L1326" s="43">
        <v>0</v>
      </c>
      <c r="M1326" s="43">
        <v>0</v>
      </c>
      <c r="N1326" s="43">
        <v>0</v>
      </c>
      <c r="O1326" s="43">
        <v>0</v>
      </c>
      <c r="P1326" s="43">
        <v>0</v>
      </c>
      <c r="Q1326" s="43">
        <v>0</v>
      </c>
      <c r="R1326" s="43">
        <v>0</v>
      </c>
    </row>
    <row r="1327" spans="1:18" x14ac:dyDescent="0.25">
      <c r="A1327" s="187" t="s">
        <v>838</v>
      </c>
      <c r="B1327" s="188" t="s">
        <v>839</v>
      </c>
      <c r="D1327" s="50"/>
      <c r="E1327" s="189">
        <v>0</v>
      </c>
      <c r="F1327" s="50"/>
      <c r="G1327" s="189">
        <v>0</v>
      </c>
      <c r="H1327" s="50"/>
      <c r="I1327" s="189">
        <v>11563</v>
      </c>
      <c r="J1327" s="50"/>
      <c r="K1327" s="189">
        <v>12160</v>
      </c>
      <c r="L1327" s="50"/>
      <c r="M1327" s="190">
        <v>12763</v>
      </c>
    </row>
    <row r="1328" spans="1:18" x14ac:dyDescent="0.25">
      <c r="A1328" s="187" t="s">
        <v>840</v>
      </c>
      <c r="B1328" s="188" t="s">
        <v>839</v>
      </c>
      <c r="D1328" s="187">
        <v>0</v>
      </c>
      <c r="E1328" s="50"/>
      <c r="F1328" s="50"/>
      <c r="G1328" s="50"/>
      <c r="H1328" s="189">
        <v>11314</v>
      </c>
      <c r="I1328" s="50"/>
      <c r="J1328" s="50"/>
      <c r="K1328" s="50"/>
      <c r="L1328" s="189">
        <v>12537</v>
      </c>
      <c r="M1328" s="50"/>
    </row>
    <row r="1329" spans="1:18" x14ac:dyDescent="0.25">
      <c r="A1329" s="187" t="s">
        <v>841</v>
      </c>
      <c r="B1329" s="188" t="s">
        <v>839</v>
      </c>
      <c r="D1329" s="50">
        <v>0</v>
      </c>
      <c r="E1329" s="50"/>
      <c r="F1329" s="50"/>
      <c r="G1329" s="50"/>
      <c r="H1329" s="50"/>
      <c r="I1329" s="50"/>
      <c r="J1329" s="189">
        <v>35730</v>
      </c>
      <c r="K1329" s="50"/>
      <c r="L1329" s="50"/>
      <c r="M1329" s="50"/>
    </row>
    <row r="1330" spans="1:18" x14ac:dyDescent="0.25">
      <c r="A1330" s="187" t="s">
        <v>842</v>
      </c>
      <c r="B1330" s="188" t="s">
        <v>839</v>
      </c>
      <c r="D1330" s="187">
        <v>2823</v>
      </c>
      <c r="E1330" s="50"/>
      <c r="F1330" s="50"/>
      <c r="G1330" s="189">
        <v>0</v>
      </c>
      <c r="H1330" s="50"/>
      <c r="I1330" s="50"/>
      <c r="J1330" s="189">
        <v>11190</v>
      </c>
      <c r="K1330" s="50"/>
      <c r="L1330" s="50"/>
      <c r="M1330" s="190">
        <v>12813</v>
      </c>
    </row>
    <row r="1331" spans="1:18" x14ac:dyDescent="0.25">
      <c r="A1331" s="187" t="s">
        <v>843</v>
      </c>
      <c r="B1331" s="188" t="s">
        <v>839</v>
      </c>
      <c r="D1331" s="50"/>
      <c r="E1331" s="189">
        <v>10800</v>
      </c>
      <c r="F1331" s="50"/>
      <c r="G1331" s="50"/>
      <c r="H1331" s="189">
        <v>11314</v>
      </c>
      <c r="I1331" s="50"/>
      <c r="J1331" s="50"/>
      <c r="K1331" s="189">
        <v>12220</v>
      </c>
      <c r="L1331" s="50"/>
      <c r="M1331" s="50"/>
      <c r="N1331" s="191">
        <v>13134</v>
      </c>
      <c r="O1331" s="191">
        <v>13134</v>
      </c>
      <c r="P1331" s="191">
        <v>13134</v>
      </c>
      <c r="Q1331" s="191">
        <v>13134</v>
      </c>
      <c r="R1331" s="191">
        <v>13134</v>
      </c>
    </row>
    <row r="1332" spans="1:18" x14ac:dyDescent="0.25">
      <c r="A1332" s="187" t="s">
        <v>844</v>
      </c>
      <c r="B1332" s="188" t="s">
        <v>839</v>
      </c>
      <c r="D1332" s="50"/>
      <c r="E1332" s="50"/>
      <c r="F1332" s="192">
        <v>0</v>
      </c>
      <c r="G1332" s="50"/>
      <c r="H1332" s="50"/>
      <c r="I1332" s="189">
        <v>11586</v>
      </c>
      <c r="J1332" s="50"/>
      <c r="K1332" s="50"/>
      <c r="L1332" s="189">
        <v>12537</v>
      </c>
      <c r="M1332" s="50"/>
    </row>
    <row r="1333" spans="1:18" x14ac:dyDescent="0.25">
      <c r="A1333" s="187" t="s">
        <v>845</v>
      </c>
      <c r="B1333" s="188" t="s">
        <v>839</v>
      </c>
      <c r="D1333" s="50">
        <v>30000</v>
      </c>
      <c r="E1333" s="189">
        <v>0</v>
      </c>
      <c r="F1333" s="50">
        <v>11704</v>
      </c>
      <c r="G1333" s="189">
        <v>1582</v>
      </c>
      <c r="H1333" s="50"/>
      <c r="I1333" s="189">
        <v>34757</v>
      </c>
      <c r="J1333" s="50"/>
      <c r="K1333" s="189">
        <v>36659</v>
      </c>
      <c r="L1333" s="50"/>
      <c r="M1333" s="191">
        <v>38477</v>
      </c>
    </row>
    <row r="1334" spans="1:18" x14ac:dyDescent="0.25">
      <c r="A1334" s="187" t="s">
        <v>846</v>
      </c>
      <c r="B1334" s="188" t="s">
        <v>839</v>
      </c>
      <c r="C1334" s="43">
        <v>48770</v>
      </c>
      <c r="D1334" s="189">
        <v>30400</v>
      </c>
      <c r="E1334" s="189">
        <v>6841</v>
      </c>
      <c r="F1334" s="192">
        <v>17851</v>
      </c>
      <c r="G1334" s="189">
        <v>18987</v>
      </c>
      <c r="H1334" s="189">
        <v>23759</v>
      </c>
      <c r="I1334" s="189">
        <v>24330</v>
      </c>
      <c r="J1334" s="189">
        <v>28584</v>
      </c>
      <c r="K1334" s="189">
        <v>29327</v>
      </c>
      <c r="L1334" s="189">
        <v>33851</v>
      </c>
      <c r="M1334" s="191">
        <v>34662</v>
      </c>
      <c r="N1334" s="191">
        <v>35494</v>
      </c>
      <c r="O1334" s="191">
        <v>35494</v>
      </c>
      <c r="P1334" s="191">
        <v>35494</v>
      </c>
      <c r="Q1334" s="191">
        <v>35494</v>
      </c>
      <c r="R1334" s="191">
        <v>35494</v>
      </c>
    </row>
    <row r="1335" spans="1:18" x14ac:dyDescent="0.25">
      <c r="A1335" s="187" t="s">
        <v>846</v>
      </c>
      <c r="B1335" s="188"/>
      <c r="D1335" s="189">
        <v>12622</v>
      </c>
      <c r="E1335" s="189"/>
      <c r="F1335" s="192"/>
      <c r="G1335" s="189"/>
      <c r="H1335" s="189"/>
      <c r="I1335" s="189"/>
      <c r="J1335" s="189"/>
      <c r="K1335" s="189"/>
      <c r="L1335" s="189"/>
      <c r="M1335" s="191"/>
      <c r="N1335" s="191"/>
      <c r="O1335" s="191"/>
      <c r="P1335" s="191"/>
      <c r="Q1335" s="191"/>
      <c r="R1335" s="191"/>
    </row>
    <row r="1336" spans="1:18" x14ac:dyDescent="0.25">
      <c r="A1336" s="187" t="s">
        <v>847</v>
      </c>
      <c r="B1336" s="188" t="s">
        <v>839</v>
      </c>
      <c r="D1336" s="50">
        <v>31989</v>
      </c>
      <c r="E1336" s="189">
        <v>15899</v>
      </c>
      <c r="F1336" s="50"/>
      <c r="G1336" s="189">
        <v>21047</v>
      </c>
      <c r="H1336" s="50"/>
      <c r="I1336" s="189">
        <v>20854</v>
      </c>
      <c r="J1336" s="50"/>
      <c r="K1336" s="189">
        <v>21995</v>
      </c>
      <c r="L1336" s="50"/>
      <c r="M1336" s="191">
        <v>23085</v>
      </c>
    </row>
    <row r="1337" spans="1:18" x14ac:dyDescent="0.25">
      <c r="A1337" s="187" t="s">
        <v>848</v>
      </c>
      <c r="B1337" s="188" t="s">
        <v>839</v>
      </c>
      <c r="D1337" s="189"/>
      <c r="E1337" s="192">
        <v>79243</v>
      </c>
      <c r="F1337" s="192">
        <v>0</v>
      </c>
      <c r="G1337" s="50"/>
      <c r="H1337" s="50"/>
      <c r="I1337" s="50"/>
      <c r="J1337" s="50"/>
      <c r="K1337" s="50"/>
      <c r="L1337" s="50"/>
      <c r="M1337" s="50"/>
      <c r="N1337" s="50"/>
      <c r="O1337" s="50"/>
    </row>
    <row r="1338" spans="1:18" s="43" customFormat="1" x14ac:dyDescent="0.25">
      <c r="A1338" s="193" t="s">
        <v>849</v>
      </c>
      <c r="B1338" s="53"/>
      <c r="D1338" s="50"/>
      <c r="E1338" s="50"/>
      <c r="F1338" s="50"/>
      <c r="G1338" s="50"/>
      <c r="H1338" s="50"/>
      <c r="I1338" s="50"/>
      <c r="J1338" s="50"/>
      <c r="K1338" s="50"/>
      <c r="L1338" s="50"/>
      <c r="M1338" s="50"/>
      <c r="N1338" s="50"/>
      <c r="O1338" s="50"/>
      <c r="P1338" s="50"/>
      <c r="Q1338" s="50"/>
      <c r="R1338" s="50"/>
    </row>
    <row r="1339" spans="1:18" s="43" customFormat="1" x14ac:dyDescent="0.25">
      <c r="A1339" s="43" t="s">
        <v>850</v>
      </c>
      <c r="B1339" s="53"/>
      <c r="D1339" s="50">
        <v>2088</v>
      </c>
      <c r="E1339" s="50"/>
      <c r="F1339" s="50"/>
      <c r="G1339" s="50"/>
      <c r="H1339" s="50"/>
      <c r="I1339" s="50"/>
      <c r="J1339" s="50"/>
      <c r="K1339" s="50"/>
      <c r="L1339" s="50"/>
      <c r="M1339" s="50"/>
      <c r="N1339" s="50"/>
      <c r="O1339" s="50"/>
      <c r="P1339" s="50"/>
      <c r="Q1339" s="50"/>
      <c r="R1339" s="50"/>
    </row>
    <row r="1340" spans="1:18" s="43" customFormat="1" x14ac:dyDescent="0.25">
      <c r="B1340" s="53"/>
      <c r="D1340" s="50"/>
      <c r="E1340" s="50"/>
      <c r="F1340" s="50"/>
      <c r="G1340" s="50"/>
      <c r="H1340" s="50"/>
      <c r="I1340" s="50"/>
      <c r="J1340" s="50"/>
      <c r="K1340" s="50"/>
      <c r="L1340" s="50"/>
      <c r="M1340" s="50"/>
      <c r="N1340" s="50"/>
      <c r="O1340" s="50"/>
      <c r="P1340" s="50"/>
      <c r="Q1340" s="50"/>
      <c r="R1340" s="50"/>
    </row>
    <row r="1341" spans="1:18" x14ac:dyDescent="0.25">
      <c r="C1341" s="50"/>
      <c r="D1341" s="50"/>
      <c r="E1341" s="50"/>
      <c r="F1341" s="50"/>
      <c r="G1341" s="50"/>
      <c r="H1341" s="50"/>
      <c r="I1341" s="50"/>
      <c r="J1341" s="50"/>
      <c r="K1341" s="50"/>
      <c r="L1341" s="50"/>
      <c r="M1341" s="50"/>
      <c r="N1341" s="50"/>
      <c r="O1341" s="50"/>
      <c r="P1341" s="50"/>
      <c r="Q1341" s="50"/>
      <c r="R1341" s="50"/>
    </row>
    <row r="1342" spans="1:18" x14ac:dyDescent="0.25">
      <c r="A1342" s="41" t="s">
        <v>107</v>
      </c>
      <c r="B1342" s="44"/>
      <c r="C1342" s="51">
        <f t="shared" ref="C1342" si="758">SUM(C1322:C1341)</f>
        <v>48770</v>
      </c>
      <c r="D1342" s="51">
        <f>SUM(D1322:D1341)</f>
        <v>109922</v>
      </c>
      <c r="E1342" s="51">
        <f>SUM(E1322:E1341)</f>
        <v>112783</v>
      </c>
      <c r="F1342" s="51">
        <f t="shared" ref="F1342:R1342" si="759">SUM(F1322:F1341)</f>
        <v>29555</v>
      </c>
      <c r="G1342" s="51">
        <f t="shared" si="759"/>
        <v>41616</v>
      </c>
      <c r="H1342" s="51">
        <f t="shared" si="759"/>
        <v>46387</v>
      </c>
      <c r="I1342" s="51">
        <f t="shared" si="759"/>
        <v>103090</v>
      </c>
      <c r="J1342" s="51">
        <f t="shared" si="759"/>
        <v>75504</v>
      </c>
      <c r="K1342" s="51">
        <f t="shared" si="759"/>
        <v>112361</v>
      </c>
      <c r="L1342" s="51">
        <f t="shared" si="759"/>
        <v>58925</v>
      </c>
      <c r="M1342" s="51">
        <f t="shared" si="759"/>
        <v>121800</v>
      </c>
      <c r="N1342" s="51">
        <f t="shared" si="759"/>
        <v>48628</v>
      </c>
      <c r="O1342" s="51">
        <f t="shared" si="759"/>
        <v>48628</v>
      </c>
      <c r="P1342" s="51">
        <f t="shared" si="759"/>
        <v>48628</v>
      </c>
      <c r="Q1342" s="51">
        <f t="shared" si="759"/>
        <v>48628</v>
      </c>
      <c r="R1342" s="51">
        <f t="shared" si="759"/>
        <v>48628</v>
      </c>
    </row>
    <row r="1343" spans="1:18" x14ac:dyDescent="0.25">
      <c r="C1343" s="50"/>
      <c r="D1343" s="50"/>
      <c r="E1343" s="50"/>
      <c r="F1343" s="50"/>
      <c r="G1343" s="50"/>
      <c r="H1343" s="50"/>
      <c r="I1343" s="50"/>
      <c r="J1343" s="50"/>
      <c r="K1343" s="50"/>
      <c r="L1343" s="50"/>
      <c r="M1343" s="50"/>
      <c r="N1343" s="50"/>
      <c r="O1343" s="50"/>
      <c r="P1343" s="50"/>
      <c r="Q1343" s="50"/>
      <c r="R1343" s="50"/>
    </row>
    <row r="1344" spans="1:18" x14ac:dyDescent="0.25">
      <c r="A1344" s="41" t="s">
        <v>851</v>
      </c>
      <c r="B1344" s="44"/>
      <c r="C1344" s="51">
        <f t="shared" ref="C1344:R1344" si="760">C1342+C1312-C1267-C1318</f>
        <v>185917</v>
      </c>
      <c r="D1344" s="51">
        <f t="shared" si="760"/>
        <v>245873</v>
      </c>
      <c r="E1344" s="51">
        <f t="shared" si="760"/>
        <v>308044</v>
      </c>
      <c r="F1344" s="51">
        <f t="shared" si="760"/>
        <v>301609</v>
      </c>
      <c r="G1344" s="51">
        <f t="shared" si="760"/>
        <v>181947</v>
      </c>
      <c r="H1344" s="51">
        <f t="shared" si="760"/>
        <v>266487</v>
      </c>
      <c r="I1344" s="51">
        <f t="shared" si="760"/>
        <v>328415.59999999998</v>
      </c>
      <c r="J1344" s="51">
        <f t="shared" si="760"/>
        <v>306486.63939999999</v>
      </c>
      <c r="K1344" s="51">
        <f t="shared" si="760"/>
        <v>349288.92572059995</v>
      </c>
      <c r="L1344" s="51">
        <f t="shared" si="760"/>
        <v>301842.70139392378</v>
      </c>
      <c r="M1344" s="51">
        <f t="shared" si="760"/>
        <v>370683.04320793785</v>
      </c>
      <c r="N1344" s="51">
        <f t="shared" si="760"/>
        <v>303700.73576345085</v>
      </c>
      <c r="O1344" s="51">
        <f t="shared" si="760"/>
        <v>310523.03919611941</v>
      </c>
      <c r="P1344" s="51">
        <f t="shared" si="760"/>
        <v>317578.19303864421</v>
      </c>
      <c r="Q1344" s="51">
        <f t="shared" si="760"/>
        <v>324784.28912707273</v>
      </c>
      <c r="R1344" s="51">
        <f t="shared" si="760"/>
        <v>328704.69143111055</v>
      </c>
    </row>
    <row r="1345" spans="1:18" x14ac:dyDescent="0.25">
      <c r="C1345" s="50"/>
      <c r="D1345" s="50"/>
      <c r="E1345" s="50"/>
      <c r="F1345" s="50"/>
      <c r="G1345" s="50"/>
      <c r="H1345" s="50"/>
      <c r="I1345" s="50"/>
      <c r="J1345" s="50"/>
      <c r="K1345" s="50"/>
      <c r="L1345" s="50"/>
      <c r="M1345" s="50"/>
      <c r="N1345" s="50"/>
      <c r="O1345" s="50"/>
      <c r="P1345" s="50"/>
      <c r="Q1345" s="50"/>
      <c r="R1345" s="50"/>
    </row>
    <row r="1346" spans="1:18" x14ac:dyDescent="0.25">
      <c r="A1346" s="41" t="s">
        <v>416</v>
      </c>
      <c r="B1346" s="44"/>
      <c r="C1346" s="50"/>
      <c r="D1346" s="50"/>
      <c r="E1346" s="50"/>
      <c r="F1346" s="50"/>
      <c r="G1346" s="50"/>
      <c r="H1346" s="50"/>
      <c r="I1346" s="50"/>
      <c r="J1346" s="50"/>
      <c r="K1346" s="50"/>
      <c r="L1346" s="50"/>
      <c r="M1346" s="50"/>
      <c r="N1346" s="50"/>
      <c r="O1346" s="50"/>
      <c r="P1346" s="50"/>
      <c r="Q1346" s="50"/>
      <c r="R1346" s="50"/>
    </row>
    <row r="1347" spans="1:18" x14ac:dyDescent="0.25">
      <c r="A1347" s="41"/>
      <c r="B1347" s="44"/>
      <c r="C1347" s="50"/>
      <c r="D1347" s="50"/>
      <c r="E1347" s="50"/>
      <c r="F1347" s="50"/>
      <c r="G1347" s="50"/>
      <c r="H1347" s="50"/>
      <c r="I1347" s="50"/>
      <c r="J1347" s="50"/>
      <c r="K1347" s="50"/>
      <c r="L1347" s="50"/>
      <c r="M1347" s="50"/>
      <c r="N1347" s="50"/>
      <c r="O1347" s="50"/>
      <c r="P1347" s="50"/>
      <c r="Q1347" s="50"/>
      <c r="R1347" s="50"/>
    </row>
    <row r="1348" spans="1:18" x14ac:dyDescent="0.25">
      <c r="A1348" s="41" t="s">
        <v>202</v>
      </c>
      <c r="B1348" s="44"/>
      <c r="C1348" s="50"/>
      <c r="D1348" s="50"/>
      <c r="E1348" s="50"/>
      <c r="F1348" s="50"/>
      <c r="G1348" s="50"/>
      <c r="H1348" s="50"/>
      <c r="I1348" s="50"/>
      <c r="J1348" s="50"/>
      <c r="K1348" s="50"/>
      <c r="L1348" s="50"/>
      <c r="M1348" s="50"/>
      <c r="N1348" s="50"/>
      <c r="O1348" s="50"/>
      <c r="P1348" s="50"/>
      <c r="Q1348" s="50"/>
      <c r="R1348" s="50"/>
    </row>
    <row r="1349" spans="1:18" x14ac:dyDescent="0.25">
      <c r="C1349" s="50"/>
      <c r="D1349" s="50"/>
      <c r="E1349" s="50"/>
      <c r="F1349" s="50"/>
      <c r="G1349" s="50"/>
      <c r="H1349" s="50"/>
      <c r="I1349" s="50"/>
      <c r="J1349" s="50"/>
      <c r="K1349" s="50"/>
      <c r="L1349" s="50"/>
      <c r="M1349" s="50"/>
      <c r="N1349" s="50"/>
      <c r="O1349" s="50"/>
      <c r="P1349" s="50"/>
      <c r="Q1349" s="50"/>
      <c r="R1349" s="50"/>
    </row>
    <row r="1350" spans="1:18" x14ac:dyDescent="0.25">
      <c r="A1350" s="52" t="s">
        <v>422</v>
      </c>
      <c r="B1350" s="53"/>
      <c r="C1350" s="50"/>
      <c r="D1350" s="50"/>
      <c r="E1350" s="50"/>
      <c r="F1350" s="50"/>
      <c r="G1350" s="50"/>
      <c r="H1350" s="50"/>
      <c r="I1350" s="50"/>
      <c r="J1350" s="50"/>
      <c r="K1350" s="50"/>
      <c r="L1350" s="50"/>
      <c r="M1350" s="50"/>
      <c r="N1350" s="50"/>
      <c r="O1350" s="50"/>
      <c r="P1350" s="50"/>
      <c r="Q1350" s="50"/>
      <c r="R1350" s="50"/>
    </row>
    <row r="1351" spans="1:18" s="43" customFormat="1" x14ac:dyDescent="0.25">
      <c r="A1351" s="43" t="s">
        <v>852</v>
      </c>
      <c r="B1351" s="42"/>
      <c r="C1351" s="50">
        <v>0</v>
      </c>
      <c r="D1351" s="54"/>
      <c r="E1351" s="54"/>
      <c r="F1351" s="54"/>
      <c r="G1351" s="54"/>
      <c r="H1351" s="54">
        <v>22500</v>
      </c>
      <c r="I1351" s="54">
        <f>H1351*1.023</f>
        <v>23017.499999999996</v>
      </c>
      <c r="J1351" s="54">
        <f>I1351*1.024</f>
        <v>23569.919999999998</v>
      </c>
      <c r="K1351" s="54">
        <f>J1351*1.024</f>
        <v>24135.59808</v>
      </c>
      <c r="L1351" s="54">
        <f>K1351*1.023</f>
        <v>24690.716835839998</v>
      </c>
      <c r="M1351" s="54">
        <f>L1351*1.022</f>
        <v>25233.912606228478</v>
      </c>
      <c r="N1351" s="54">
        <f>M1351*1.023</f>
        <v>25814.29259617173</v>
      </c>
      <c r="O1351" s="54">
        <f>N1351*1.025</f>
        <v>26459.64991107602</v>
      </c>
      <c r="P1351" s="54">
        <f>O1351*1.025</f>
        <v>27121.141158852919</v>
      </c>
      <c r="Q1351" s="54">
        <f>P1351*1.024</f>
        <v>27772.048546665388</v>
      </c>
      <c r="R1351" s="54">
        <f>Q1351*1.024</f>
        <v>28438.577711785358</v>
      </c>
    </row>
    <row r="1352" spans="1:18" x14ac:dyDescent="0.25">
      <c r="A1352" s="41"/>
      <c r="B1352" s="44"/>
      <c r="C1352" s="50"/>
      <c r="D1352" s="50"/>
      <c r="E1352" s="50"/>
      <c r="F1352" s="50"/>
      <c r="G1352" s="50"/>
      <c r="H1352" s="50"/>
      <c r="I1352" s="50"/>
      <c r="J1352" s="50"/>
      <c r="K1352" s="50"/>
      <c r="L1352" s="50"/>
      <c r="M1352" s="50"/>
      <c r="N1352" s="50"/>
      <c r="O1352" s="50"/>
      <c r="P1352" s="50"/>
      <c r="Q1352" s="50"/>
      <c r="R1352" s="50"/>
    </row>
    <row r="1353" spans="1:18" x14ac:dyDescent="0.25">
      <c r="A1353" s="41" t="s">
        <v>216</v>
      </c>
      <c r="B1353" s="44"/>
      <c r="C1353" s="51">
        <f t="shared" ref="C1353" si="761">SUM(C1350:C1352)</f>
        <v>0</v>
      </c>
      <c r="D1353" s="51">
        <f t="shared" ref="D1353:E1353" si="762">SUM(D1350:D1352)</f>
        <v>0</v>
      </c>
      <c r="E1353" s="51">
        <f t="shared" si="762"/>
        <v>0</v>
      </c>
      <c r="F1353" s="51">
        <v>0</v>
      </c>
      <c r="G1353" s="51">
        <v>0</v>
      </c>
      <c r="H1353" s="51">
        <f t="shared" ref="H1353:P1353" si="763">SUM(H1350:H1352)</f>
        <v>22500</v>
      </c>
      <c r="I1353" s="51">
        <f t="shared" si="763"/>
        <v>23017.499999999996</v>
      </c>
      <c r="J1353" s="51">
        <f t="shared" si="763"/>
        <v>23569.919999999998</v>
      </c>
      <c r="K1353" s="51">
        <f t="shared" si="763"/>
        <v>24135.59808</v>
      </c>
      <c r="L1353" s="51">
        <f t="shared" si="763"/>
        <v>24690.716835839998</v>
      </c>
      <c r="M1353" s="51">
        <f t="shared" si="763"/>
        <v>25233.912606228478</v>
      </c>
      <c r="N1353" s="51">
        <f t="shared" si="763"/>
        <v>25814.29259617173</v>
      </c>
      <c r="O1353" s="51">
        <f t="shared" si="763"/>
        <v>26459.64991107602</v>
      </c>
      <c r="P1353" s="51">
        <f t="shared" si="763"/>
        <v>27121.141158852919</v>
      </c>
      <c r="Q1353" s="51">
        <f>SUM(Q1350:Q1352)</f>
        <v>27772.048546665388</v>
      </c>
      <c r="R1353" s="51">
        <f>SUM(R1350:R1352)</f>
        <v>28438.577711785358</v>
      </c>
    </row>
    <row r="1354" spans="1:18" x14ac:dyDescent="0.25">
      <c r="C1354" s="50"/>
      <c r="D1354" s="50"/>
      <c r="E1354" s="50"/>
      <c r="F1354" s="50"/>
      <c r="G1354" s="50"/>
      <c r="H1354" s="50"/>
      <c r="I1354" s="50"/>
      <c r="J1354" s="50"/>
      <c r="K1354" s="50"/>
      <c r="L1354" s="50"/>
      <c r="M1354" s="50"/>
      <c r="N1354" s="50"/>
      <c r="O1354" s="50"/>
      <c r="P1354" s="50"/>
      <c r="Q1354" s="50"/>
      <c r="R1354" s="50"/>
    </row>
    <row r="1355" spans="1:18" x14ac:dyDescent="0.25">
      <c r="A1355" s="41" t="s">
        <v>165</v>
      </c>
      <c r="B1355" s="44"/>
      <c r="C1355" s="50"/>
      <c r="D1355" s="50"/>
      <c r="E1355" s="50"/>
      <c r="F1355" s="50"/>
      <c r="G1355" s="50"/>
      <c r="H1355" s="50"/>
      <c r="I1355" s="50"/>
      <c r="J1355" s="50"/>
      <c r="K1355" s="50"/>
      <c r="L1355" s="50"/>
      <c r="M1355" s="50"/>
      <c r="N1355" s="50"/>
      <c r="O1355" s="50"/>
      <c r="P1355" s="50"/>
      <c r="Q1355" s="50"/>
      <c r="R1355" s="50"/>
    </row>
    <row r="1356" spans="1:18" x14ac:dyDescent="0.25">
      <c r="C1356" s="50"/>
      <c r="D1356" s="50"/>
      <c r="E1356" s="50"/>
      <c r="F1356" s="50"/>
      <c r="G1356" s="50"/>
      <c r="H1356" s="50"/>
      <c r="I1356" s="50"/>
      <c r="J1356" s="50"/>
      <c r="K1356" s="50"/>
      <c r="L1356" s="50"/>
      <c r="M1356" s="50"/>
      <c r="N1356" s="50"/>
      <c r="O1356" s="50"/>
      <c r="P1356" s="50"/>
      <c r="Q1356" s="50"/>
      <c r="R1356" s="50"/>
    </row>
    <row r="1357" spans="1:18" x14ac:dyDescent="0.25">
      <c r="A1357" s="52" t="s">
        <v>451</v>
      </c>
      <c r="B1357" s="53"/>
      <c r="C1357" s="50"/>
      <c r="D1357" s="50"/>
      <c r="E1357" s="50"/>
      <c r="F1357" s="50"/>
      <c r="G1357" s="50"/>
      <c r="H1357" s="50"/>
      <c r="I1357" s="50"/>
      <c r="J1357" s="50"/>
      <c r="K1357" s="50"/>
      <c r="L1357" s="50"/>
      <c r="M1357" s="50"/>
      <c r="N1357" s="50"/>
      <c r="O1357" s="50"/>
      <c r="P1357" s="50"/>
      <c r="Q1357" s="50"/>
      <c r="R1357" s="50"/>
    </row>
    <row r="1358" spans="1:18" x14ac:dyDescent="0.25">
      <c r="A1358" s="43" t="s">
        <v>853</v>
      </c>
      <c r="B1358" s="53"/>
      <c r="C1358" s="50"/>
      <c r="D1358" s="50"/>
      <c r="E1358" s="50"/>
      <c r="F1358" s="50"/>
      <c r="G1358" s="50"/>
      <c r="H1358" s="50"/>
      <c r="I1358" s="50"/>
      <c r="J1358" s="50"/>
      <c r="K1358" s="50"/>
      <c r="L1358" s="50"/>
      <c r="M1358" s="50"/>
      <c r="N1358" s="50"/>
      <c r="O1358" s="50"/>
      <c r="P1358" s="50"/>
      <c r="Q1358" s="50"/>
      <c r="R1358" s="50"/>
    </row>
    <row r="1359" spans="1:18" x14ac:dyDescent="0.25">
      <c r="A1359" s="52" t="s">
        <v>854</v>
      </c>
      <c r="B1359" s="53"/>
      <c r="C1359" s="54">
        <v>95093</v>
      </c>
      <c r="D1359" s="43">
        <v>92106</v>
      </c>
      <c r="E1359" s="43">
        <v>89696</v>
      </c>
      <c r="F1359" s="43">
        <v>91485</v>
      </c>
      <c r="G1359" s="43">
        <v>93961</v>
      </c>
      <c r="H1359" s="43">
        <v>96900</v>
      </c>
      <c r="I1359" s="50">
        <f>H1359*1.025</f>
        <v>99322.499999999985</v>
      </c>
      <c r="J1359" s="50">
        <f>I1359*1.029</f>
        <v>102202.85249999998</v>
      </c>
      <c r="K1359" s="54">
        <f>J1359*1.031</f>
        <v>105371.14092749998</v>
      </c>
      <c r="L1359" s="54">
        <f>K1359*1.033</f>
        <v>108848.38857810746</v>
      </c>
      <c r="M1359" s="54">
        <f>L1359*1.032</f>
        <v>112331.5370126069</v>
      </c>
      <c r="N1359" s="54">
        <f>M1359*1.03</f>
        <v>115701.48312298511</v>
      </c>
      <c r="O1359" s="54">
        <f>N1359*1.032</f>
        <v>119403.93058292064</v>
      </c>
      <c r="P1359" s="54">
        <f t="shared" ref="P1359:R1360" si="764">O1359*1.034</f>
        <v>123463.66422273994</v>
      </c>
      <c r="Q1359" s="54">
        <f t="shared" si="764"/>
        <v>127661.42880631311</v>
      </c>
      <c r="R1359" s="54">
        <f t="shared" si="764"/>
        <v>132001.91738572775</v>
      </c>
    </row>
    <row r="1360" spans="1:18" x14ac:dyDescent="0.25">
      <c r="A1360" s="43" t="s">
        <v>220</v>
      </c>
      <c r="C1360" s="50">
        <v>5723</v>
      </c>
      <c r="D1360" s="54">
        <v>12699</v>
      </c>
      <c r="E1360" s="43">
        <v>7684</v>
      </c>
      <c r="F1360" s="54">
        <v>8111</v>
      </c>
      <c r="G1360" s="54">
        <v>8983</v>
      </c>
      <c r="H1360" s="54">
        <v>9200</v>
      </c>
      <c r="I1360" s="50">
        <f>H1360*1.025</f>
        <v>9430</v>
      </c>
      <c r="J1360" s="50">
        <f>I1360*1.029</f>
        <v>9703.4699999999993</v>
      </c>
      <c r="K1360" s="54">
        <f>J1360*1.031</f>
        <v>10004.277569999998</v>
      </c>
      <c r="L1360" s="54">
        <f>K1360*1.033</f>
        <v>10334.418729809997</v>
      </c>
      <c r="M1360" s="54">
        <f>L1360*1.032</f>
        <v>10665.120129163917</v>
      </c>
      <c r="N1360" s="54">
        <f>M1360*1.03</f>
        <v>10985.073733038835</v>
      </c>
      <c r="O1360" s="54">
        <f>N1360*1.032</f>
        <v>11336.596092496078</v>
      </c>
      <c r="P1360" s="54">
        <f t="shared" si="764"/>
        <v>11722.040359640945</v>
      </c>
      <c r="Q1360" s="54">
        <f t="shared" si="764"/>
        <v>12120.589731868738</v>
      </c>
      <c r="R1360" s="54">
        <f t="shared" si="764"/>
        <v>12532.689782752275</v>
      </c>
    </row>
    <row r="1361" spans="1:18" x14ac:dyDescent="0.25">
      <c r="A1361" s="52" t="s">
        <v>855</v>
      </c>
      <c r="B1361" s="53"/>
      <c r="C1361" s="59"/>
      <c r="D1361" s="50">
        <v>34030</v>
      </c>
      <c r="E1361" s="64">
        <v>34802</v>
      </c>
      <c r="F1361" s="50"/>
      <c r="G1361" s="50"/>
      <c r="H1361" s="50"/>
      <c r="I1361" s="50"/>
      <c r="J1361" s="50"/>
      <c r="K1361" s="50"/>
      <c r="L1361" s="50"/>
      <c r="M1361" s="50"/>
      <c r="N1361" s="50"/>
      <c r="O1361" s="50"/>
      <c r="P1361" s="50"/>
      <c r="Q1361" s="50"/>
      <c r="R1361" s="50"/>
    </row>
    <row r="1362" spans="1:18" x14ac:dyDescent="0.25">
      <c r="A1362" s="150" t="s">
        <v>856</v>
      </c>
      <c r="B1362" s="127" t="s">
        <v>468</v>
      </c>
      <c r="C1362" s="194">
        <v>46045</v>
      </c>
      <c r="D1362" s="133">
        <v>46794</v>
      </c>
      <c r="E1362" s="133">
        <v>47968</v>
      </c>
      <c r="F1362" s="133">
        <v>48279</v>
      </c>
      <c r="G1362" s="133">
        <v>50641</v>
      </c>
      <c r="H1362" s="133">
        <v>52045</v>
      </c>
      <c r="I1362" s="133">
        <v>53294</v>
      </c>
      <c r="J1362" s="133">
        <v>54786</v>
      </c>
      <c r="K1362" s="133">
        <v>56210</v>
      </c>
      <c r="L1362" s="133">
        <v>57672</v>
      </c>
      <c r="M1362" s="195">
        <v>58653</v>
      </c>
      <c r="N1362" s="195">
        <v>60061</v>
      </c>
      <c r="O1362" s="195">
        <v>61562.524999999994</v>
      </c>
      <c r="P1362" s="195">
        <v>63101.588124999987</v>
      </c>
      <c r="Q1362" s="195">
        <v>63101.588124999987</v>
      </c>
      <c r="R1362" s="195">
        <v>63101.588124999987</v>
      </c>
    </row>
    <row r="1363" spans="1:18" x14ac:dyDescent="0.25">
      <c r="A1363" s="196" t="s">
        <v>857</v>
      </c>
      <c r="B1363" s="132" t="s">
        <v>487</v>
      </c>
      <c r="C1363" s="50"/>
      <c r="D1363" s="50"/>
      <c r="E1363" s="50"/>
      <c r="F1363" s="50"/>
      <c r="G1363" s="50">
        <v>0</v>
      </c>
      <c r="H1363" s="50"/>
      <c r="I1363" s="50"/>
      <c r="J1363" s="50"/>
      <c r="K1363" s="50"/>
      <c r="L1363" s="50"/>
      <c r="M1363" s="50"/>
    </row>
    <row r="1364" spans="1:18" x14ac:dyDescent="0.25">
      <c r="A1364" s="196" t="s">
        <v>858</v>
      </c>
      <c r="B1364" s="132" t="s">
        <v>487</v>
      </c>
      <c r="C1364" s="50"/>
      <c r="D1364" s="133">
        <v>4834</v>
      </c>
      <c r="E1364" s="133">
        <v>6600</v>
      </c>
      <c r="F1364" s="133">
        <v>0</v>
      </c>
      <c r="G1364" s="50">
        <v>1152</v>
      </c>
      <c r="H1364" s="50"/>
      <c r="I1364" s="134">
        <v>5793</v>
      </c>
      <c r="J1364" s="50"/>
      <c r="K1364" s="50"/>
      <c r="L1364" s="134">
        <v>6269</v>
      </c>
      <c r="M1364" s="50"/>
      <c r="O1364" s="195">
        <v>6705</v>
      </c>
    </row>
    <row r="1365" spans="1:18" x14ac:dyDescent="0.25">
      <c r="A1365" s="196" t="s">
        <v>859</v>
      </c>
      <c r="B1365" s="132" t="s">
        <v>487</v>
      </c>
      <c r="C1365" s="50"/>
      <c r="D1365" s="133">
        <v>0</v>
      </c>
      <c r="E1365" s="50"/>
      <c r="F1365" s="50"/>
      <c r="G1365" s="134">
        <v>1920</v>
      </c>
      <c r="H1365" s="50"/>
      <c r="I1365" s="50"/>
      <c r="J1365" s="134">
        <v>5995</v>
      </c>
      <c r="K1365" s="50"/>
      <c r="L1365" s="50"/>
      <c r="M1365" s="195">
        <v>6375</v>
      </c>
      <c r="P1365" s="195">
        <v>6845</v>
      </c>
      <c r="Q1365" s="195">
        <v>6845</v>
      </c>
      <c r="R1365" s="195">
        <v>6845</v>
      </c>
    </row>
    <row r="1366" spans="1:18" x14ac:dyDescent="0.25">
      <c r="A1366" s="196" t="s">
        <v>860</v>
      </c>
      <c r="B1366" s="132" t="s">
        <v>487</v>
      </c>
      <c r="C1366" s="50"/>
      <c r="D1366" s="50"/>
      <c r="E1366" s="50"/>
      <c r="F1366" s="133">
        <v>0</v>
      </c>
      <c r="G1366" s="50">
        <v>1920</v>
      </c>
      <c r="H1366" s="50"/>
      <c r="I1366" s="50"/>
      <c r="J1366" s="50"/>
      <c r="K1366" s="134">
        <v>6110</v>
      </c>
      <c r="L1366" s="50"/>
      <c r="M1366" s="50"/>
      <c r="P1366" s="195">
        <v>6852</v>
      </c>
      <c r="Q1366" s="195">
        <v>6852</v>
      </c>
      <c r="R1366" s="195">
        <v>6852</v>
      </c>
    </row>
    <row r="1367" spans="1:18" x14ac:dyDescent="0.25">
      <c r="A1367" s="196" t="s">
        <v>861</v>
      </c>
      <c r="B1367" s="132" t="s">
        <v>487</v>
      </c>
      <c r="C1367" s="50"/>
      <c r="D1367" s="50"/>
      <c r="E1367" s="134">
        <v>7279</v>
      </c>
      <c r="F1367" s="50"/>
      <c r="G1367" s="50">
        <v>0</v>
      </c>
      <c r="H1367" s="134">
        <v>5657</v>
      </c>
      <c r="I1367" s="50"/>
      <c r="J1367" s="50"/>
      <c r="K1367" s="134">
        <v>6110</v>
      </c>
      <c r="L1367" s="50"/>
      <c r="M1367" s="50"/>
      <c r="N1367" s="197">
        <v>6535</v>
      </c>
    </row>
    <row r="1368" spans="1:18" x14ac:dyDescent="0.25">
      <c r="A1368" s="196" t="s">
        <v>862</v>
      </c>
      <c r="B1368" s="132" t="s">
        <v>487</v>
      </c>
      <c r="C1368" s="50"/>
      <c r="D1368" s="50"/>
      <c r="E1368" s="134">
        <v>0</v>
      </c>
      <c r="F1368" s="50"/>
      <c r="G1368" s="50">
        <v>1920</v>
      </c>
      <c r="H1368" s="134">
        <v>5657</v>
      </c>
      <c r="I1368" s="50"/>
      <c r="J1368" s="50"/>
      <c r="K1368" s="134">
        <v>6110</v>
      </c>
      <c r="L1368" s="50"/>
      <c r="M1368" s="50"/>
      <c r="N1368" s="197">
        <v>6535</v>
      </c>
    </row>
    <row r="1369" spans="1:18" x14ac:dyDescent="0.25">
      <c r="A1369" s="196" t="s">
        <v>863</v>
      </c>
      <c r="B1369" s="132" t="s">
        <v>487</v>
      </c>
      <c r="C1369" s="50"/>
      <c r="D1369" s="133">
        <v>6370</v>
      </c>
      <c r="E1369" s="50"/>
      <c r="F1369" s="50"/>
      <c r="G1369" s="134">
        <v>1920</v>
      </c>
      <c r="H1369" s="50"/>
      <c r="I1369" s="50"/>
      <c r="J1369" s="134">
        <v>5995</v>
      </c>
      <c r="K1369" s="50"/>
      <c r="L1369" s="50"/>
      <c r="M1369" s="195">
        <v>6375</v>
      </c>
      <c r="P1369" s="195">
        <v>6845</v>
      </c>
      <c r="Q1369" s="195">
        <v>6845</v>
      </c>
      <c r="R1369" s="195">
        <v>6845</v>
      </c>
    </row>
    <row r="1370" spans="1:18" x14ac:dyDescent="0.25">
      <c r="A1370" s="196" t="s">
        <v>864</v>
      </c>
      <c r="B1370" s="132" t="s">
        <v>487</v>
      </c>
      <c r="C1370" s="50"/>
      <c r="D1370" s="50"/>
      <c r="E1370" s="134">
        <v>3827</v>
      </c>
      <c r="F1370" s="50"/>
      <c r="G1370" s="50">
        <v>0</v>
      </c>
      <c r="H1370" s="134">
        <v>5657</v>
      </c>
      <c r="I1370" s="50"/>
      <c r="J1370" s="50"/>
      <c r="K1370" s="134">
        <v>6110</v>
      </c>
      <c r="L1370" s="50"/>
      <c r="M1370" s="50"/>
      <c r="N1370" s="197">
        <v>6535</v>
      </c>
    </row>
    <row r="1371" spans="1:18" x14ac:dyDescent="0.25">
      <c r="A1371" s="150" t="s">
        <v>865</v>
      </c>
      <c r="B1371" s="127" t="s">
        <v>468</v>
      </c>
      <c r="C1371" s="194">
        <v>27213</v>
      </c>
      <c r="D1371" s="133">
        <v>27372</v>
      </c>
      <c r="E1371" s="133">
        <v>28767</v>
      </c>
      <c r="F1371" s="133">
        <v>30631</v>
      </c>
      <c r="G1371" s="133">
        <v>29661</v>
      </c>
      <c r="H1371" s="133">
        <v>31114</v>
      </c>
      <c r="I1371" s="133">
        <v>31860</v>
      </c>
      <c r="J1371" s="133">
        <v>32752</v>
      </c>
      <c r="K1371" s="133">
        <v>33604</v>
      </c>
      <c r="L1371" s="133">
        <v>34478</v>
      </c>
      <c r="M1371" s="195">
        <v>35065</v>
      </c>
      <c r="N1371" s="195">
        <v>35907</v>
      </c>
      <c r="O1371" s="195">
        <v>36805</v>
      </c>
      <c r="P1371" s="195">
        <v>37725</v>
      </c>
      <c r="Q1371" s="195">
        <v>37725</v>
      </c>
      <c r="R1371" s="195">
        <v>37725</v>
      </c>
    </row>
    <row r="1372" spans="1:18" x14ac:dyDescent="0.25">
      <c r="A1372" s="43" t="s">
        <v>866</v>
      </c>
      <c r="B1372" s="42" t="s">
        <v>867</v>
      </c>
      <c r="C1372" s="59"/>
      <c r="D1372" s="50">
        <v>3090</v>
      </c>
      <c r="E1372" s="50">
        <v>3165</v>
      </c>
      <c r="F1372" s="43">
        <v>3165</v>
      </c>
      <c r="G1372" s="43">
        <v>3730</v>
      </c>
      <c r="H1372" s="43">
        <v>5000</v>
      </c>
      <c r="I1372" s="54">
        <f>H1372*1.023</f>
        <v>5115</v>
      </c>
      <c r="J1372" s="54">
        <f>I1372*1.024</f>
        <v>5237.76</v>
      </c>
      <c r="K1372" s="54">
        <f>J1372*1.024</f>
        <v>5363.4662400000007</v>
      </c>
      <c r="L1372" s="54">
        <f>K1372*1.023</f>
        <v>5486.8259635200002</v>
      </c>
      <c r="M1372" s="54">
        <f>L1372*1.022</f>
        <v>5607.5361347174403</v>
      </c>
      <c r="N1372" s="54">
        <f>M1372*1.023</f>
        <v>5736.5094658159405</v>
      </c>
      <c r="O1372" s="54">
        <f>N1372*1.025</f>
        <v>5879.9222024613382</v>
      </c>
      <c r="P1372" s="54">
        <f>O1372*1.025</f>
        <v>6026.920257522871</v>
      </c>
      <c r="Q1372" s="54">
        <f>P1372*1.024</f>
        <v>6171.56634370342</v>
      </c>
      <c r="R1372" s="54">
        <f>Q1372*1.024</f>
        <v>6319.6839359523019</v>
      </c>
    </row>
    <row r="1373" spans="1:18" x14ac:dyDescent="0.25">
      <c r="A1373" s="43" t="s">
        <v>868</v>
      </c>
      <c r="B1373" s="42" t="s">
        <v>867</v>
      </c>
    </row>
    <row r="1374" spans="1:18" x14ac:dyDescent="0.25">
      <c r="A1374" s="43" t="s">
        <v>869</v>
      </c>
      <c r="B1374" s="42" t="s">
        <v>867</v>
      </c>
    </row>
    <row r="1375" spans="1:18" x14ac:dyDescent="0.25">
      <c r="A1375" s="43" t="s">
        <v>870</v>
      </c>
      <c r="B1375" s="198"/>
      <c r="D1375" s="43">
        <v>52828</v>
      </c>
      <c r="E1375" s="43">
        <v>19029</v>
      </c>
      <c r="F1375" s="43">
        <v>0</v>
      </c>
      <c r="G1375" s="43">
        <v>0</v>
      </c>
      <c r="H1375" s="54">
        <v>45000</v>
      </c>
      <c r="I1375" s="54">
        <f>H1375*1.023</f>
        <v>46034.999999999993</v>
      </c>
      <c r="J1375" s="54">
        <f>I1375*1.024</f>
        <v>47139.839999999997</v>
      </c>
      <c r="K1375" s="54">
        <f>J1375*1.024</f>
        <v>48271.19616</v>
      </c>
      <c r="L1375" s="54">
        <f>K1375*1.023</f>
        <v>49381.433671679995</v>
      </c>
      <c r="M1375" s="54">
        <f>L1375*1.022</f>
        <v>50467.825212456955</v>
      </c>
      <c r="N1375" s="54">
        <f>M1375*1.023</f>
        <v>51628.58519234346</v>
      </c>
      <c r="O1375" s="54">
        <f>N1375*1.025</f>
        <v>52919.299822152039</v>
      </c>
      <c r="P1375" s="54">
        <f>O1375*1.025</f>
        <v>54242.282317705838</v>
      </c>
      <c r="Q1375" s="54">
        <f>P1375*1.024</f>
        <v>55544.097093330776</v>
      </c>
      <c r="R1375" s="54">
        <f>Q1375*1.024</f>
        <v>56877.155423570715</v>
      </c>
    </row>
    <row r="1376" spans="1:18" x14ac:dyDescent="0.25">
      <c r="A1376" s="59" t="s">
        <v>871</v>
      </c>
      <c r="B1376" s="198"/>
      <c r="I1376" s="54"/>
      <c r="J1376" s="54"/>
      <c r="K1376" s="54"/>
      <c r="L1376" s="54"/>
      <c r="M1376" s="54"/>
      <c r="N1376" s="54"/>
      <c r="O1376" s="54"/>
      <c r="P1376" s="54"/>
      <c r="Q1376" s="54"/>
      <c r="R1376" s="54"/>
    </row>
    <row r="1377" spans="1:18" x14ac:dyDescent="0.25">
      <c r="A1377" s="59" t="s">
        <v>872</v>
      </c>
      <c r="B1377" s="198"/>
      <c r="E1377" s="68"/>
      <c r="I1377" s="54"/>
      <c r="J1377" s="54"/>
      <c r="K1377" s="54"/>
      <c r="L1377" s="54"/>
      <c r="M1377" s="54"/>
      <c r="N1377" s="54"/>
      <c r="O1377" s="54"/>
      <c r="P1377" s="54"/>
      <c r="Q1377" s="54"/>
      <c r="R1377" s="54"/>
    </row>
    <row r="1378" spans="1:18" x14ac:dyDescent="0.25">
      <c r="A1378" s="181" t="s">
        <v>806</v>
      </c>
      <c r="B1378" s="198"/>
      <c r="E1378" s="68"/>
      <c r="I1378" s="54"/>
      <c r="J1378" s="54"/>
      <c r="K1378" s="54"/>
      <c r="L1378" s="54"/>
      <c r="M1378" s="54"/>
      <c r="N1378" s="54"/>
      <c r="O1378" s="54"/>
      <c r="P1378" s="54"/>
      <c r="Q1378" s="54"/>
      <c r="R1378" s="54"/>
    </row>
    <row r="1379" spans="1:18" x14ac:dyDescent="0.25">
      <c r="A1379" s="59" t="s">
        <v>808</v>
      </c>
      <c r="B1379" s="198"/>
      <c r="E1379" s="68"/>
      <c r="I1379" s="54"/>
      <c r="J1379" s="54"/>
      <c r="K1379" s="54"/>
      <c r="L1379" s="54"/>
      <c r="M1379" s="54"/>
      <c r="N1379" s="54"/>
      <c r="O1379" s="54"/>
      <c r="P1379" s="54"/>
      <c r="Q1379" s="54"/>
      <c r="R1379" s="54"/>
    </row>
    <row r="1380" spans="1:18" x14ac:dyDescent="0.25">
      <c r="C1380" s="50"/>
      <c r="D1380" s="50"/>
      <c r="E1380" s="50"/>
      <c r="F1380" s="50"/>
      <c r="G1380" s="50"/>
      <c r="H1380" s="50"/>
      <c r="I1380" s="50"/>
      <c r="J1380" s="50"/>
      <c r="K1380" s="50"/>
      <c r="L1380" s="50"/>
      <c r="M1380" s="50"/>
      <c r="N1380" s="50"/>
      <c r="O1380" s="50"/>
      <c r="P1380" s="50"/>
      <c r="Q1380" s="50"/>
      <c r="R1380" s="50"/>
    </row>
    <row r="1381" spans="1:18" x14ac:dyDescent="0.25">
      <c r="A1381" s="41" t="s">
        <v>230</v>
      </c>
      <c r="B1381" s="44"/>
      <c r="C1381" s="51">
        <f t="shared" ref="C1381:Q1381" si="765">SUM(C1357:C1380)</f>
        <v>174074</v>
      </c>
      <c r="D1381" s="51">
        <f t="shared" si="765"/>
        <v>280123</v>
      </c>
      <c r="E1381" s="51">
        <f t="shared" si="765"/>
        <v>248817</v>
      </c>
      <c r="F1381" s="51">
        <f t="shared" ref="F1381:G1381" si="766">SUM(F1357:F1380)</f>
        <v>181671</v>
      </c>
      <c r="G1381" s="51">
        <f t="shared" si="766"/>
        <v>195808</v>
      </c>
      <c r="H1381" s="51">
        <f t="shared" si="765"/>
        <v>256230</v>
      </c>
      <c r="I1381" s="51">
        <f t="shared" si="765"/>
        <v>250849.5</v>
      </c>
      <c r="J1381" s="51">
        <f t="shared" si="765"/>
        <v>263811.92249999999</v>
      </c>
      <c r="K1381" s="51">
        <f t="shared" si="765"/>
        <v>283264.08089749998</v>
      </c>
      <c r="L1381" s="51">
        <f t="shared" si="765"/>
        <v>272470.06694311748</v>
      </c>
      <c r="M1381" s="51">
        <f t="shared" si="765"/>
        <v>285540.01848894521</v>
      </c>
      <c r="N1381" s="51">
        <f t="shared" si="765"/>
        <v>299624.65151418338</v>
      </c>
      <c r="O1381" s="51">
        <f t="shared" si="765"/>
        <v>294612.27370003005</v>
      </c>
      <c r="P1381" s="51">
        <f t="shared" si="765"/>
        <v>316823.4952826096</v>
      </c>
      <c r="Q1381" s="51">
        <f t="shared" si="765"/>
        <v>322866.27010021597</v>
      </c>
      <c r="R1381" s="51">
        <f t="shared" ref="R1381" si="767">SUM(R1357:R1380)</f>
        <v>329100.03465300304</v>
      </c>
    </row>
    <row r="1382" spans="1:18" x14ac:dyDescent="0.25">
      <c r="A1382" s="41"/>
      <c r="B1382" s="44"/>
      <c r="C1382" s="51"/>
      <c r="D1382" s="51"/>
      <c r="E1382" s="51"/>
      <c r="F1382" s="51"/>
      <c r="G1382" s="51"/>
      <c r="H1382" s="51"/>
      <c r="I1382" s="51"/>
      <c r="J1382" s="51"/>
      <c r="K1382" s="51"/>
      <c r="L1382" s="51"/>
      <c r="M1382" s="51"/>
      <c r="N1382" s="51"/>
      <c r="O1382" s="51"/>
      <c r="P1382" s="51"/>
      <c r="Q1382" s="51"/>
      <c r="R1382" s="51"/>
    </row>
    <row r="1383" spans="1:18" x14ac:dyDescent="0.25">
      <c r="A1383" s="41" t="s">
        <v>251</v>
      </c>
      <c r="B1383" s="44"/>
      <c r="C1383" s="51"/>
      <c r="D1383" s="51"/>
      <c r="E1383" s="51"/>
      <c r="F1383" s="51"/>
      <c r="G1383" s="51"/>
      <c r="H1383" s="51"/>
      <c r="I1383" s="51"/>
      <c r="J1383" s="51"/>
      <c r="K1383" s="51"/>
      <c r="L1383" s="51"/>
      <c r="M1383" s="51"/>
      <c r="N1383" s="51"/>
      <c r="O1383" s="51"/>
      <c r="P1383" s="51"/>
      <c r="Q1383" s="51"/>
      <c r="R1383" s="51"/>
    </row>
    <row r="1384" spans="1:18" x14ac:dyDescent="0.25">
      <c r="B1384" s="44"/>
      <c r="C1384" s="51"/>
      <c r="D1384" s="51"/>
      <c r="E1384" s="51"/>
      <c r="F1384" s="51"/>
      <c r="G1384" s="51"/>
      <c r="H1384" s="51"/>
      <c r="I1384" s="51"/>
      <c r="J1384" s="51"/>
      <c r="K1384" s="51"/>
      <c r="L1384" s="51"/>
      <c r="M1384" s="51"/>
      <c r="N1384" s="51"/>
      <c r="O1384" s="51"/>
      <c r="P1384" s="51"/>
      <c r="Q1384" s="51"/>
      <c r="R1384" s="51"/>
    </row>
    <row r="1385" spans="1:18" x14ac:dyDescent="0.25">
      <c r="A1385" s="61" t="s">
        <v>873</v>
      </c>
      <c r="B1385" s="129" t="s">
        <v>245</v>
      </c>
      <c r="C1385" s="51"/>
      <c r="D1385" s="61">
        <v>34030</v>
      </c>
      <c r="E1385" s="61">
        <v>34802</v>
      </c>
      <c r="F1385" s="52"/>
      <c r="G1385" s="52"/>
      <c r="H1385" s="52"/>
      <c r="I1385" s="51"/>
      <c r="J1385" s="51"/>
      <c r="K1385" s="51"/>
      <c r="L1385" s="51"/>
      <c r="M1385" s="51"/>
      <c r="N1385" s="51"/>
      <c r="O1385" s="51"/>
      <c r="P1385" s="51"/>
      <c r="Q1385" s="51"/>
      <c r="R1385" s="51"/>
    </row>
    <row r="1386" spans="1:18" x14ac:dyDescent="0.25">
      <c r="B1386" s="44"/>
      <c r="C1386" s="51"/>
      <c r="D1386" s="51"/>
      <c r="E1386" s="51"/>
      <c r="F1386" s="51"/>
      <c r="G1386" s="51"/>
      <c r="H1386" s="51"/>
      <c r="I1386" s="51"/>
      <c r="J1386" s="51"/>
      <c r="K1386" s="51"/>
      <c r="L1386" s="51"/>
      <c r="M1386" s="51"/>
      <c r="N1386" s="51"/>
      <c r="O1386" s="51"/>
      <c r="P1386" s="51"/>
      <c r="Q1386" s="51"/>
      <c r="R1386" s="51"/>
    </row>
    <row r="1387" spans="1:18" x14ac:dyDescent="0.25">
      <c r="A1387" s="41" t="s">
        <v>254</v>
      </c>
      <c r="B1387" s="44"/>
      <c r="C1387" s="51"/>
      <c r="D1387" s="51">
        <f t="shared" ref="D1387" si="768">SUM(D1384:D1386)</f>
        <v>34030</v>
      </c>
      <c r="E1387" s="51">
        <f>SUM(E1384:E1386)</f>
        <v>34802</v>
      </c>
      <c r="F1387" s="51">
        <v>0</v>
      </c>
      <c r="G1387" s="51">
        <v>0</v>
      </c>
      <c r="H1387" s="51">
        <v>0</v>
      </c>
      <c r="I1387" s="51">
        <v>0</v>
      </c>
      <c r="J1387" s="51">
        <v>0</v>
      </c>
      <c r="K1387" s="51">
        <v>0</v>
      </c>
      <c r="L1387" s="51">
        <v>0</v>
      </c>
      <c r="M1387" s="51">
        <v>0</v>
      </c>
      <c r="N1387" s="51">
        <v>0</v>
      </c>
      <c r="O1387" s="51">
        <v>0</v>
      </c>
      <c r="P1387" s="51">
        <v>0</v>
      </c>
      <c r="Q1387" s="51">
        <f t="shared" ref="Q1387:R1387" si="769">SUM(Q1384:Q1386)</f>
        <v>0</v>
      </c>
      <c r="R1387" s="51">
        <f t="shared" si="769"/>
        <v>0</v>
      </c>
    </row>
    <row r="1388" spans="1:18" x14ac:dyDescent="0.25">
      <c r="B1388" s="44"/>
      <c r="C1388" s="51"/>
      <c r="D1388" s="51"/>
      <c r="E1388" s="51"/>
      <c r="F1388" s="51"/>
      <c r="G1388" s="51"/>
      <c r="H1388" s="51"/>
      <c r="I1388" s="51"/>
      <c r="J1388" s="51"/>
      <c r="K1388" s="51"/>
      <c r="L1388" s="51"/>
      <c r="M1388" s="51"/>
      <c r="N1388" s="51"/>
      <c r="O1388" s="51"/>
      <c r="P1388" s="51"/>
      <c r="Q1388" s="51"/>
      <c r="R1388" s="51"/>
    </row>
    <row r="1389" spans="1:18" x14ac:dyDescent="0.25">
      <c r="A1389" s="41" t="s">
        <v>171</v>
      </c>
      <c r="B1389" s="44"/>
      <c r="C1389" s="51"/>
      <c r="D1389" s="51"/>
      <c r="E1389" s="51"/>
      <c r="F1389" s="51"/>
      <c r="G1389" s="51"/>
      <c r="H1389" s="51"/>
      <c r="I1389" s="51"/>
      <c r="J1389" s="51"/>
      <c r="K1389" s="51"/>
      <c r="L1389" s="51"/>
      <c r="M1389" s="51"/>
      <c r="N1389" s="51"/>
      <c r="O1389" s="51"/>
      <c r="P1389" s="51"/>
      <c r="Q1389" s="51"/>
      <c r="R1389" s="51"/>
    </row>
    <row r="1390" spans="1:18" x14ac:dyDescent="0.25">
      <c r="B1390" s="44"/>
      <c r="C1390" s="51"/>
      <c r="D1390" s="51"/>
      <c r="E1390" s="51"/>
      <c r="F1390" s="51"/>
      <c r="G1390" s="51"/>
      <c r="H1390" s="51"/>
      <c r="I1390" s="51"/>
      <c r="J1390" s="51"/>
      <c r="K1390" s="51"/>
      <c r="L1390" s="51"/>
      <c r="M1390" s="51"/>
      <c r="N1390" s="51"/>
      <c r="O1390" s="51"/>
      <c r="P1390" s="51"/>
      <c r="Q1390" s="51"/>
      <c r="R1390" s="51"/>
    </row>
    <row r="1391" spans="1:18" x14ac:dyDescent="0.25">
      <c r="A1391" s="61" t="s">
        <v>874</v>
      </c>
      <c r="B1391" s="129" t="s">
        <v>245</v>
      </c>
      <c r="C1391" s="51"/>
      <c r="D1391" s="61"/>
      <c r="E1391" s="61"/>
      <c r="F1391" s="52"/>
      <c r="G1391" s="52"/>
      <c r="H1391" s="52"/>
      <c r="I1391" s="51"/>
      <c r="J1391" s="51"/>
      <c r="K1391" s="51"/>
      <c r="L1391" s="51"/>
      <c r="M1391" s="51"/>
      <c r="N1391" s="51"/>
      <c r="O1391" s="51"/>
      <c r="P1391" s="51"/>
      <c r="Q1391" s="51"/>
      <c r="R1391" s="51"/>
    </row>
    <row r="1392" spans="1:18" x14ac:dyDescent="0.25">
      <c r="A1392" s="41"/>
      <c r="B1392" s="44"/>
      <c r="C1392" s="51"/>
      <c r="D1392" s="51"/>
      <c r="E1392" s="51"/>
      <c r="F1392" s="51"/>
      <c r="G1392" s="51"/>
      <c r="H1392" s="51"/>
      <c r="I1392" s="51"/>
      <c r="J1392" s="51"/>
      <c r="K1392" s="51"/>
      <c r="L1392" s="51"/>
      <c r="M1392" s="51"/>
      <c r="N1392" s="51"/>
      <c r="O1392" s="51"/>
      <c r="P1392" s="51"/>
      <c r="Q1392" s="51"/>
      <c r="R1392" s="51"/>
    </row>
    <row r="1393" spans="1:18" x14ac:dyDescent="0.25">
      <c r="A1393" s="41" t="s">
        <v>107</v>
      </c>
      <c r="B1393" s="44"/>
      <c r="C1393" s="51"/>
      <c r="D1393" s="51">
        <f t="shared" ref="D1393" si="770">SUM(D1390:D1392)</f>
        <v>0</v>
      </c>
      <c r="E1393" s="51">
        <f>SUM(E1390:E1392)</f>
        <v>0</v>
      </c>
      <c r="F1393" s="51">
        <v>0</v>
      </c>
      <c r="G1393" s="51">
        <v>0</v>
      </c>
      <c r="H1393" s="51">
        <v>0</v>
      </c>
      <c r="I1393" s="51">
        <v>0</v>
      </c>
      <c r="J1393" s="51">
        <v>0</v>
      </c>
      <c r="K1393" s="51">
        <v>0</v>
      </c>
      <c r="L1393" s="51">
        <v>0</v>
      </c>
      <c r="M1393" s="51">
        <v>0</v>
      </c>
      <c r="N1393" s="51">
        <v>0</v>
      </c>
      <c r="O1393" s="51">
        <v>0</v>
      </c>
      <c r="P1393" s="51">
        <v>0</v>
      </c>
      <c r="Q1393" s="51">
        <f t="shared" ref="Q1393:R1393" si="771">SUM(Q1390:Q1392)</f>
        <v>0</v>
      </c>
      <c r="R1393" s="51">
        <f t="shared" si="771"/>
        <v>0</v>
      </c>
    </row>
    <row r="1394" spans="1:18" x14ac:dyDescent="0.25">
      <c r="A1394" s="41"/>
      <c r="B1394" s="44"/>
      <c r="C1394" s="51"/>
      <c r="D1394" s="51"/>
      <c r="E1394" s="51"/>
      <c r="F1394" s="51"/>
      <c r="G1394" s="51"/>
      <c r="H1394" s="51"/>
      <c r="I1394" s="51"/>
      <c r="J1394" s="51"/>
      <c r="K1394" s="51"/>
      <c r="L1394" s="51"/>
      <c r="M1394" s="51"/>
      <c r="N1394" s="51"/>
      <c r="O1394" s="51"/>
      <c r="P1394" s="51"/>
      <c r="Q1394" s="51"/>
      <c r="R1394" s="51"/>
    </row>
    <row r="1395" spans="1:18" x14ac:dyDescent="0.25">
      <c r="C1395" s="50"/>
      <c r="D1395" s="50"/>
      <c r="E1395" s="50"/>
      <c r="F1395" s="50"/>
      <c r="G1395" s="50"/>
      <c r="H1395" s="50"/>
      <c r="I1395" s="50"/>
      <c r="J1395" s="50"/>
      <c r="K1395" s="50"/>
      <c r="L1395" s="50"/>
      <c r="M1395" s="50"/>
      <c r="N1395" s="50"/>
      <c r="O1395" s="50"/>
      <c r="P1395" s="50"/>
      <c r="Q1395" s="50"/>
      <c r="R1395" s="50"/>
    </row>
    <row r="1396" spans="1:18" x14ac:dyDescent="0.25">
      <c r="A1396" s="41" t="s">
        <v>637</v>
      </c>
      <c r="B1396" s="44"/>
      <c r="C1396" s="51">
        <f>C1381-C1353</f>
        <v>174074</v>
      </c>
      <c r="D1396" s="51">
        <f>D1381-D1353+D1391-D1387</f>
        <v>246093</v>
      </c>
      <c r="E1396" s="51">
        <f t="shared" ref="E1396:R1396" si="772">E1381-E1353+E1391-E1387</f>
        <v>214015</v>
      </c>
      <c r="F1396" s="51">
        <f t="shared" si="772"/>
        <v>181671</v>
      </c>
      <c r="G1396" s="51">
        <f t="shared" si="772"/>
        <v>195808</v>
      </c>
      <c r="H1396" s="51">
        <f t="shared" si="772"/>
        <v>233730</v>
      </c>
      <c r="I1396" s="51">
        <f t="shared" si="772"/>
        <v>227832</v>
      </c>
      <c r="J1396" s="51">
        <f t="shared" si="772"/>
        <v>240242.0025</v>
      </c>
      <c r="K1396" s="51">
        <f t="shared" si="772"/>
        <v>259128.48281749999</v>
      </c>
      <c r="L1396" s="51">
        <f t="shared" si="772"/>
        <v>247779.35010727748</v>
      </c>
      <c r="M1396" s="51">
        <f t="shared" si="772"/>
        <v>260306.10588271671</v>
      </c>
      <c r="N1396" s="51">
        <f t="shared" si="772"/>
        <v>273810.35891801165</v>
      </c>
      <c r="O1396" s="51">
        <f t="shared" si="772"/>
        <v>268152.62378895405</v>
      </c>
      <c r="P1396" s="51">
        <f t="shared" si="772"/>
        <v>289702.3541237567</v>
      </c>
      <c r="Q1396" s="51">
        <f t="shared" si="772"/>
        <v>295094.22155355057</v>
      </c>
      <c r="R1396" s="51">
        <f t="shared" si="772"/>
        <v>300661.45694121765</v>
      </c>
    </row>
    <row r="1397" spans="1:18" x14ac:dyDescent="0.25">
      <c r="A1397" s="41"/>
      <c r="B1397" s="44"/>
      <c r="C1397" s="51"/>
      <c r="D1397" s="51"/>
      <c r="E1397" s="51"/>
      <c r="F1397" s="51"/>
      <c r="G1397" s="51"/>
      <c r="H1397" s="51"/>
      <c r="I1397" s="51"/>
      <c r="J1397" s="51"/>
      <c r="K1397" s="51"/>
      <c r="L1397" s="51"/>
      <c r="M1397" s="51"/>
      <c r="N1397" s="51"/>
      <c r="O1397" s="51"/>
      <c r="P1397" s="51"/>
      <c r="Q1397" s="51"/>
      <c r="R1397" s="51"/>
    </row>
    <row r="1398" spans="1:18" x14ac:dyDescent="0.25">
      <c r="C1398" s="50"/>
      <c r="D1398" s="50"/>
      <c r="E1398" s="50"/>
      <c r="F1398" s="50"/>
      <c r="G1398" s="50"/>
      <c r="H1398" s="50"/>
      <c r="I1398" s="50"/>
      <c r="J1398" s="50"/>
      <c r="K1398" s="50"/>
      <c r="L1398" s="50"/>
      <c r="M1398" s="50"/>
      <c r="N1398" s="50"/>
      <c r="O1398" s="50"/>
      <c r="P1398" s="50"/>
      <c r="Q1398" s="50"/>
      <c r="R1398" s="50"/>
    </row>
    <row r="1399" spans="1:18" x14ac:dyDescent="0.25">
      <c r="A1399" s="41" t="s">
        <v>875</v>
      </c>
      <c r="C1399" s="51">
        <f t="shared" ref="C1399:R1399" si="773">C1396+C1344+C1231+C1155</f>
        <v>530306.43000000017</v>
      </c>
      <c r="D1399" s="51">
        <f t="shared" si="773"/>
        <v>748135</v>
      </c>
      <c r="E1399" s="51">
        <f t="shared" si="773"/>
        <v>729489</v>
      </c>
      <c r="F1399" s="51">
        <f t="shared" si="773"/>
        <v>635785</v>
      </c>
      <c r="G1399" s="51">
        <f t="shared" si="773"/>
        <v>450263</v>
      </c>
      <c r="H1399" s="51">
        <f t="shared" si="773"/>
        <v>720752</v>
      </c>
      <c r="I1399" s="51">
        <f t="shared" si="773"/>
        <v>786194.80000000063</v>
      </c>
      <c r="J1399" s="51">
        <f t="shared" si="773"/>
        <v>783894.80919999979</v>
      </c>
      <c r="K1399" s="51">
        <f t="shared" si="773"/>
        <v>854498.86987079936</v>
      </c>
      <c r="L1399" s="51">
        <f t="shared" si="773"/>
        <v>805919.38517032843</v>
      </c>
      <c r="M1399" s="51">
        <f t="shared" si="773"/>
        <v>899317.75786122901</v>
      </c>
      <c r="N1399" s="51">
        <f t="shared" si="773"/>
        <v>855675.42644090741</v>
      </c>
      <c r="O1399" s="51">
        <f t="shared" si="773"/>
        <v>867002.7833152673</v>
      </c>
      <c r="P1399" s="51">
        <f t="shared" si="773"/>
        <v>907309.72135950299</v>
      </c>
      <c r="Q1399" s="51">
        <f t="shared" si="773"/>
        <v>932459.9819338402</v>
      </c>
      <c r="R1399" s="51">
        <f t="shared" si="773"/>
        <v>954447.08844077308</v>
      </c>
    </row>
    <row r="1400" spans="1:18" x14ac:dyDescent="0.25">
      <c r="C1400" s="50"/>
      <c r="D1400" s="50"/>
      <c r="E1400" s="50"/>
      <c r="F1400" s="50"/>
      <c r="G1400" s="50"/>
      <c r="H1400" s="50"/>
      <c r="I1400" s="50"/>
      <c r="J1400" s="50"/>
      <c r="K1400" s="50"/>
      <c r="L1400" s="50"/>
      <c r="M1400" s="50"/>
      <c r="N1400" s="50"/>
      <c r="O1400" s="50"/>
      <c r="P1400" s="50"/>
      <c r="Q1400" s="50"/>
      <c r="R1400" s="50"/>
    </row>
    <row r="1401" spans="1:18" x14ac:dyDescent="0.25">
      <c r="C1401" s="50"/>
      <c r="D1401" s="50"/>
      <c r="E1401" s="50"/>
      <c r="F1401" s="50"/>
      <c r="G1401" s="50"/>
      <c r="H1401" s="50"/>
      <c r="I1401" s="50"/>
      <c r="J1401" s="50"/>
      <c r="K1401" s="50"/>
      <c r="L1401" s="50"/>
      <c r="M1401" s="50"/>
      <c r="N1401" s="50"/>
      <c r="O1401" s="50"/>
      <c r="P1401" s="50"/>
      <c r="Q1401" s="50"/>
      <c r="R1401" s="50"/>
    </row>
    <row r="1402" spans="1:18" x14ac:dyDescent="0.25">
      <c r="A1402" s="41" t="s">
        <v>162</v>
      </c>
      <c r="B1402" s="44"/>
      <c r="C1402" s="50"/>
      <c r="D1402" s="50"/>
      <c r="E1402" s="50"/>
      <c r="F1402" s="50"/>
      <c r="G1402" s="50"/>
      <c r="H1402" s="50"/>
      <c r="I1402" s="50"/>
      <c r="J1402" s="50"/>
      <c r="K1402" s="50"/>
      <c r="L1402" s="50"/>
      <c r="M1402" s="50"/>
      <c r="N1402" s="50"/>
      <c r="O1402" s="50"/>
      <c r="P1402" s="50"/>
      <c r="Q1402" s="50"/>
      <c r="R1402" s="50"/>
    </row>
    <row r="1403" spans="1:18" x14ac:dyDescent="0.25">
      <c r="C1403" s="50"/>
      <c r="D1403" s="50"/>
      <c r="E1403" s="50"/>
      <c r="F1403" s="50"/>
      <c r="G1403" s="50"/>
      <c r="H1403" s="50"/>
      <c r="I1403" s="50"/>
      <c r="J1403" s="50"/>
      <c r="K1403" s="50"/>
      <c r="L1403" s="50"/>
      <c r="M1403" s="50"/>
      <c r="N1403" s="50"/>
      <c r="O1403" s="50"/>
      <c r="P1403" s="50"/>
      <c r="Q1403" s="50"/>
      <c r="R1403" s="50"/>
    </row>
    <row r="1404" spans="1:18" x14ac:dyDescent="0.25">
      <c r="A1404" s="41" t="s">
        <v>790</v>
      </c>
      <c r="B1404" s="44"/>
      <c r="C1404" s="50"/>
      <c r="D1404" s="50"/>
      <c r="E1404" s="50"/>
      <c r="F1404" s="50"/>
      <c r="G1404" s="50"/>
      <c r="H1404" s="50"/>
      <c r="I1404" s="50"/>
      <c r="J1404" s="50"/>
      <c r="K1404" s="50"/>
      <c r="L1404" s="50"/>
      <c r="M1404" s="50"/>
      <c r="N1404" s="50"/>
      <c r="O1404" s="50"/>
      <c r="P1404" s="50"/>
      <c r="Q1404" s="50"/>
      <c r="R1404" s="50"/>
    </row>
    <row r="1405" spans="1:18" x14ac:dyDescent="0.25">
      <c r="A1405" s="41"/>
      <c r="B1405" s="44"/>
      <c r="C1405" s="50"/>
      <c r="D1405" s="50"/>
      <c r="E1405" s="50"/>
      <c r="F1405" s="50"/>
      <c r="G1405" s="50"/>
      <c r="H1405" s="50"/>
      <c r="I1405" s="50"/>
      <c r="J1405" s="50"/>
      <c r="K1405" s="50"/>
      <c r="L1405" s="50"/>
      <c r="M1405" s="50"/>
      <c r="N1405" s="50"/>
      <c r="O1405" s="50"/>
      <c r="P1405" s="50"/>
      <c r="Q1405" s="50"/>
      <c r="R1405" s="50"/>
    </row>
    <row r="1406" spans="1:18" x14ac:dyDescent="0.25">
      <c r="A1406" s="41" t="s">
        <v>202</v>
      </c>
      <c r="B1406" s="44"/>
      <c r="C1406" s="50"/>
      <c r="D1406" s="50"/>
      <c r="E1406" s="50"/>
      <c r="F1406" s="50"/>
      <c r="G1406" s="50"/>
      <c r="H1406" s="50"/>
      <c r="I1406" s="50"/>
      <c r="J1406" s="50"/>
      <c r="K1406" s="50"/>
      <c r="L1406" s="50"/>
      <c r="M1406" s="50"/>
      <c r="N1406" s="50"/>
      <c r="O1406" s="50"/>
      <c r="P1406" s="50"/>
      <c r="Q1406" s="50"/>
      <c r="R1406" s="50"/>
    </row>
    <row r="1407" spans="1:18" x14ac:dyDescent="0.25">
      <c r="C1407" s="50"/>
      <c r="D1407" s="50"/>
      <c r="E1407" s="50"/>
      <c r="F1407" s="50"/>
      <c r="G1407" s="50"/>
      <c r="H1407" s="50"/>
      <c r="I1407" s="50"/>
      <c r="J1407" s="50"/>
      <c r="K1407" s="50"/>
      <c r="L1407" s="50"/>
      <c r="M1407" s="50"/>
      <c r="N1407" s="50"/>
      <c r="O1407" s="50"/>
      <c r="P1407" s="50"/>
      <c r="Q1407" s="50"/>
      <c r="R1407" s="50"/>
    </row>
    <row r="1408" spans="1:18" x14ac:dyDescent="0.25">
      <c r="A1408" s="52" t="s">
        <v>876</v>
      </c>
      <c r="B1408" s="53"/>
      <c r="C1408" s="50"/>
      <c r="D1408" s="50"/>
      <c r="E1408" s="50"/>
      <c r="F1408" s="50"/>
      <c r="G1408" s="50"/>
      <c r="H1408" s="50"/>
      <c r="I1408" s="50"/>
      <c r="J1408" s="50"/>
      <c r="K1408" s="50"/>
      <c r="L1408" s="50"/>
      <c r="M1408" s="50"/>
      <c r="N1408" s="50"/>
      <c r="O1408" s="50"/>
      <c r="P1408" s="50"/>
      <c r="Q1408" s="50"/>
      <c r="R1408" s="50"/>
    </row>
    <row r="1409" spans="1:18" x14ac:dyDescent="0.25">
      <c r="A1409" s="52" t="s">
        <v>877</v>
      </c>
      <c r="B1409" s="53"/>
      <c r="C1409" s="54">
        <v>15849</v>
      </c>
      <c r="D1409" s="54">
        <v>17600</v>
      </c>
      <c r="E1409" s="43">
        <v>19618</v>
      </c>
      <c r="F1409" s="54">
        <v>17616</v>
      </c>
      <c r="G1409" s="54">
        <v>13402</v>
      </c>
      <c r="H1409" s="54">
        <v>18700</v>
      </c>
      <c r="I1409" s="54">
        <f>H1409*1.023</f>
        <v>19130.099999999999</v>
      </c>
      <c r="J1409" s="54">
        <f>I1409*1.024</f>
        <v>19589.222399999999</v>
      </c>
      <c r="K1409" s="54">
        <f>J1409*1.024</f>
        <v>20059.363737600001</v>
      </c>
      <c r="L1409" s="54">
        <f>K1409*1.023</f>
        <v>20520.729103564798</v>
      </c>
      <c r="M1409" s="54">
        <f>L1409*1.022</f>
        <v>20972.185143843224</v>
      </c>
      <c r="N1409" s="54">
        <f>M1409*1.023</f>
        <v>21454.545402151616</v>
      </c>
      <c r="O1409" s="54">
        <f>N1409*1.025</f>
        <v>21990.909037205405</v>
      </c>
      <c r="P1409" s="54">
        <f>O1409*1.025</f>
        <v>22540.681763135537</v>
      </c>
      <c r="Q1409" s="54">
        <f>P1409*1.024</f>
        <v>23081.658125450791</v>
      </c>
      <c r="R1409" s="54">
        <f>Q1409*1.024</f>
        <v>23635.617920461609</v>
      </c>
    </row>
    <row r="1410" spans="1:18" x14ac:dyDescent="0.25">
      <c r="A1410" s="52" t="s">
        <v>878</v>
      </c>
      <c r="B1410" s="53"/>
      <c r="C1410" s="54">
        <v>200</v>
      </c>
      <c r="D1410" s="54">
        <v>35</v>
      </c>
      <c r="E1410" s="43">
        <v>0</v>
      </c>
      <c r="F1410" s="54">
        <v>105</v>
      </c>
      <c r="G1410" s="54">
        <v>0</v>
      </c>
      <c r="H1410" s="54"/>
      <c r="I1410" s="54"/>
      <c r="J1410" s="54"/>
      <c r="K1410" s="54"/>
      <c r="L1410" s="54"/>
      <c r="M1410" s="54"/>
      <c r="N1410" s="54"/>
      <c r="O1410" s="54"/>
      <c r="P1410" s="54"/>
      <c r="Q1410" s="54"/>
      <c r="R1410" s="54"/>
    </row>
    <row r="1411" spans="1:18" x14ac:dyDescent="0.25">
      <c r="A1411" s="43" t="s">
        <v>879</v>
      </c>
      <c r="C1411" s="54">
        <v>1545</v>
      </c>
      <c r="D1411" s="54">
        <v>4532</v>
      </c>
      <c r="E1411" s="43">
        <v>8767</v>
      </c>
      <c r="F1411" s="54">
        <v>55212</v>
      </c>
      <c r="G1411" s="54">
        <v>22100</v>
      </c>
      <c r="H1411" s="54">
        <v>40000</v>
      </c>
      <c r="I1411" s="54">
        <f t="shared" ref="I1411:I1422" si="774">H1411*1.023</f>
        <v>40920</v>
      </c>
      <c r="J1411" s="54">
        <f t="shared" ref="J1411:K1412" si="775">I1411*1.024</f>
        <v>41902.080000000002</v>
      </c>
      <c r="K1411" s="54">
        <f t="shared" si="775"/>
        <v>42907.729920000005</v>
      </c>
      <c r="L1411" s="54">
        <f t="shared" ref="L1411:L1422" si="776">K1411*1.023</f>
        <v>43894.607708160001</v>
      </c>
      <c r="M1411" s="54">
        <f t="shared" ref="M1411:M1422" si="777">L1411*1.022</f>
        <v>44860.289077739522</v>
      </c>
      <c r="N1411" s="54">
        <f t="shared" ref="N1411:N1422" si="778">M1411*1.023</f>
        <v>45892.075726527524</v>
      </c>
      <c r="O1411" s="54">
        <f t="shared" ref="O1411:P1412" si="779">N1411*1.025</f>
        <v>47039.377619690706</v>
      </c>
      <c r="P1411" s="54">
        <f t="shared" si="779"/>
        <v>48215.362060182968</v>
      </c>
      <c r="Q1411" s="54">
        <f t="shared" ref="Q1411:R1422" si="780">P1411*1.024</f>
        <v>49372.53074962736</v>
      </c>
      <c r="R1411" s="54">
        <f t="shared" si="780"/>
        <v>50557.471487618415</v>
      </c>
    </row>
    <row r="1412" spans="1:18" x14ac:dyDescent="0.25">
      <c r="A1412" s="43" t="s">
        <v>880</v>
      </c>
      <c r="C1412" s="54">
        <v>17257</v>
      </c>
      <c r="D1412" s="54">
        <v>0</v>
      </c>
      <c r="E1412" s="43">
        <v>166</v>
      </c>
      <c r="F1412" s="54">
        <v>105</v>
      </c>
      <c r="G1412" s="54">
        <v>4723</v>
      </c>
      <c r="H1412" s="54">
        <v>2000</v>
      </c>
      <c r="I1412" s="54">
        <f t="shared" si="774"/>
        <v>2045.9999999999998</v>
      </c>
      <c r="J1412" s="54">
        <f t="shared" si="775"/>
        <v>2095.1039999999998</v>
      </c>
      <c r="K1412" s="54">
        <f t="shared" si="775"/>
        <v>2145.3864960000001</v>
      </c>
      <c r="L1412" s="54">
        <f t="shared" si="776"/>
        <v>2194.7303854080001</v>
      </c>
      <c r="M1412" s="54">
        <f t="shared" si="777"/>
        <v>2243.0144538869763</v>
      </c>
      <c r="N1412" s="54">
        <f t="shared" si="778"/>
        <v>2294.6037863263764</v>
      </c>
      <c r="O1412" s="54">
        <f t="shared" si="779"/>
        <v>2351.9688809845356</v>
      </c>
      <c r="P1412" s="54">
        <f t="shared" si="779"/>
        <v>2410.7681030091489</v>
      </c>
      <c r="Q1412" s="54">
        <f t="shared" si="780"/>
        <v>2468.6265374813684</v>
      </c>
      <c r="R1412" s="54">
        <f t="shared" si="780"/>
        <v>2527.8735743809211</v>
      </c>
    </row>
    <row r="1413" spans="1:18" x14ac:dyDescent="0.25">
      <c r="A1413" s="52" t="s">
        <v>881</v>
      </c>
      <c r="B1413" s="53"/>
      <c r="C1413" s="54"/>
      <c r="D1413" s="54"/>
      <c r="E1413" s="43">
        <v>0</v>
      </c>
      <c r="F1413" s="54"/>
      <c r="G1413" s="54">
        <v>0</v>
      </c>
      <c r="H1413" s="54"/>
      <c r="I1413" s="54"/>
      <c r="J1413" s="54"/>
      <c r="K1413" s="54"/>
      <c r="L1413" s="54"/>
      <c r="M1413" s="54"/>
      <c r="N1413" s="54"/>
      <c r="O1413" s="54"/>
      <c r="P1413" s="54"/>
      <c r="Q1413" s="54"/>
      <c r="R1413" s="54"/>
    </row>
    <row r="1414" spans="1:18" x14ac:dyDescent="0.25">
      <c r="A1414" s="52" t="s">
        <v>882</v>
      </c>
      <c r="B1414" s="53"/>
      <c r="C1414" s="59">
        <v>27000</v>
      </c>
      <c r="D1414" s="54">
        <v>28000</v>
      </c>
      <c r="E1414" s="43">
        <v>29000</v>
      </c>
      <c r="F1414" s="54">
        <v>30000</v>
      </c>
      <c r="G1414" s="54">
        <v>30000</v>
      </c>
      <c r="H1414" s="54">
        <v>31000</v>
      </c>
      <c r="I1414" s="54">
        <f t="shared" si="774"/>
        <v>31712.999999999996</v>
      </c>
      <c r="J1414" s="54">
        <f t="shared" ref="J1414:K1414" si="781">I1414*1.024</f>
        <v>32474.111999999997</v>
      </c>
      <c r="K1414" s="54">
        <f t="shared" si="781"/>
        <v>33253.490687999998</v>
      </c>
      <c r="L1414" s="54">
        <f t="shared" si="776"/>
        <v>34018.320973823997</v>
      </c>
      <c r="M1414" s="54">
        <f t="shared" si="777"/>
        <v>34766.724035248124</v>
      </c>
      <c r="N1414" s="54">
        <f t="shared" si="778"/>
        <v>35566.358688058826</v>
      </c>
      <c r="O1414" s="54">
        <f t="shared" ref="O1414:P1414" si="782">N1414*1.025</f>
        <v>36455.517655260293</v>
      </c>
      <c r="P1414" s="54">
        <f t="shared" si="782"/>
        <v>37366.905596641795</v>
      </c>
      <c r="Q1414" s="54">
        <f t="shared" si="780"/>
        <v>38263.711330961196</v>
      </c>
      <c r="R1414" s="54">
        <f t="shared" si="780"/>
        <v>39182.040402904262</v>
      </c>
    </row>
    <row r="1415" spans="1:18" x14ac:dyDescent="0.25">
      <c r="A1415" s="43" t="s">
        <v>883</v>
      </c>
      <c r="C1415" s="59">
        <v>15000</v>
      </c>
      <c r="D1415" s="50">
        <v>15000</v>
      </c>
      <c r="E1415" s="43">
        <v>15000</v>
      </c>
      <c r="F1415" s="50">
        <v>15000</v>
      </c>
      <c r="G1415" s="50">
        <v>15000</v>
      </c>
      <c r="H1415" s="50">
        <v>15000</v>
      </c>
      <c r="I1415" s="50">
        <v>15000</v>
      </c>
      <c r="J1415" s="50">
        <v>15000</v>
      </c>
      <c r="K1415" s="50">
        <v>15000</v>
      </c>
      <c r="L1415" s="50">
        <v>15000</v>
      </c>
      <c r="M1415" s="50">
        <v>15000</v>
      </c>
      <c r="N1415" s="50">
        <v>15000</v>
      </c>
      <c r="O1415" s="50">
        <v>15000</v>
      </c>
      <c r="P1415" s="50">
        <v>15000</v>
      </c>
      <c r="Q1415" s="50">
        <v>15000</v>
      </c>
      <c r="R1415" s="50">
        <v>15000</v>
      </c>
    </row>
    <row r="1416" spans="1:18" x14ac:dyDescent="0.25">
      <c r="A1416" s="43" t="s">
        <v>884</v>
      </c>
      <c r="C1416" s="54">
        <v>69067</v>
      </c>
      <c r="D1416" s="50">
        <v>143517</v>
      </c>
      <c r="E1416" s="43">
        <v>142038</v>
      </c>
      <c r="F1416">
        <v>212759</v>
      </c>
      <c r="G1416" s="43">
        <v>146135</v>
      </c>
      <c r="H1416" s="43">
        <v>146700</v>
      </c>
      <c r="I1416" s="54">
        <f t="shared" si="774"/>
        <v>150074.09999999998</v>
      </c>
      <c r="J1416" s="54">
        <f t="shared" ref="J1416:K1422" si="783">I1416*1.024</f>
        <v>153675.87839999999</v>
      </c>
      <c r="K1416" s="54">
        <f t="shared" si="783"/>
        <v>157364.09948159999</v>
      </c>
      <c r="L1416" s="54">
        <f t="shared" si="776"/>
        <v>160983.47376967678</v>
      </c>
      <c r="M1416" s="54">
        <f t="shared" si="777"/>
        <v>164525.11019260969</v>
      </c>
      <c r="N1416" s="54">
        <f t="shared" si="778"/>
        <v>168309.18772703971</v>
      </c>
      <c r="O1416" s="54">
        <f t="shared" ref="O1416:P1422" si="784">N1416*1.025</f>
        <v>172516.9174202157</v>
      </c>
      <c r="P1416" s="54">
        <f t="shared" si="784"/>
        <v>176829.84035572107</v>
      </c>
      <c r="Q1416" s="54">
        <f t="shared" si="780"/>
        <v>181073.75652425838</v>
      </c>
      <c r="R1416" s="54">
        <f t="shared" si="780"/>
        <v>185419.52668084059</v>
      </c>
    </row>
    <row r="1417" spans="1:18" x14ac:dyDescent="0.25">
      <c r="A1417" s="43" t="s">
        <v>885</v>
      </c>
      <c r="C1417" s="54">
        <v>0</v>
      </c>
      <c r="D1417" s="50">
        <v>406159</v>
      </c>
      <c r="E1417" s="43">
        <v>193386</v>
      </c>
      <c r="F1417" s="50">
        <v>20253</v>
      </c>
      <c r="G1417" s="50">
        <v>0</v>
      </c>
      <c r="H1417" s="50">
        <v>0</v>
      </c>
      <c r="I1417" s="54">
        <f t="shared" si="774"/>
        <v>0</v>
      </c>
      <c r="J1417" s="54">
        <f t="shared" si="783"/>
        <v>0</v>
      </c>
      <c r="K1417" s="54">
        <f t="shared" si="783"/>
        <v>0</v>
      </c>
      <c r="L1417" s="54">
        <f t="shared" si="776"/>
        <v>0</v>
      </c>
      <c r="M1417" s="54">
        <f t="shared" si="777"/>
        <v>0</v>
      </c>
      <c r="N1417" s="54">
        <f t="shared" si="778"/>
        <v>0</v>
      </c>
      <c r="O1417" s="54">
        <f t="shared" si="784"/>
        <v>0</v>
      </c>
      <c r="P1417" s="54">
        <f t="shared" si="784"/>
        <v>0</v>
      </c>
      <c r="Q1417" s="54">
        <f t="shared" si="780"/>
        <v>0</v>
      </c>
      <c r="R1417" s="54">
        <f t="shared" si="780"/>
        <v>0</v>
      </c>
    </row>
    <row r="1418" spans="1:18" x14ac:dyDescent="0.25">
      <c r="A1418" s="43" t="s">
        <v>886</v>
      </c>
      <c r="C1418" s="54">
        <v>5891</v>
      </c>
      <c r="D1418" s="54">
        <v>5547</v>
      </c>
      <c r="E1418" s="43">
        <v>5968</v>
      </c>
      <c r="F1418" s="54">
        <v>5331</v>
      </c>
      <c r="G1418" s="54">
        <v>5500</v>
      </c>
      <c r="H1418" s="54">
        <v>5500</v>
      </c>
      <c r="I1418" s="54">
        <f t="shared" si="774"/>
        <v>5626.4999999999991</v>
      </c>
      <c r="J1418" s="54">
        <f t="shared" si="783"/>
        <v>5761.5359999999991</v>
      </c>
      <c r="K1418" s="54">
        <f t="shared" si="783"/>
        <v>5899.8128639999995</v>
      </c>
      <c r="L1418" s="54">
        <f t="shared" si="776"/>
        <v>6035.5085598719988</v>
      </c>
      <c r="M1418" s="54">
        <f t="shared" si="777"/>
        <v>6168.2897481891832</v>
      </c>
      <c r="N1418" s="54">
        <f t="shared" si="778"/>
        <v>6310.1604123975339</v>
      </c>
      <c r="O1418" s="54">
        <f t="shared" si="784"/>
        <v>6467.9144227074721</v>
      </c>
      <c r="P1418" s="54">
        <f t="shared" si="784"/>
        <v>6629.612283275158</v>
      </c>
      <c r="Q1418" s="54">
        <f t="shared" si="780"/>
        <v>6788.7229780737616</v>
      </c>
      <c r="R1418" s="54">
        <f t="shared" si="780"/>
        <v>6951.6523295475317</v>
      </c>
    </row>
    <row r="1419" spans="1:18" x14ac:dyDescent="0.25">
      <c r="A1419" s="43" t="s">
        <v>887</v>
      </c>
      <c r="C1419" s="54">
        <v>16379</v>
      </c>
      <c r="D1419" s="54">
        <v>14755</v>
      </c>
      <c r="E1419" s="43">
        <v>7544</v>
      </c>
      <c r="F1419" s="54">
        <v>14385</v>
      </c>
      <c r="G1419" s="54">
        <v>5400</v>
      </c>
      <c r="H1419" s="54">
        <v>15000</v>
      </c>
      <c r="I1419" s="54">
        <f t="shared" si="774"/>
        <v>15344.999999999998</v>
      </c>
      <c r="J1419" s="54">
        <f t="shared" si="783"/>
        <v>15713.279999999999</v>
      </c>
      <c r="K1419" s="54">
        <f t="shared" si="783"/>
        <v>16090.398719999999</v>
      </c>
      <c r="L1419" s="54">
        <f t="shared" si="776"/>
        <v>16460.477890559996</v>
      </c>
      <c r="M1419" s="54">
        <f t="shared" si="777"/>
        <v>16822.608404152317</v>
      </c>
      <c r="N1419" s="54">
        <f t="shared" si="778"/>
        <v>17209.528397447819</v>
      </c>
      <c r="O1419" s="54">
        <f t="shared" si="784"/>
        <v>17639.766607384012</v>
      </c>
      <c r="P1419" s="54">
        <f t="shared" si="784"/>
        <v>18080.76077256861</v>
      </c>
      <c r="Q1419" s="54">
        <f t="shared" si="780"/>
        <v>18514.699031110256</v>
      </c>
      <c r="R1419" s="54">
        <f t="shared" si="780"/>
        <v>18959.051807856904</v>
      </c>
    </row>
    <row r="1420" spans="1:18" x14ac:dyDescent="0.25">
      <c r="A1420" s="43" t="s">
        <v>888</v>
      </c>
      <c r="C1420" s="54">
        <v>455185</v>
      </c>
      <c r="D1420" s="54">
        <v>341858</v>
      </c>
      <c r="E1420" s="43">
        <v>97196</v>
      </c>
      <c r="F1420" s="54">
        <v>171644</v>
      </c>
      <c r="G1420" s="50">
        <v>293759</v>
      </c>
      <c r="H1420" s="50">
        <v>200000</v>
      </c>
      <c r="I1420" s="54">
        <f t="shared" si="774"/>
        <v>204599.99999999997</v>
      </c>
      <c r="J1420" s="54">
        <f t="shared" si="783"/>
        <v>209510.39999999997</v>
      </c>
      <c r="K1420" s="54">
        <f t="shared" si="783"/>
        <v>214538.64959999998</v>
      </c>
      <c r="L1420" s="54">
        <f t="shared" si="776"/>
        <v>219473.03854079996</v>
      </c>
      <c r="M1420" s="54">
        <f t="shared" si="777"/>
        <v>224301.44538869755</v>
      </c>
      <c r="N1420" s="54">
        <f t="shared" si="778"/>
        <v>229460.37863263758</v>
      </c>
      <c r="O1420" s="54">
        <f t="shared" si="784"/>
        <v>235196.88809845349</v>
      </c>
      <c r="P1420" s="54">
        <f t="shared" si="784"/>
        <v>241076.8103009148</v>
      </c>
      <c r="Q1420" s="54">
        <f t="shared" si="780"/>
        <v>246862.65374813677</v>
      </c>
      <c r="R1420" s="54">
        <f t="shared" si="780"/>
        <v>252787.35743809206</v>
      </c>
    </row>
    <row r="1421" spans="1:18" x14ac:dyDescent="0.25">
      <c r="A1421" s="43" t="s">
        <v>889</v>
      </c>
      <c r="C1421" s="54"/>
      <c r="D1421" s="54"/>
      <c r="F1421" s="50">
        <v>0</v>
      </c>
      <c r="G1421" s="50">
        <v>0</v>
      </c>
      <c r="H1421" s="50">
        <v>11000</v>
      </c>
      <c r="I1421" s="54">
        <f t="shared" si="774"/>
        <v>11252.999999999998</v>
      </c>
      <c r="J1421" s="54">
        <f t="shared" si="783"/>
        <v>11523.071999999998</v>
      </c>
      <c r="K1421" s="54">
        <f t="shared" si="783"/>
        <v>11799.625727999999</v>
      </c>
      <c r="L1421" s="54">
        <f t="shared" si="776"/>
        <v>12071.017119743998</v>
      </c>
      <c r="M1421" s="54">
        <f t="shared" si="777"/>
        <v>12336.579496378366</v>
      </c>
      <c r="N1421" s="54">
        <f t="shared" si="778"/>
        <v>12620.320824795068</v>
      </c>
      <c r="O1421" s="54">
        <f t="shared" si="784"/>
        <v>12935.828845414944</v>
      </c>
      <c r="P1421" s="54">
        <f t="shared" si="784"/>
        <v>13259.224566550316</v>
      </c>
      <c r="Q1421" s="54">
        <f t="shared" si="780"/>
        <v>13577.445956147523</v>
      </c>
      <c r="R1421" s="54">
        <f t="shared" si="780"/>
        <v>13903.304659095063</v>
      </c>
    </row>
    <row r="1422" spans="1:18" x14ac:dyDescent="0.25">
      <c r="A1422" s="43" t="s">
        <v>890</v>
      </c>
      <c r="C1422" s="54">
        <v>41000</v>
      </c>
      <c r="D1422" s="54">
        <v>42000</v>
      </c>
      <c r="E1422" s="43">
        <v>43000</v>
      </c>
      <c r="F1422" s="54">
        <v>44000</v>
      </c>
      <c r="G1422" s="54">
        <v>45000</v>
      </c>
      <c r="H1422" s="54">
        <v>45000</v>
      </c>
      <c r="I1422" s="54">
        <f t="shared" si="774"/>
        <v>46034.999999999993</v>
      </c>
      <c r="J1422" s="54">
        <f t="shared" si="783"/>
        <v>47139.839999999997</v>
      </c>
      <c r="K1422" s="54">
        <f t="shared" si="783"/>
        <v>48271.19616</v>
      </c>
      <c r="L1422" s="54">
        <f t="shared" si="776"/>
        <v>49381.433671679995</v>
      </c>
      <c r="M1422" s="54">
        <f t="shared" si="777"/>
        <v>50467.825212456955</v>
      </c>
      <c r="N1422" s="54">
        <f t="shared" si="778"/>
        <v>51628.58519234346</v>
      </c>
      <c r="O1422" s="54">
        <f t="shared" si="784"/>
        <v>52919.299822152039</v>
      </c>
      <c r="P1422" s="54">
        <f t="shared" si="784"/>
        <v>54242.282317705838</v>
      </c>
      <c r="Q1422" s="54">
        <f t="shared" si="780"/>
        <v>55544.097093330776</v>
      </c>
      <c r="R1422" s="54">
        <f t="shared" si="780"/>
        <v>56877.155423570715</v>
      </c>
    </row>
    <row r="1423" spans="1:18" x14ac:dyDescent="0.25">
      <c r="A1423" s="43" t="s">
        <v>891</v>
      </c>
      <c r="B1423" s="53"/>
      <c r="C1423" s="43">
        <v>0</v>
      </c>
      <c r="D1423" s="50">
        <f>C1423*1.038</f>
        <v>0</v>
      </c>
      <c r="E1423" s="43">
        <v>0</v>
      </c>
      <c r="F1423" s="50">
        <v>0</v>
      </c>
      <c r="G1423" s="50">
        <v>0</v>
      </c>
      <c r="H1423" s="50">
        <v>0</v>
      </c>
      <c r="I1423" s="50">
        <v>0</v>
      </c>
      <c r="J1423" s="50">
        <v>0</v>
      </c>
      <c r="K1423" s="50">
        <v>0</v>
      </c>
      <c r="L1423" s="50">
        <v>0</v>
      </c>
      <c r="M1423" s="50">
        <v>0</v>
      </c>
      <c r="N1423" s="50">
        <v>0</v>
      </c>
      <c r="O1423" s="50">
        <v>0</v>
      </c>
      <c r="P1423" s="50">
        <v>0</v>
      </c>
      <c r="Q1423" s="50">
        <f>P1423*1.042</f>
        <v>0</v>
      </c>
      <c r="R1423" s="50">
        <f>Q1423*1.042</f>
        <v>0</v>
      </c>
    </row>
    <row r="1424" spans="1:18" x14ac:dyDescent="0.25">
      <c r="A1424" s="52" t="s">
        <v>892</v>
      </c>
      <c r="B1424" s="53"/>
      <c r="C1424" s="50"/>
      <c r="D1424" s="50"/>
      <c r="E1424" s="43">
        <v>0</v>
      </c>
      <c r="F1424" s="50"/>
      <c r="G1424" s="50"/>
      <c r="H1424" s="50"/>
      <c r="I1424" s="50"/>
      <c r="J1424" s="50"/>
      <c r="K1424" s="50"/>
      <c r="L1424" s="50"/>
      <c r="M1424" s="50"/>
      <c r="N1424" s="50"/>
      <c r="O1424" s="50"/>
      <c r="P1424" s="50"/>
      <c r="Q1424" s="50"/>
      <c r="R1424" s="50"/>
    </row>
    <row r="1425" spans="1:18" x14ac:dyDescent="0.25">
      <c r="A1425" s="43" t="s">
        <v>893</v>
      </c>
      <c r="C1425" s="54">
        <v>5514</v>
      </c>
      <c r="D1425" s="54">
        <v>11610</v>
      </c>
      <c r="E1425" s="43">
        <v>5619</v>
      </c>
      <c r="F1425" s="54">
        <v>6005</v>
      </c>
      <c r="G1425" s="54">
        <v>14743</v>
      </c>
      <c r="H1425" s="54">
        <v>11000</v>
      </c>
      <c r="I1425" s="54">
        <f t="shared" ref="I1425:I1426" si="785">H1425*1.023</f>
        <v>11252.999999999998</v>
      </c>
      <c r="J1425" s="54">
        <f t="shared" ref="J1425:K1426" si="786">I1425*1.024</f>
        <v>11523.071999999998</v>
      </c>
      <c r="K1425" s="54">
        <f t="shared" si="786"/>
        <v>11799.625727999999</v>
      </c>
      <c r="L1425" s="54">
        <f t="shared" ref="L1425:L1426" si="787">K1425*1.023</f>
        <v>12071.017119743998</v>
      </c>
      <c r="M1425" s="54">
        <f t="shared" ref="M1425:M1426" si="788">L1425*1.022</f>
        <v>12336.579496378366</v>
      </c>
      <c r="N1425" s="54">
        <f t="shared" ref="N1425:N1426" si="789">M1425*1.023</f>
        <v>12620.320824795068</v>
      </c>
      <c r="O1425" s="54">
        <f t="shared" ref="O1425:P1426" si="790">N1425*1.025</f>
        <v>12935.828845414944</v>
      </c>
      <c r="P1425" s="54">
        <f t="shared" si="790"/>
        <v>13259.224566550316</v>
      </c>
      <c r="Q1425" s="54">
        <f t="shared" ref="Q1425:R1426" si="791">P1425*1.024</f>
        <v>13577.445956147523</v>
      </c>
      <c r="R1425" s="54">
        <f t="shared" si="791"/>
        <v>13903.304659095063</v>
      </c>
    </row>
    <row r="1426" spans="1:18" x14ac:dyDescent="0.25">
      <c r="A1426" s="43" t="s">
        <v>894</v>
      </c>
      <c r="C1426" s="54">
        <v>8673</v>
      </c>
      <c r="D1426" s="54">
        <v>7047</v>
      </c>
      <c r="E1426" s="43">
        <v>6364</v>
      </c>
      <c r="F1426" s="54">
        <v>6126</v>
      </c>
      <c r="G1426" s="54">
        <v>7740</v>
      </c>
      <c r="H1426" s="54">
        <v>8500</v>
      </c>
      <c r="I1426" s="54">
        <f t="shared" si="785"/>
        <v>8695.5</v>
      </c>
      <c r="J1426" s="54">
        <f t="shared" si="786"/>
        <v>8904.1920000000009</v>
      </c>
      <c r="K1426" s="54">
        <f t="shared" si="786"/>
        <v>9117.8926080000019</v>
      </c>
      <c r="L1426" s="54">
        <f t="shared" si="787"/>
        <v>9327.6041379840008</v>
      </c>
      <c r="M1426" s="54">
        <f t="shared" si="788"/>
        <v>9532.8114290196481</v>
      </c>
      <c r="N1426" s="54">
        <f t="shared" si="789"/>
        <v>9752.0660918870999</v>
      </c>
      <c r="O1426" s="54">
        <f t="shared" si="790"/>
        <v>9995.8677441842774</v>
      </c>
      <c r="P1426" s="54">
        <f t="shared" si="790"/>
        <v>10245.764437788883</v>
      </c>
      <c r="Q1426" s="54">
        <f t="shared" si="791"/>
        <v>10491.662784295817</v>
      </c>
      <c r="R1426" s="54">
        <f t="shared" si="791"/>
        <v>10743.462691118917</v>
      </c>
    </row>
    <row r="1427" spans="1:18" x14ac:dyDescent="0.25">
      <c r="A1427" s="52" t="s">
        <v>895</v>
      </c>
      <c r="B1427" s="53"/>
      <c r="C1427" s="50"/>
      <c r="D1427" s="50"/>
      <c r="E1427" s="43">
        <v>0</v>
      </c>
      <c r="F1427" s="50"/>
      <c r="G1427" s="50"/>
      <c r="H1427" s="50"/>
      <c r="I1427" s="50"/>
      <c r="J1427" s="50"/>
      <c r="K1427" s="50"/>
      <c r="L1427" s="50"/>
      <c r="M1427" s="50"/>
      <c r="N1427" s="50"/>
      <c r="O1427" s="50"/>
      <c r="P1427" s="50"/>
      <c r="Q1427" s="50"/>
      <c r="R1427" s="50"/>
    </row>
    <row r="1428" spans="1:18" x14ac:dyDescent="0.25">
      <c r="A1428" s="43" t="s">
        <v>896</v>
      </c>
      <c r="C1428" s="59">
        <v>34000</v>
      </c>
      <c r="D1428" s="50">
        <v>34000</v>
      </c>
      <c r="E1428" s="43">
        <v>34000</v>
      </c>
      <c r="F1428" s="50">
        <v>34000</v>
      </c>
      <c r="G1428" s="50">
        <v>34000</v>
      </c>
      <c r="H1428" s="50">
        <v>34000</v>
      </c>
      <c r="I1428" s="54">
        <f t="shared" ref="I1428" si="792">H1428*1.023</f>
        <v>34782</v>
      </c>
      <c r="J1428" s="54">
        <f t="shared" ref="J1428:K1428" si="793">I1428*1.024</f>
        <v>35616.768000000004</v>
      </c>
      <c r="K1428" s="54">
        <f t="shared" si="793"/>
        <v>36471.570432000008</v>
      </c>
      <c r="L1428" s="54">
        <f t="shared" ref="L1428" si="794">K1428*1.023</f>
        <v>37310.416551936003</v>
      </c>
      <c r="M1428" s="54">
        <f t="shared" ref="M1428" si="795">L1428*1.022</f>
        <v>38131.245716078593</v>
      </c>
      <c r="N1428" s="54">
        <f t="shared" ref="N1428" si="796">M1428*1.023</f>
        <v>39008.2643675484</v>
      </c>
      <c r="O1428" s="54">
        <f t="shared" ref="O1428:P1428" si="797">N1428*1.025</f>
        <v>39983.47097673711</v>
      </c>
      <c r="P1428" s="54">
        <f t="shared" si="797"/>
        <v>40983.057751155531</v>
      </c>
      <c r="Q1428" s="54">
        <f t="shared" ref="Q1428:R1428" si="798">P1428*1.024</f>
        <v>41966.651137183268</v>
      </c>
      <c r="R1428" s="54">
        <f t="shared" si="798"/>
        <v>42973.850764475668</v>
      </c>
    </row>
    <row r="1429" spans="1:18" x14ac:dyDescent="0.25">
      <c r="A1429" s="52" t="s">
        <v>897</v>
      </c>
      <c r="B1429" s="53"/>
      <c r="C1429" s="50"/>
      <c r="D1429" s="50"/>
      <c r="E1429" s="43">
        <v>0</v>
      </c>
      <c r="F1429" s="50"/>
      <c r="G1429" s="50"/>
      <c r="H1429" s="50"/>
      <c r="I1429" s="50"/>
      <c r="J1429" s="50"/>
      <c r="K1429" s="50"/>
      <c r="L1429" s="50"/>
      <c r="M1429" s="50"/>
      <c r="N1429" s="50"/>
      <c r="O1429" s="50"/>
      <c r="P1429" s="50"/>
      <c r="Q1429" s="50"/>
      <c r="R1429" s="50"/>
    </row>
    <row r="1430" spans="1:18" x14ac:dyDescent="0.25">
      <c r="A1430" s="52" t="s">
        <v>898</v>
      </c>
      <c r="B1430" s="53"/>
      <c r="C1430" s="54">
        <v>132797</v>
      </c>
      <c r="D1430" s="54">
        <v>135040</v>
      </c>
      <c r="E1430" s="43">
        <v>137657</v>
      </c>
      <c r="F1430" s="54">
        <v>140148</v>
      </c>
      <c r="G1430" s="54">
        <v>143138</v>
      </c>
      <c r="H1430" s="54">
        <v>136000</v>
      </c>
      <c r="I1430" s="54">
        <v>250000</v>
      </c>
      <c r="J1430" s="54">
        <f t="shared" ref="J1430:K1430" si="799">I1430*1.024</f>
        <v>256000</v>
      </c>
      <c r="K1430" s="54">
        <f t="shared" si="799"/>
        <v>262144</v>
      </c>
      <c r="L1430" s="54">
        <f t="shared" ref="L1430" si="800">K1430*1.023</f>
        <v>268173.31199999998</v>
      </c>
      <c r="M1430" s="54">
        <f t="shared" ref="M1430" si="801">L1430*1.022</f>
        <v>274073.12486399995</v>
      </c>
      <c r="N1430" s="54">
        <f t="shared" ref="N1430" si="802">M1430*1.023</f>
        <v>280376.80673587194</v>
      </c>
      <c r="O1430" s="54">
        <f t="shared" ref="O1430:P1430" si="803">N1430*1.025</f>
        <v>287386.22690426873</v>
      </c>
      <c r="P1430" s="54">
        <f t="shared" si="803"/>
        <v>294570.88257687545</v>
      </c>
      <c r="Q1430" s="54">
        <f t="shared" ref="Q1430:R1430" si="804">P1430*1.024</f>
        <v>301640.58375872049</v>
      </c>
      <c r="R1430" s="54">
        <f t="shared" si="804"/>
        <v>308879.95776892977</v>
      </c>
    </row>
    <row r="1431" spans="1:18" x14ac:dyDescent="0.25">
      <c r="A1431" s="52" t="s">
        <v>898</v>
      </c>
      <c r="B1431" s="53"/>
      <c r="C1431" s="54"/>
      <c r="D1431" s="54"/>
      <c r="F1431" s="54"/>
      <c r="G1431" s="54"/>
      <c r="H1431" s="54">
        <v>1000000</v>
      </c>
      <c r="I1431" s="54"/>
      <c r="J1431" s="54"/>
      <c r="K1431" s="54"/>
      <c r="L1431" s="54"/>
      <c r="M1431" s="54"/>
      <c r="N1431" s="54"/>
      <c r="O1431" s="54"/>
      <c r="P1431" s="54"/>
      <c r="Q1431" s="54"/>
      <c r="R1431" s="54"/>
    </row>
    <row r="1432" spans="1:18" x14ac:dyDescent="0.25">
      <c r="C1432" s="50"/>
      <c r="D1432" s="50"/>
      <c r="F1432" s="50"/>
      <c r="G1432" s="50"/>
      <c r="H1432" s="50"/>
      <c r="I1432" s="50"/>
      <c r="J1432" s="50"/>
      <c r="K1432" s="50"/>
      <c r="L1432" s="50"/>
      <c r="M1432" s="50"/>
      <c r="N1432" s="50"/>
      <c r="O1432" s="50"/>
      <c r="P1432" s="50"/>
      <c r="Q1432" s="50"/>
      <c r="R1432" s="50"/>
    </row>
    <row r="1433" spans="1:18" x14ac:dyDescent="0.25">
      <c r="A1433" s="41" t="s">
        <v>216</v>
      </c>
      <c r="B1433" s="44"/>
      <c r="C1433" s="51">
        <f t="shared" ref="C1433" si="805">SUM(C1409:C1432)</f>
        <v>845357</v>
      </c>
      <c r="D1433" s="51">
        <f t="shared" ref="D1433:R1433" si="806">SUM(D1409:D1432)</f>
        <v>1206700</v>
      </c>
      <c r="E1433" s="51">
        <f t="shared" si="806"/>
        <v>745323</v>
      </c>
      <c r="F1433" s="51">
        <f t="shared" si="806"/>
        <v>772689</v>
      </c>
      <c r="G1433" s="51">
        <f t="shared" si="806"/>
        <v>780640</v>
      </c>
      <c r="H1433" s="51">
        <f t="shared" si="806"/>
        <v>1719400</v>
      </c>
      <c r="I1433" s="51">
        <f t="shared" si="806"/>
        <v>846473.2</v>
      </c>
      <c r="J1433" s="51">
        <f t="shared" si="806"/>
        <v>866428.55680000002</v>
      </c>
      <c r="K1433" s="51">
        <f t="shared" si="806"/>
        <v>886862.84216319979</v>
      </c>
      <c r="L1433" s="51">
        <f t="shared" si="806"/>
        <v>906915.68753295345</v>
      </c>
      <c r="M1433" s="51">
        <f t="shared" si="806"/>
        <v>926537.83265867829</v>
      </c>
      <c r="N1433" s="51">
        <f t="shared" si="806"/>
        <v>947503.20280982798</v>
      </c>
      <c r="O1433" s="51">
        <f t="shared" si="806"/>
        <v>970815.78288007365</v>
      </c>
      <c r="P1433" s="51">
        <f t="shared" si="806"/>
        <v>994711.17745207553</v>
      </c>
      <c r="Q1433" s="51">
        <f t="shared" si="806"/>
        <v>1018224.2457109254</v>
      </c>
      <c r="R1433" s="51">
        <f t="shared" si="806"/>
        <v>1042301.6276079874</v>
      </c>
    </row>
    <row r="1434" spans="1:18" x14ac:dyDescent="0.25">
      <c r="C1434" s="50"/>
      <c r="D1434" s="50"/>
      <c r="E1434" s="50"/>
      <c r="F1434" s="50"/>
      <c r="G1434" s="50"/>
      <c r="H1434" s="50"/>
      <c r="I1434" s="50"/>
      <c r="J1434" s="50"/>
      <c r="K1434" s="50"/>
      <c r="L1434" s="50"/>
      <c r="M1434" s="50"/>
      <c r="N1434" s="50"/>
      <c r="O1434" s="50"/>
      <c r="P1434" s="50"/>
      <c r="Q1434" s="50"/>
      <c r="R1434" s="50"/>
    </row>
    <row r="1435" spans="1:18" x14ac:dyDescent="0.25">
      <c r="A1435" s="41" t="s">
        <v>165</v>
      </c>
      <c r="B1435" s="44"/>
      <c r="C1435" s="50"/>
      <c r="D1435" s="50"/>
      <c r="E1435" s="50"/>
      <c r="F1435" s="50"/>
      <c r="G1435" s="50"/>
      <c r="H1435" s="50"/>
      <c r="I1435" s="50"/>
      <c r="J1435" s="50"/>
      <c r="K1435" s="50"/>
      <c r="L1435" s="50"/>
      <c r="M1435" s="50"/>
      <c r="N1435" s="50"/>
      <c r="O1435" s="50"/>
      <c r="P1435" s="50"/>
      <c r="Q1435" s="50"/>
      <c r="R1435" s="50"/>
    </row>
    <row r="1436" spans="1:18" x14ac:dyDescent="0.25">
      <c r="C1436" s="50"/>
      <c r="D1436" s="50"/>
      <c r="E1436" s="50"/>
      <c r="F1436" s="50"/>
      <c r="G1436" s="50"/>
      <c r="H1436" s="50"/>
      <c r="I1436" s="50"/>
      <c r="J1436" s="50"/>
      <c r="K1436" s="50"/>
      <c r="L1436" s="50"/>
      <c r="M1436" s="50"/>
      <c r="N1436" s="50"/>
      <c r="O1436" s="50"/>
      <c r="P1436" s="50"/>
      <c r="Q1436" s="50"/>
      <c r="R1436" s="50"/>
    </row>
    <row r="1437" spans="1:18" x14ac:dyDescent="0.25">
      <c r="A1437" s="52" t="s">
        <v>899</v>
      </c>
      <c r="B1437" s="53"/>
      <c r="C1437" s="50"/>
      <c r="D1437" s="50"/>
      <c r="E1437" s="50"/>
      <c r="F1437" s="50"/>
      <c r="G1437" s="50"/>
      <c r="H1437" s="50"/>
      <c r="I1437" s="50"/>
      <c r="J1437" s="50"/>
      <c r="K1437" s="50"/>
      <c r="L1437" s="50"/>
      <c r="M1437" s="50"/>
      <c r="N1437" s="50"/>
      <c r="O1437" s="50"/>
      <c r="P1437" s="50"/>
      <c r="Q1437" s="50"/>
      <c r="R1437" s="50"/>
    </row>
    <row r="1438" spans="1:18" x14ac:dyDescent="0.25">
      <c r="A1438" s="43" t="s">
        <v>217</v>
      </c>
      <c r="C1438" s="50">
        <f>374170+76009+47740+833</f>
        <v>498752</v>
      </c>
      <c r="D1438" s="54">
        <f>465100+42322+66275</f>
        <v>573697</v>
      </c>
      <c r="E1438" s="67">
        <v>513384</v>
      </c>
      <c r="F1438" s="67">
        <f>479339+9924</f>
        <v>489263</v>
      </c>
      <c r="G1438" s="67">
        <v>562625</v>
      </c>
      <c r="H1438" s="67">
        <v>476000</v>
      </c>
      <c r="I1438" s="50">
        <f>H1438*1.025</f>
        <v>487899.99999999994</v>
      </c>
      <c r="J1438" s="50">
        <f>I1438*1.029</f>
        <v>502049.09999999992</v>
      </c>
      <c r="K1438" s="54">
        <f>J1438*1.031</f>
        <v>517612.62209999986</v>
      </c>
      <c r="L1438" s="54">
        <f>K1438*1.033</f>
        <v>534693.83862929977</v>
      </c>
      <c r="M1438" s="54">
        <f>L1438*1.032</f>
        <v>551804.04146543739</v>
      </c>
      <c r="N1438" s="54">
        <f>M1438*1.03</f>
        <v>568358.16270940052</v>
      </c>
      <c r="O1438" s="54">
        <f>N1438*1.032</f>
        <v>586545.62391610141</v>
      </c>
      <c r="P1438" s="54">
        <f>O1438*1.034</f>
        <v>606488.17512924888</v>
      </c>
      <c r="Q1438" s="54">
        <f>P1438*1.034</f>
        <v>627108.77308364341</v>
      </c>
      <c r="R1438" s="54">
        <f>Q1438*1.034</f>
        <v>648430.47136848734</v>
      </c>
    </row>
    <row r="1439" spans="1:18" x14ac:dyDescent="0.25">
      <c r="A1439" s="43" t="s">
        <v>219</v>
      </c>
      <c r="C1439" s="50">
        <v>38102</v>
      </c>
      <c r="D1439" s="54">
        <f>26837+1330</f>
        <v>28167</v>
      </c>
      <c r="E1439" s="54">
        <v>27110</v>
      </c>
      <c r="F1439" s="54">
        <v>20823</v>
      </c>
      <c r="G1439" s="50">
        <v>19681</v>
      </c>
      <c r="H1439" s="50">
        <f>19000+9000</f>
        <v>28000</v>
      </c>
      <c r="I1439" s="54">
        <f t="shared" ref="I1439" si="807">H1439*1.023</f>
        <v>28643.999999999996</v>
      </c>
      <c r="J1439" s="54">
        <f t="shared" ref="J1439:K1439" si="808">I1439*1.024</f>
        <v>29331.455999999998</v>
      </c>
      <c r="K1439" s="54">
        <f t="shared" si="808"/>
        <v>30035.410943999999</v>
      </c>
      <c r="L1439" s="54">
        <f t="shared" ref="L1439" si="809">K1439*1.023</f>
        <v>30726.225395711997</v>
      </c>
      <c r="M1439" s="54">
        <f t="shared" ref="M1439" si="810">L1439*1.022</f>
        <v>31402.202354417663</v>
      </c>
      <c r="N1439" s="54">
        <f t="shared" ref="N1439" si="811">M1439*1.023</f>
        <v>32124.453008569268</v>
      </c>
      <c r="O1439" s="54">
        <f t="shared" ref="O1439:P1439" si="812">N1439*1.025</f>
        <v>32927.564333783499</v>
      </c>
      <c r="P1439" s="54">
        <f t="shared" si="812"/>
        <v>33750.753442128087</v>
      </c>
      <c r="Q1439" s="54">
        <f t="shared" ref="Q1439:R1439" si="813">P1439*1.024</f>
        <v>34560.771524739161</v>
      </c>
      <c r="R1439" s="54">
        <f t="shared" si="813"/>
        <v>35390.230041332899</v>
      </c>
    </row>
    <row r="1440" spans="1:18" x14ac:dyDescent="0.25">
      <c r="A1440" s="43" t="s">
        <v>220</v>
      </c>
      <c r="C1440" s="50">
        <v>108691</v>
      </c>
      <c r="D1440" s="54">
        <v>61908</v>
      </c>
      <c r="E1440" s="54">
        <v>80595</v>
      </c>
      <c r="F1440" s="54">
        <v>107028</v>
      </c>
      <c r="G1440" s="54">
        <v>-55315</v>
      </c>
      <c r="H1440" s="54">
        <v>60300</v>
      </c>
      <c r="I1440" s="50">
        <f>H1440*1.025</f>
        <v>61807.499999999993</v>
      </c>
      <c r="J1440" s="50">
        <f>I1440*1.029</f>
        <v>63599.917499999989</v>
      </c>
      <c r="K1440" s="54">
        <f>J1440*1.031</f>
        <v>65571.514942499984</v>
      </c>
      <c r="L1440" s="54">
        <f>K1440*1.033</f>
        <v>67735.374935602478</v>
      </c>
      <c r="M1440" s="54">
        <f>L1440*1.032</f>
        <v>69902.906933541759</v>
      </c>
      <c r="N1440" s="54">
        <f>M1440*1.03</f>
        <v>71999.994141548013</v>
      </c>
      <c r="O1440" s="54">
        <f>N1440*1.032</f>
        <v>74303.993954077552</v>
      </c>
      <c r="P1440" s="54">
        <f>O1440*1.034</f>
        <v>76830.329748516189</v>
      </c>
      <c r="Q1440" s="54">
        <f>P1440*1.034</f>
        <v>79442.560959965747</v>
      </c>
      <c r="R1440" s="54">
        <f>Q1440*1.034</f>
        <v>82143.608032604592</v>
      </c>
    </row>
    <row r="1441" spans="1:18" x14ac:dyDescent="0.25">
      <c r="A1441" s="43" t="s">
        <v>221</v>
      </c>
      <c r="C1441" s="57">
        <v>23916</v>
      </c>
      <c r="D1441" s="180">
        <v>22498</v>
      </c>
      <c r="E1441" s="180">
        <v>26515</v>
      </c>
      <c r="F1441" s="98">
        <v>23092</v>
      </c>
      <c r="G1441" s="180">
        <v>19234</v>
      </c>
      <c r="H1441" s="180">
        <v>11560</v>
      </c>
      <c r="I1441" s="180">
        <v>11560</v>
      </c>
      <c r="J1441" s="180">
        <v>16660</v>
      </c>
      <c r="K1441" s="180">
        <v>17060</v>
      </c>
      <c r="L1441" s="180">
        <v>17700</v>
      </c>
      <c r="M1441" s="180">
        <v>17700</v>
      </c>
      <c r="N1441" s="180">
        <v>18500</v>
      </c>
      <c r="O1441" s="180">
        <v>18500</v>
      </c>
      <c r="P1441" s="180">
        <v>19000</v>
      </c>
      <c r="Q1441" s="180">
        <v>19740</v>
      </c>
      <c r="R1441" s="180">
        <v>19740</v>
      </c>
    </row>
    <row r="1442" spans="1:18" x14ac:dyDescent="0.25">
      <c r="A1442" s="43" t="s">
        <v>900</v>
      </c>
      <c r="C1442" s="50">
        <v>65246</v>
      </c>
      <c r="D1442" s="50">
        <v>63000</v>
      </c>
      <c r="E1442" s="50">
        <v>58548</v>
      </c>
      <c r="F1442" s="50">
        <v>89000</v>
      </c>
      <c r="G1442" s="50">
        <v>83000</v>
      </c>
      <c r="H1442" s="50">
        <v>86000</v>
      </c>
      <c r="I1442" s="54">
        <v>91000</v>
      </c>
      <c r="J1442" s="54">
        <f>I1442*1.05</f>
        <v>95550</v>
      </c>
      <c r="K1442" s="54">
        <f t="shared" ref="K1442:R1442" si="814">J1442*1.05</f>
        <v>100327.5</v>
      </c>
      <c r="L1442" s="54">
        <f t="shared" si="814"/>
        <v>105343.875</v>
      </c>
      <c r="M1442" s="54">
        <f t="shared" si="814"/>
        <v>110611.06875000001</v>
      </c>
      <c r="N1442" s="54">
        <f t="shared" si="814"/>
        <v>116141.6221875</v>
      </c>
      <c r="O1442" s="54">
        <f t="shared" si="814"/>
        <v>121948.70329687501</v>
      </c>
      <c r="P1442" s="54">
        <f t="shared" si="814"/>
        <v>128046.13846171877</v>
      </c>
      <c r="Q1442" s="54">
        <f t="shared" si="814"/>
        <v>134448.44538480471</v>
      </c>
      <c r="R1442" s="54">
        <f t="shared" si="814"/>
        <v>141170.86765404497</v>
      </c>
    </row>
    <row r="1443" spans="1:18" x14ac:dyDescent="0.25">
      <c r="A1443" s="43" t="s">
        <v>901</v>
      </c>
      <c r="C1443" s="50"/>
      <c r="D1443" s="50">
        <v>50000</v>
      </c>
      <c r="E1443" s="50"/>
      <c r="F1443" s="50"/>
      <c r="G1443" s="50">
        <v>0</v>
      </c>
      <c r="H1443" s="50"/>
      <c r="I1443" s="54"/>
      <c r="J1443" s="54"/>
      <c r="K1443" s="54"/>
      <c r="L1443" s="54"/>
      <c r="M1443" s="54"/>
      <c r="N1443" s="54"/>
      <c r="O1443" s="54"/>
      <c r="P1443" s="54"/>
      <c r="Q1443" s="54"/>
      <c r="R1443" s="54"/>
    </row>
    <row r="1444" spans="1:18" x14ac:dyDescent="0.25">
      <c r="A1444" s="43" t="s">
        <v>902</v>
      </c>
      <c r="C1444" s="50"/>
      <c r="D1444" s="50"/>
      <c r="E1444" s="50"/>
      <c r="F1444" s="50">
        <v>59455</v>
      </c>
      <c r="G1444" s="50">
        <v>44140</v>
      </c>
      <c r="H1444" s="50">
        <v>0</v>
      </c>
      <c r="I1444" s="54">
        <f>H1444*1.02</f>
        <v>0</v>
      </c>
      <c r="J1444" s="54">
        <f>I1444*1.021</f>
        <v>0</v>
      </c>
      <c r="K1444" s="54">
        <f>J1444*1.023</f>
        <v>0</v>
      </c>
      <c r="L1444" s="54">
        <f>K1444*1.024</f>
        <v>0</v>
      </c>
      <c r="M1444" s="54">
        <f>L1444*1.023</f>
        <v>0</v>
      </c>
      <c r="N1444" s="54">
        <f>M1444*1.021</f>
        <v>0</v>
      </c>
      <c r="O1444" s="54">
        <f>N1444*1.022</f>
        <v>0</v>
      </c>
      <c r="P1444" s="54">
        <f>O1444*1.025</f>
        <v>0</v>
      </c>
      <c r="Q1444" s="54">
        <f>P1444*1.025</f>
        <v>0</v>
      </c>
      <c r="R1444" s="54">
        <f>Q1444*1.025</f>
        <v>0</v>
      </c>
    </row>
    <row r="1445" spans="1:18" x14ac:dyDescent="0.25">
      <c r="A1445" s="43" t="s">
        <v>903</v>
      </c>
      <c r="C1445" s="50">
        <v>0</v>
      </c>
      <c r="D1445" s="68">
        <v>0</v>
      </c>
      <c r="E1445" s="68"/>
      <c r="F1445" s="68">
        <v>1400</v>
      </c>
      <c r="G1445" s="68">
        <v>780</v>
      </c>
      <c r="H1445" s="68">
        <v>5000</v>
      </c>
      <c r="I1445" s="54">
        <f t="shared" ref="I1445:I1448" si="815">H1445*1.023</f>
        <v>5115</v>
      </c>
      <c r="J1445" s="54">
        <f t="shared" ref="J1445:K1448" si="816">I1445*1.024</f>
        <v>5237.76</v>
      </c>
      <c r="K1445" s="54">
        <f t="shared" si="816"/>
        <v>5363.4662400000007</v>
      </c>
      <c r="L1445" s="54">
        <f t="shared" ref="L1445:L1448" si="817">K1445*1.023</f>
        <v>5486.8259635200002</v>
      </c>
      <c r="M1445" s="54">
        <f t="shared" ref="M1445:M1448" si="818">L1445*1.022</f>
        <v>5607.5361347174403</v>
      </c>
      <c r="N1445" s="54">
        <f t="shared" ref="N1445:N1448" si="819">M1445*1.023</f>
        <v>5736.5094658159405</v>
      </c>
      <c r="O1445" s="54">
        <f t="shared" ref="O1445:P1448" si="820">N1445*1.025</f>
        <v>5879.9222024613382</v>
      </c>
      <c r="P1445" s="54">
        <f t="shared" si="820"/>
        <v>6026.920257522871</v>
      </c>
      <c r="Q1445" s="54">
        <f t="shared" ref="Q1445:R1448" si="821">P1445*1.024</f>
        <v>6171.56634370342</v>
      </c>
      <c r="R1445" s="54">
        <f t="shared" si="821"/>
        <v>6319.6839359523019</v>
      </c>
    </row>
    <row r="1446" spans="1:18" x14ac:dyDescent="0.25">
      <c r="A1446" s="43" t="s">
        <v>904</v>
      </c>
      <c r="C1446" s="50">
        <v>12818</v>
      </c>
      <c r="D1446" s="54">
        <v>26167</v>
      </c>
      <c r="E1446">
        <v>27392</v>
      </c>
      <c r="F1446" s="54">
        <v>12895</v>
      </c>
      <c r="G1446" s="50">
        <v>3279</v>
      </c>
      <c r="H1446" s="50">
        <f>28000-3000</f>
        <v>25000</v>
      </c>
      <c r="I1446" s="54">
        <f t="shared" si="815"/>
        <v>25574.999999999996</v>
      </c>
      <c r="J1446" s="54">
        <f t="shared" si="816"/>
        <v>26188.799999999996</v>
      </c>
      <c r="K1446" s="54">
        <f t="shared" si="816"/>
        <v>26817.331199999997</v>
      </c>
      <c r="L1446" s="54">
        <f t="shared" si="817"/>
        <v>27434.129817599995</v>
      </c>
      <c r="M1446" s="54">
        <f t="shared" si="818"/>
        <v>28037.680673587194</v>
      </c>
      <c r="N1446" s="54">
        <f t="shared" si="819"/>
        <v>28682.547329079698</v>
      </c>
      <c r="O1446" s="54">
        <f t="shared" si="820"/>
        <v>29399.611012306686</v>
      </c>
      <c r="P1446" s="54">
        <f t="shared" si="820"/>
        <v>30134.60128761435</v>
      </c>
      <c r="Q1446" s="54">
        <f t="shared" si="821"/>
        <v>30857.831718517096</v>
      </c>
      <c r="R1446" s="54">
        <f t="shared" si="821"/>
        <v>31598.419679761508</v>
      </c>
    </row>
    <row r="1447" spans="1:18" x14ac:dyDescent="0.25">
      <c r="A1447" s="52" t="s">
        <v>905</v>
      </c>
      <c r="B1447" s="53"/>
      <c r="C1447" s="50">
        <v>13030</v>
      </c>
      <c r="D1447" s="54">
        <v>12924</v>
      </c>
      <c r="E1447" s="54">
        <v>6881</v>
      </c>
      <c r="F1447" s="54">
        <v>6915</v>
      </c>
      <c r="G1447" s="50">
        <v>3692</v>
      </c>
      <c r="H1447" s="50">
        <v>8700</v>
      </c>
      <c r="I1447" s="54">
        <f t="shared" si="815"/>
        <v>8900.0999999999985</v>
      </c>
      <c r="J1447" s="54">
        <f t="shared" si="816"/>
        <v>9113.7023999999983</v>
      </c>
      <c r="K1447" s="54">
        <f t="shared" si="816"/>
        <v>9332.4312575999993</v>
      </c>
      <c r="L1447" s="54">
        <f t="shared" si="817"/>
        <v>9547.0771765247991</v>
      </c>
      <c r="M1447" s="54">
        <f t="shared" si="818"/>
        <v>9757.1128744083453</v>
      </c>
      <c r="N1447" s="54">
        <f t="shared" si="819"/>
        <v>9981.5264705197369</v>
      </c>
      <c r="O1447" s="54">
        <f t="shared" si="820"/>
        <v>10231.064632282729</v>
      </c>
      <c r="P1447" s="54">
        <f t="shared" si="820"/>
        <v>10486.841248089797</v>
      </c>
      <c r="Q1447" s="54">
        <f t="shared" si="821"/>
        <v>10738.525438043953</v>
      </c>
      <c r="R1447" s="54">
        <f t="shared" si="821"/>
        <v>10996.250048557007</v>
      </c>
    </row>
    <row r="1448" spans="1:18" x14ac:dyDescent="0.25">
      <c r="A1448" s="43" t="s">
        <v>906</v>
      </c>
      <c r="C1448" s="50">
        <v>129</v>
      </c>
      <c r="D1448" s="54">
        <v>1307</v>
      </c>
      <c r="E1448">
        <v>422</v>
      </c>
      <c r="F1448" s="54">
        <v>263</v>
      </c>
      <c r="G1448" s="54">
        <v>448</v>
      </c>
      <c r="H1448" s="54">
        <v>500</v>
      </c>
      <c r="I1448" s="54">
        <f t="shared" si="815"/>
        <v>511.49999999999994</v>
      </c>
      <c r="J1448" s="54">
        <f t="shared" si="816"/>
        <v>523.77599999999995</v>
      </c>
      <c r="K1448" s="54">
        <f t="shared" si="816"/>
        <v>536.34662400000002</v>
      </c>
      <c r="L1448" s="54">
        <f t="shared" si="817"/>
        <v>548.68259635200002</v>
      </c>
      <c r="M1448" s="54">
        <f t="shared" si="818"/>
        <v>560.75361347174407</v>
      </c>
      <c r="N1448" s="54">
        <f t="shared" si="819"/>
        <v>573.6509465815941</v>
      </c>
      <c r="O1448" s="54">
        <f t="shared" si="820"/>
        <v>587.99222024613391</v>
      </c>
      <c r="P1448" s="54">
        <f t="shared" si="820"/>
        <v>602.69202575228724</v>
      </c>
      <c r="Q1448" s="54">
        <f t="shared" si="821"/>
        <v>617.15663437034209</v>
      </c>
      <c r="R1448" s="54">
        <f t="shared" si="821"/>
        <v>631.96839359523028</v>
      </c>
    </row>
    <row r="1449" spans="1:18" x14ac:dyDescent="0.25">
      <c r="A1449" s="52" t="s">
        <v>907</v>
      </c>
      <c r="B1449" s="53"/>
      <c r="C1449" s="50">
        <v>83110</v>
      </c>
      <c r="D1449" s="54">
        <v>39861</v>
      </c>
      <c r="E1449">
        <f>53677-10400</f>
        <v>43277</v>
      </c>
      <c r="F1449" s="54">
        <f>52542-6226</f>
        <v>46316</v>
      </c>
      <c r="G1449" s="50">
        <v>55642</v>
      </c>
      <c r="H1449" s="50">
        <v>57000</v>
      </c>
      <c r="I1449" s="54">
        <v>58392.599999999991</v>
      </c>
      <c r="J1449" s="54">
        <v>59899.57680000001</v>
      </c>
      <c r="K1449" s="54">
        <v>61472.020663200004</v>
      </c>
      <c r="L1449" s="54">
        <v>63066.805767453581</v>
      </c>
      <c r="M1449" s="54">
        <v>64643.993694778575</v>
      </c>
      <c r="N1449" s="54">
        <v>66283.790685876491</v>
      </c>
      <c r="O1449" s="54">
        <v>68095.247239312564</v>
      </c>
      <c r="P1449" s="54">
        <v>69987.476651848512</v>
      </c>
      <c r="Q1449" s="54">
        <v>71882.061234956753</v>
      </c>
      <c r="R1449" s="54">
        <v>73830.413766375117</v>
      </c>
    </row>
    <row r="1450" spans="1:18" x14ac:dyDescent="0.25">
      <c r="A1450" s="43" t="s">
        <v>908</v>
      </c>
      <c r="C1450" s="71">
        <v>10400</v>
      </c>
      <c r="D1450" s="71">
        <v>10400</v>
      </c>
      <c r="E1450" s="71">
        <v>10400</v>
      </c>
      <c r="F1450" s="71">
        <v>10400</v>
      </c>
      <c r="G1450" s="71">
        <v>10400</v>
      </c>
      <c r="H1450" s="73">
        <v>13210</v>
      </c>
      <c r="I1450" s="73">
        <v>13520</v>
      </c>
      <c r="J1450" s="73">
        <v>13830</v>
      </c>
      <c r="K1450" s="73">
        <v>14170</v>
      </c>
      <c r="L1450" s="73">
        <v>14500</v>
      </c>
      <c r="M1450" s="73">
        <v>14810</v>
      </c>
      <c r="N1450" s="73">
        <v>15160</v>
      </c>
      <c r="O1450" s="73">
        <v>15530</v>
      </c>
      <c r="P1450" s="73">
        <v>15930</v>
      </c>
      <c r="Q1450" s="73">
        <v>16310</v>
      </c>
      <c r="R1450" s="73">
        <v>16310</v>
      </c>
    </row>
    <row r="1451" spans="1:18" x14ac:dyDescent="0.25">
      <c r="A1451" s="52" t="s">
        <v>36</v>
      </c>
      <c r="B1451" s="53"/>
      <c r="C1451" s="50">
        <v>3463</v>
      </c>
      <c r="D1451" s="54">
        <v>4795</v>
      </c>
      <c r="E1451" s="54">
        <v>6890</v>
      </c>
      <c r="F1451" s="54">
        <v>4286</v>
      </c>
      <c r="G1451" s="50">
        <v>3614</v>
      </c>
      <c r="H1451" s="50">
        <f>6200-500</f>
        <v>5700</v>
      </c>
      <c r="I1451" s="54">
        <f t="shared" ref="I1451:I1452" si="822">H1451*1.023</f>
        <v>5831.0999999999995</v>
      </c>
      <c r="J1451" s="54">
        <f t="shared" ref="J1451:K1452" si="823">I1451*1.024</f>
        <v>5971.0463999999993</v>
      </c>
      <c r="K1451" s="54">
        <f t="shared" si="823"/>
        <v>6114.3515135999996</v>
      </c>
      <c r="L1451" s="54">
        <f t="shared" ref="L1451:L1452" si="824">K1451*1.023</f>
        <v>6254.981598412799</v>
      </c>
      <c r="M1451" s="54">
        <f t="shared" ref="M1451:M1452" si="825">L1451*1.022</f>
        <v>6392.5911935778804</v>
      </c>
      <c r="N1451" s="54">
        <f t="shared" ref="N1451:N1452" si="826">M1451*1.023</f>
        <v>6539.6207910301709</v>
      </c>
      <c r="O1451" s="54">
        <f t="shared" ref="O1451:P1452" si="827">N1451*1.025</f>
        <v>6703.1113108059244</v>
      </c>
      <c r="P1451" s="54">
        <f t="shared" si="827"/>
        <v>6870.6890935760721</v>
      </c>
      <c r="Q1451" s="54">
        <f t="shared" ref="Q1451:R1452" si="828">P1451*1.024</f>
        <v>7035.5856318218976</v>
      </c>
      <c r="R1451" s="54">
        <f t="shared" si="828"/>
        <v>7204.4396869856237</v>
      </c>
    </row>
    <row r="1452" spans="1:18" x14ac:dyDescent="0.25">
      <c r="A1452" s="52" t="s">
        <v>909</v>
      </c>
      <c r="B1452" s="53"/>
      <c r="C1452" s="54">
        <v>5195</v>
      </c>
      <c r="D1452" s="54">
        <v>3244</v>
      </c>
      <c r="E1452">
        <v>4279</v>
      </c>
      <c r="F1452" s="54">
        <v>0</v>
      </c>
      <c r="G1452" s="54">
        <v>6292</v>
      </c>
      <c r="H1452" s="54">
        <v>5000</v>
      </c>
      <c r="I1452" s="54">
        <f t="shared" si="822"/>
        <v>5115</v>
      </c>
      <c r="J1452" s="54">
        <f t="shared" si="823"/>
        <v>5237.76</v>
      </c>
      <c r="K1452" s="54">
        <f t="shared" si="823"/>
        <v>5363.4662400000007</v>
      </c>
      <c r="L1452" s="54">
        <f t="shared" si="824"/>
        <v>5486.8259635200002</v>
      </c>
      <c r="M1452" s="54">
        <f t="shared" si="825"/>
        <v>5607.5361347174403</v>
      </c>
      <c r="N1452" s="54">
        <f t="shared" si="826"/>
        <v>5736.5094658159405</v>
      </c>
      <c r="O1452" s="54">
        <f t="shared" si="827"/>
        <v>5879.9222024613382</v>
      </c>
      <c r="P1452" s="54">
        <f t="shared" si="827"/>
        <v>6026.920257522871</v>
      </c>
      <c r="Q1452" s="54">
        <f t="shared" si="828"/>
        <v>6171.56634370342</v>
      </c>
      <c r="R1452" s="54">
        <f t="shared" si="828"/>
        <v>6319.6839359523019</v>
      </c>
    </row>
    <row r="1453" spans="1:18" x14ac:dyDescent="0.25">
      <c r="A1453" s="52" t="s">
        <v>910</v>
      </c>
      <c r="B1453" s="53"/>
      <c r="C1453" s="50"/>
      <c r="D1453" s="50"/>
      <c r="E1453" s="50"/>
      <c r="F1453" s="50"/>
      <c r="G1453" s="50"/>
      <c r="H1453" s="50"/>
      <c r="I1453" s="50"/>
      <c r="J1453" s="50"/>
      <c r="K1453" s="50"/>
      <c r="L1453" s="50"/>
      <c r="M1453" s="50"/>
      <c r="N1453" s="50"/>
      <c r="O1453" s="50"/>
      <c r="P1453" s="50"/>
      <c r="Q1453" s="50"/>
      <c r="R1453" s="50"/>
    </row>
    <row r="1454" spans="1:18" x14ac:dyDescent="0.25">
      <c r="A1454" s="52" t="s">
        <v>911</v>
      </c>
      <c r="B1454" s="53"/>
      <c r="C1454" s="50"/>
      <c r="D1454" s="50"/>
      <c r="E1454" s="50"/>
      <c r="F1454" s="50"/>
      <c r="G1454" s="50"/>
      <c r="H1454" s="50"/>
      <c r="I1454" s="50"/>
      <c r="J1454" s="50"/>
      <c r="K1454" s="50"/>
      <c r="L1454" s="50"/>
      <c r="M1454" s="50"/>
      <c r="N1454" s="50"/>
      <c r="O1454" s="50"/>
      <c r="P1454" s="50"/>
      <c r="Q1454" s="50"/>
      <c r="R1454" s="50"/>
    </row>
    <row r="1455" spans="1:18" x14ac:dyDescent="0.25">
      <c r="A1455" s="52" t="s">
        <v>912</v>
      </c>
      <c r="B1455" s="53"/>
      <c r="C1455" s="50">
        <v>26999</v>
      </c>
      <c r="D1455" s="54">
        <v>19866</v>
      </c>
      <c r="E1455" s="43">
        <v>25995</v>
      </c>
      <c r="F1455" s="54">
        <v>30000</v>
      </c>
      <c r="G1455" s="54">
        <v>23000</v>
      </c>
      <c r="H1455" s="54">
        <v>31000</v>
      </c>
      <c r="I1455" s="54">
        <f t="shared" ref="I1455" si="829">H1455*1.023</f>
        <v>31712.999999999996</v>
      </c>
      <c r="J1455" s="54">
        <f t="shared" ref="J1455:K1455" si="830">I1455*1.024</f>
        <v>32474.111999999997</v>
      </c>
      <c r="K1455" s="54">
        <f t="shared" si="830"/>
        <v>33253.490687999998</v>
      </c>
      <c r="L1455" s="54">
        <f t="shared" ref="L1455" si="831">K1455*1.023</f>
        <v>34018.320973823997</v>
      </c>
      <c r="M1455" s="54">
        <f t="shared" ref="M1455" si="832">L1455*1.022</f>
        <v>34766.724035248124</v>
      </c>
      <c r="N1455" s="54">
        <f t="shared" ref="N1455" si="833">M1455*1.023</f>
        <v>35566.358688058826</v>
      </c>
      <c r="O1455" s="54">
        <f t="shared" ref="O1455:P1455" si="834">N1455*1.025</f>
        <v>36455.517655260293</v>
      </c>
      <c r="P1455" s="54">
        <f t="shared" si="834"/>
        <v>37366.905596641795</v>
      </c>
      <c r="Q1455" s="54">
        <f t="shared" ref="Q1455:R1455" si="835">P1455*1.024</f>
        <v>38263.711330961196</v>
      </c>
      <c r="R1455" s="54">
        <f t="shared" si="835"/>
        <v>39182.040402904262</v>
      </c>
    </row>
    <row r="1456" spans="1:18" x14ac:dyDescent="0.25">
      <c r="A1456" s="52" t="s">
        <v>913</v>
      </c>
      <c r="B1456" s="53"/>
      <c r="C1456" s="50">
        <v>130041</v>
      </c>
      <c r="D1456" s="54">
        <v>158017</v>
      </c>
      <c r="E1456" s="43">
        <f>186728-10417-89</f>
        <v>176222</v>
      </c>
      <c r="F1456" s="54">
        <v>125004</v>
      </c>
      <c r="G1456" s="50">
        <v>105236</v>
      </c>
      <c r="H1456" s="50">
        <v>157800</v>
      </c>
      <c r="I1456" s="54">
        <v>161589</v>
      </c>
      <c r="J1456" s="54">
        <v>165876.111</v>
      </c>
      <c r="K1456" s="54">
        <v>170446.30704900002</v>
      </c>
      <c r="L1456" s="54">
        <v>175234.33444817696</v>
      </c>
      <c r="M1456" s="54">
        <v>179985.88830020948</v>
      </c>
      <c r="N1456" s="54">
        <v>184773.12200330466</v>
      </c>
      <c r="O1456" s="50">
        <v>190059.43507374331</v>
      </c>
      <c r="P1456" s="54">
        <v>195695.91478902497</v>
      </c>
      <c r="Q1456" s="54">
        <v>201409.3763316783</v>
      </c>
      <c r="R1456" s="54">
        <v>207294.53077733764</v>
      </c>
    </row>
    <row r="1457" spans="1:18" x14ac:dyDescent="0.25">
      <c r="A1457" s="43" t="s">
        <v>220</v>
      </c>
      <c r="C1457" s="50">
        <v>10500</v>
      </c>
      <c r="D1457" s="54">
        <v>9650</v>
      </c>
      <c r="E1457" s="43">
        <v>10417</v>
      </c>
      <c r="F1457" s="54">
        <v>9525</v>
      </c>
      <c r="G1457" s="54">
        <v>8091</v>
      </c>
      <c r="H1457" s="54">
        <v>15800</v>
      </c>
      <c r="I1457" s="50">
        <f>H1457*1.025</f>
        <v>16194.999999999998</v>
      </c>
      <c r="J1457" s="50">
        <f>I1457*1.029</f>
        <v>16664.654999999995</v>
      </c>
      <c r="K1457" s="54">
        <f>J1457*1.031</f>
        <v>17181.259304999992</v>
      </c>
      <c r="L1457" s="54">
        <f>K1457*1.033</f>
        <v>17748.240862064991</v>
      </c>
      <c r="M1457" s="54">
        <f>L1457*1.032</f>
        <v>18316.184569651072</v>
      </c>
      <c r="N1457" s="54">
        <f>M1457*1.03</f>
        <v>18865.670106740603</v>
      </c>
      <c r="O1457" s="54">
        <f>N1457*1.032</f>
        <v>19469.371550156302</v>
      </c>
      <c r="P1457" s="54">
        <f>O1457*1.034</f>
        <v>20131.330182861617</v>
      </c>
      <c r="Q1457" s="54">
        <f>P1457*1.034</f>
        <v>20815.795409078914</v>
      </c>
      <c r="R1457" s="54">
        <f>Q1457*1.034</f>
        <v>21523.532452987598</v>
      </c>
    </row>
    <row r="1458" spans="1:18" x14ac:dyDescent="0.25">
      <c r="A1458" s="52" t="s">
        <v>914</v>
      </c>
      <c r="B1458" s="53"/>
      <c r="C1458" s="50">
        <v>11660</v>
      </c>
      <c r="D1458" s="54">
        <v>0</v>
      </c>
      <c r="E1458" s="43">
        <v>8030</v>
      </c>
      <c r="F1458" s="54">
        <v>613</v>
      </c>
      <c r="G1458" s="54">
        <v>3000</v>
      </c>
      <c r="H1458" s="54">
        <v>10000</v>
      </c>
      <c r="I1458" s="54">
        <v>10233</v>
      </c>
      <c r="J1458" s="54">
        <v>10486.279500000001</v>
      </c>
      <c r="K1458" s="54">
        <v>10749.024820500001</v>
      </c>
      <c r="L1458" s="54">
        <v>11012.5637134965</v>
      </c>
      <c r="M1458" s="54">
        <v>11271.689710948547</v>
      </c>
      <c r="N1458" s="54">
        <v>11543.110722273866</v>
      </c>
      <c r="O1458" s="54">
        <v>11844.225802743418</v>
      </c>
      <c r="P1458" s="54">
        <v>12156.966670339034</v>
      </c>
      <c r="Q1458" s="54">
        <v>12467.845892752675</v>
      </c>
      <c r="R1458" s="54">
        <v>12786.836025263307</v>
      </c>
    </row>
    <row r="1459" spans="1:18" x14ac:dyDescent="0.25">
      <c r="A1459" s="43" t="s">
        <v>915</v>
      </c>
      <c r="C1459" s="199">
        <v>1117509</v>
      </c>
      <c r="D1459" s="199">
        <v>1136688</v>
      </c>
      <c r="E1459" s="199">
        <v>1359118</v>
      </c>
      <c r="F1459" s="199">
        <v>1365401</v>
      </c>
      <c r="G1459" s="199"/>
      <c r="H1459" s="199"/>
      <c r="I1459" s="199"/>
      <c r="J1459" s="199"/>
      <c r="K1459" s="199"/>
      <c r="L1459" s="199"/>
      <c r="M1459" s="199"/>
      <c r="N1459" s="199"/>
      <c r="O1459" s="199"/>
      <c r="P1459" s="199"/>
      <c r="Q1459" s="199"/>
      <c r="R1459" s="199"/>
    </row>
    <row r="1460" spans="1:18" x14ac:dyDescent="0.25">
      <c r="A1460" s="52" t="s">
        <v>916</v>
      </c>
      <c r="C1460" s="199"/>
      <c r="D1460" s="199"/>
      <c r="E1460" s="199"/>
      <c r="F1460" s="199"/>
      <c r="G1460" s="199">
        <v>948387</v>
      </c>
      <c r="H1460" s="199">
        <v>938567</v>
      </c>
      <c r="I1460" s="199">
        <v>946359</v>
      </c>
      <c r="J1460" s="199">
        <v>954915</v>
      </c>
      <c r="K1460" s="199">
        <v>957495</v>
      </c>
      <c r="L1460" s="200">
        <v>963853</v>
      </c>
      <c r="M1460" s="201">
        <f t="shared" ref="M1460" si="836">L1460*1.022</f>
        <v>985057.76600000006</v>
      </c>
      <c r="N1460" s="201">
        <f t="shared" ref="N1460" si="837">M1460*1.023</f>
        <v>1007714.094618</v>
      </c>
      <c r="O1460" s="201">
        <f t="shared" ref="O1460:P1460" si="838">N1460*1.025</f>
        <v>1032906.9469834499</v>
      </c>
      <c r="P1460" s="201">
        <f t="shared" si="838"/>
        <v>1058729.6206580361</v>
      </c>
      <c r="Q1460" s="201">
        <f t="shared" ref="Q1460:R1460" si="839">P1460*1.024</f>
        <v>1084139.1315538289</v>
      </c>
      <c r="R1460" s="201">
        <f t="shared" si="839"/>
        <v>1110158.4707111209</v>
      </c>
    </row>
    <row r="1461" spans="1:18" x14ac:dyDescent="0.25">
      <c r="A1461" s="52" t="s">
        <v>917</v>
      </c>
      <c r="C1461" s="199"/>
      <c r="D1461" s="199"/>
      <c r="E1461" s="199"/>
      <c r="F1461" s="199"/>
      <c r="G1461" s="199">
        <v>32509</v>
      </c>
      <c r="H1461" s="199">
        <v>31500</v>
      </c>
      <c r="I1461" s="199">
        <v>32200</v>
      </c>
      <c r="J1461" s="199">
        <v>33000</v>
      </c>
      <c r="K1461" s="199">
        <v>33800</v>
      </c>
      <c r="L1461" s="200">
        <v>34600</v>
      </c>
      <c r="M1461" s="201">
        <v>35400</v>
      </c>
      <c r="N1461" s="201">
        <v>36200</v>
      </c>
      <c r="O1461" s="201">
        <v>37100</v>
      </c>
      <c r="P1461" s="201">
        <v>38000</v>
      </c>
      <c r="Q1461" s="201">
        <v>38900</v>
      </c>
      <c r="R1461" s="201">
        <v>38900</v>
      </c>
    </row>
    <row r="1462" spans="1:18" x14ac:dyDescent="0.25">
      <c r="A1462" s="52" t="s">
        <v>918</v>
      </c>
      <c r="C1462" s="199"/>
      <c r="D1462" s="199"/>
      <c r="E1462" s="199"/>
      <c r="F1462" s="199"/>
      <c r="G1462" s="199">
        <v>271632</v>
      </c>
      <c r="H1462" s="199">
        <v>273100</v>
      </c>
      <c r="I1462" s="199">
        <v>279400</v>
      </c>
      <c r="J1462" s="199">
        <v>286100</v>
      </c>
      <c r="K1462" s="199">
        <v>293000</v>
      </c>
      <c r="L1462" s="199">
        <v>299700</v>
      </c>
      <c r="M1462" s="199">
        <v>306300</v>
      </c>
      <c r="N1462" s="199">
        <v>313300</v>
      </c>
      <c r="O1462" s="199">
        <v>321100</v>
      </c>
      <c r="P1462" s="199">
        <v>329100</v>
      </c>
      <c r="Q1462" s="199">
        <v>337000</v>
      </c>
      <c r="R1462" s="199">
        <v>337000</v>
      </c>
    </row>
    <row r="1463" spans="1:18" x14ac:dyDescent="0.25">
      <c r="A1463" s="52" t="s">
        <v>919</v>
      </c>
      <c r="C1463" s="199"/>
      <c r="D1463" s="199"/>
      <c r="E1463" s="199"/>
      <c r="F1463" s="199"/>
      <c r="G1463" s="199">
        <v>121620</v>
      </c>
      <c r="H1463" s="199">
        <v>124200</v>
      </c>
      <c r="I1463" s="199">
        <v>127100</v>
      </c>
      <c r="J1463" s="199">
        <v>130200</v>
      </c>
      <c r="K1463" s="199">
        <v>133300</v>
      </c>
      <c r="L1463" s="199">
        <v>136400</v>
      </c>
      <c r="M1463" s="199">
        <v>139400</v>
      </c>
      <c r="N1463" s="199">
        <v>142600</v>
      </c>
      <c r="O1463" s="199">
        <v>146200</v>
      </c>
      <c r="P1463" s="199">
        <v>149900</v>
      </c>
      <c r="Q1463" s="199">
        <v>153500</v>
      </c>
      <c r="R1463" s="199">
        <v>153500</v>
      </c>
    </row>
    <row r="1464" spans="1:18" x14ac:dyDescent="0.25">
      <c r="A1464" s="59" t="s">
        <v>920</v>
      </c>
      <c r="C1464" s="199"/>
      <c r="D1464" s="199"/>
      <c r="E1464" s="199"/>
      <c r="F1464" s="122">
        <v>208387</v>
      </c>
      <c r="G1464" s="122">
        <v>0</v>
      </c>
      <c r="H1464" s="52"/>
      <c r="I1464" s="52"/>
      <c r="J1464" s="52"/>
      <c r="K1464" s="52"/>
      <c r="L1464" s="52"/>
      <c r="M1464" s="52"/>
      <c r="N1464" s="52"/>
      <c r="O1464" s="52"/>
      <c r="P1464" s="52"/>
      <c r="Q1464" s="52"/>
      <c r="R1464" s="52"/>
    </row>
    <row r="1465" spans="1:18" x14ac:dyDescent="0.25">
      <c r="A1465" s="52" t="s">
        <v>916</v>
      </c>
      <c r="C1465" s="199"/>
      <c r="D1465" s="199"/>
      <c r="E1465" s="199"/>
      <c r="F1465" s="122"/>
      <c r="G1465" s="122">
        <v>84545</v>
      </c>
      <c r="H1465" s="52">
        <v>82721</v>
      </c>
      <c r="I1465" s="52">
        <v>95454</v>
      </c>
      <c r="J1465" s="52">
        <v>112487</v>
      </c>
      <c r="K1465" s="52">
        <v>85069</v>
      </c>
      <c r="L1465" s="52">
        <v>96172</v>
      </c>
      <c r="M1465" s="50">
        <f t="shared" ref="M1465:M1467" si="840">L1465*1.022</f>
        <v>98287.784</v>
      </c>
      <c r="N1465" s="50">
        <f t="shared" ref="N1465:N1467" si="841">M1465*1.023</f>
        <v>100548.40303199999</v>
      </c>
      <c r="O1465" s="50">
        <f t="shared" ref="O1465:P1467" si="842">N1465*1.025</f>
        <v>103062.11310779997</v>
      </c>
      <c r="P1465" s="50">
        <f t="shared" si="842"/>
        <v>105638.66593549497</v>
      </c>
      <c r="Q1465" s="50">
        <f t="shared" ref="Q1465:R1467" si="843">P1465*1.024</f>
        <v>108173.99391794685</v>
      </c>
      <c r="R1465" s="50">
        <f t="shared" si="843"/>
        <v>110770.16977197757</v>
      </c>
    </row>
    <row r="1466" spans="1:18" x14ac:dyDescent="0.25">
      <c r="A1466" s="52" t="s">
        <v>918</v>
      </c>
      <c r="C1466" s="199"/>
      <c r="D1466" s="199"/>
      <c r="E1466" s="199"/>
      <c r="F1466" s="122"/>
      <c r="G1466" s="122">
        <v>49161</v>
      </c>
      <c r="H1466" s="52">
        <v>99971</v>
      </c>
      <c r="I1466" s="50">
        <f t="shared" ref="I1466:I1467" si="844">H1466*1.023</f>
        <v>102270.33299999998</v>
      </c>
      <c r="J1466" s="50">
        <f t="shared" ref="J1466:K1467" si="845">I1466*1.024</f>
        <v>104724.82099199998</v>
      </c>
      <c r="K1466" s="50">
        <f t="shared" si="845"/>
        <v>107238.21669580798</v>
      </c>
      <c r="L1466" s="50">
        <f t="shared" ref="L1466:L1467" si="846">K1466*1.023</f>
        <v>109704.69567981156</v>
      </c>
      <c r="M1466" s="50">
        <f t="shared" si="840"/>
        <v>112118.19898476741</v>
      </c>
      <c r="N1466" s="50">
        <f t="shared" si="841"/>
        <v>114696.91756141705</v>
      </c>
      <c r="O1466" s="50">
        <f t="shared" si="842"/>
        <v>117564.34050045247</v>
      </c>
      <c r="P1466" s="50">
        <f t="shared" si="842"/>
        <v>120503.44901296377</v>
      </c>
      <c r="Q1466" s="50">
        <f t="shared" si="843"/>
        <v>123395.5317892749</v>
      </c>
      <c r="R1466" s="50">
        <f t="shared" si="843"/>
        <v>126357.0245522175</v>
      </c>
    </row>
    <row r="1467" spans="1:18" x14ac:dyDescent="0.25">
      <c r="A1467" s="52" t="s">
        <v>919</v>
      </c>
      <c r="C1467" s="199"/>
      <c r="D1467" s="199"/>
      <c r="E1467" s="199"/>
      <c r="F1467" s="122"/>
      <c r="G1467" s="122">
        <v>53404</v>
      </c>
      <c r="H1467" s="52">
        <v>11924</v>
      </c>
      <c r="I1467" s="50">
        <f t="shared" si="844"/>
        <v>12198.251999999999</v>
      </c>
      <c r="J1467" s="50">
        <f t="shared" si="845"/>
        <v>12491.010047999998</v>
      </c>
      <c r="K1467" s="50">
        <f t="shared" si="845"/>
        <v>12790.794289151998</v>
      </c>
      <c r="L1467" s="50">
        <f t="shared" si="846"/>
        <v>13084.982557802492</v>
      </c>
      <c r="M1467" s="50">
        <f t="shared" si="840"/>
        <v>13372.852174074147</v>
      </c>
      <c r="N1467" s="50">
        <f t="shared" si="841"/>
        <v>13680.427774077851</v>
      </c>
      <c r="O1467" s="50">
        <f t="shared" si="842"/>
        <v>14022.438468429797</v>
      </c>
      <c r="P1467" s="50">
        <f t="shared" si="842"/>
        <v>14372.99943014054</v>
      </c>
      <c r="Q1467" s="50">
        <f t="shared" si="843"/>
        <v>14717.951416463913</v>
      </c>
      <c r="R1467" s="50">
        <f t="shared" si="843"/>
        <v>15071.182250459047</v>
      </c>
    </row>
    <row r="1468" spans="1:18" x14ac:dyDescent="0.25">
      <c r="A1468" s="52" t="s">
        <v>921</v>
      </c>
      <c r="B1468" s="53"/>
      <c r="C1468" s="50">
        <v>30777</v>
      </c>
      <c r="D1468" s="54">
        <v>46471</v>
      </c>
      <c r="E1468" s="43">
        <v>44885</v>
      </c>
      <c r="F1468" s="54">
        <v>54693</v>
      </c>
      <c r="G1468" s="54">
        <v>53829</v>
      </c>
      <c r="H1468" s="54">
        <v>45000</v>
      </c>
      <c r="I1468" s="54">
        <v>46063</v>
      </c>
      <c r="J1468" s="54">
        <v>47240.261999999995</v>
      </c>
      <c r="K1468" s="54">
        <v>48477.391337999994</v>
      </c>
      <c r="L1468" s="54">
        <v>49744.610345273984</v>
      </c>
      <c r="M1468" s="54">
        <v>50996.254666584515</v>
      </c>
      <c r="N1468" s="54">
        <v>52282.775238335314</v>
      </c>
      <c r="O1468" s="54">
        <v>53706.859535145632</v>
      </c>
      <c r="P1468" s="54">
        <v>55204.793100443239</v>
      </c>
      <c r="Q1468" s="54">
        <v>56708.087009891889</v>
      </c>
      <c r="R1468" s="54">
        <v>58253.524854918607</v>
      </c>
    </row>
    <row r="1469" spans="1:18" x14ac:dyDescent="0.25">
      <c r="A1469" s="52" t="s">
        <v>922</v>
      </c>
      <c r="B1469" s="53"/>
      <c r="C1469" s="50">
        <v>6611</v>
      </c>
      <c r="D1469" s="54">
        <v>1545</v>
      </c>
      <c r="E1469" s="43">
        <v>5035</v>
      </c>
      <c r="F1469" s="54">
        <v>13678</v>
      </c>
      <c r="G1469" s="54">
        <v>0</v>
      </c>
      <c r="H1469" s="54">
        <v>12000</v>
      </c>
      <c r="I1469" s="54">
        <v>12278</v>
      </c>
      <c r="J1469" s="54">
        <v>12577.796999999999</v>
      </c>
      <c r="K1469" s="54">
        <v>12887.047203</v>
      </c>
      <c r="L1469" s="54">
        <v>13194.323503418997</v>
      </c>
      <c r="M1469" s="54">
        <v>13495.831684330964</v>
      </c>
      <c r="N1469" s="54">
        <v>13814.350578386244</v>
      </c>
      <c r="O1469" s="54">
        <v>14168.067551121036</v>
      </c>
      <c r="P1469" s="54">
        <v>14533.359388250417</v>
      </c>
      <c r="Q1469" s="54">
        <v>14894.901361785427</v>
      </c>
      <c r="R1469" s="54">
        <v>15265.553548524656</v>
      </c>
    </row>
    <row r="1470" spans="1:18" x14ac:dyDescent="0.25">
      <c r="A1470" s="43" t="s">
        <v>923</v>
      </c>
      <c r="B1470" s="53"/>
      <c r="C1470" s="50">
        <v>0</v>
      </c>
      <c r="D1470" s="50">
        <f>C1470*1.038</f>
        <v>0</v>
      </c>
      <c r="E1470" s="50">
        <f>D1470*1.038</f>
        <v>0</v>
      </c>
      <c r="F1470" s="50">
        <v>0</v>
      </c>
      <c r="G1470" s="50">
        <v>0</v>
      </c>
      <c r="H1470" s="50">
        <v>20000</v>
      </c>
      <c r="I1470" s="50">
        <f>H1470*1.025</f>
        <v>20500</v>
      </c>
      <c r="J1470" s="50">
        <f>I1470*1.029</f>
        <v>21094.5</v>
      </c>
      <c r="K1470" s="54">
        <f>J1470*1.031</f>
        <v>21748.429499999998</v>
      </c>
      <c r="L1470" s="54">
        <f>K1470*1.033</f>
        <v>22466.127673499996</v>
      </c>
      <c r="M1470" s="54">
        <f>L1470*1.032</f>
        <v>23185.043759051998</v>
      </c>
      <c r="N1470" s="54">
        <f>M1470*1.03</f>
        <v>23880.595071823558</v>
      </c>
      <c r="O1470" s="54">
        <f>N1470*1.032</f>
        <v>24644.774114121912</v>
      </c>
      <c r="P1470" s="54">
        <f>O1470*1.034</f>
        <v>25482.696434002057</v>
      </c>
      <c r="Q1470" s="54">
        <f>P1470*1.034</f>
        <v>26349.108112758127</v>
      </c>
      <c r="R1470" s="54">
        <f>Q1470*1.034</f>
        <v>27244.977788591903</v>
      </c>
    </row>
    <row r="1471" spans="1:18" x14ac:dyDescent="0.25">
      <c r="A1471" s="52" t="s">
        <v>924</v>
      </c>
      <c r="B1471" s="53"/>
      <c r="C1471" s="50"/>
      <c r="D1471" s="50"/>
      <c r="E1471" s="50"/>
      <c r="F1471" s="50"/>
      <c r="G1471" s="50"/>
      <c r="H1471" s="50"/>
      <c r="I1471" s="50"/>
      <c r="J1471" s="50"/>
      <c r="K1471" s="50"/>
      <c r="L1471" s="50"/>
      <c r="M1471" s="50"/>
      <c r="N1471" s="50"/>
      <c r="O1471" s="50"/>
      <c r="P1471" s="50"/>
      <c r="Q1471" s="50"/>
      <c r="R1471" s="50"/>
    </row>
    <row r="1472" spans="1:18" x14ac:dyDescent="0.25">
      <c r="A1472" s="52" t="s">
        <v>925</v>
      </c>
      <c r="B1472" s="53"/>
      <c r="C1472" s="50"/>
      <c r="D1472" s="50"/>
      <c r="E1472" s="50"/>
      <c r="F1472" s="50"/>
      <c r="G1472" s="50"/>
      <c r="H1472" s="50"/>
      <c r="I1472" s="50"/>
      <c r="J1472" s="50"/>
      <c r="K1472" s="50"/>
      <c r="L1472" s="50"/>
      <c r="M1472" s="50"/>
      <c r="N1472" s="50"/>
      <c r="O1472" s="50"/>
      <c r="P1472" s="50"/>
      <c r="Q1472" s="50"/>
      <c r="R1472" s="50"/>
    </row>
    <row r="1473" spans="1:18" x14ac:dyDescent="0.25">
      <c r="A1473" s="52" t="s">
        <v>926</v>
      </c>
      <c r="B1473" s="53"/>
      <c r="C1473" s="50">
        <v>3064</v>
      </c>
      <c r="D1473" s="54">
        <v>4622</v>
      </c>
      <c r="E1473" s="43">
        <v>2052</v>
      </c>
      <c r="F1473" s="54">
        <v>7309</v>
      </c>
      <c r="G1473" s="54">
        <v>10216</v>
      </c>
      <c r="H1473" s="54">
        <v>9300</v>
      </c>
      <c r="I1473" s="54">
        <v>9521.9</v>
      </c>
      <c r="J1473" s="54">
        <v>9770.9256000000005</v>
      </c>
      <c r="K1473" s="54">
        <v>10034.960114400001</v>
      </c>
      <c r="L1473" s="54">
        <v>10309.2610560312</v>
      </c>
      <c r="M1473" s="50">
        <v>10580.997054610885</v>
      </c>
      <c r="N1473" s="54">
        <v>10856.819048129608</v>
      </c>
      <c r="O1473" s="54">
        <v>11161.672357433401</v>
      </c>
      <c r="P1473" s="54">
        <v>11485.074759774656</v>
      </c>
      <c r="Q1473" s="54">
        <v>11811.681946877252</v>
      </c>
      <c r="R1473" s="54">
        <v>12147.860529827822</v>
      </c>
    </row>
    <row r="1474" spans="1:18" x14ac:dyDescent="0.25">
      <c r="A1474" s="52" t="s">
        <v>927</v>
      </c>
      <c r="B1474" s="53"/>
      <c r="C1474" s="50">
        <v>0</v>
      </c>
      <c r="D1474" s="54">
        <v>4262</v>
      </c>
      <c r="E1474" s="43">
        <v>103</v>
      </c>
      <c r="F1474" s="54"/>
      <c r="G1474" s="54">
        <v>0</v>
      </c>
      <c r="H1474" s="54">
        <v>5000</v>
      </c>
      <c r="I1474" s="54">
        <v>5117</v>
      </c>
      <c r="J1474" s="54">
        <v>5244.9329999999991</v>
      </c>
      <c r="K1474" s="54">
        <v>5378.1944669999993</v>
      </c>
      <c r="L1474" s="54">
        <v>5512.767154490999</v>
      </c>
      <c r="M1474" s="54">
        <v>5645.2810957265519</v>
      </c>
      <c r="N1474" s="54">
        <v>5783.2373262439296</v>
      </c>
      <c r="O1474" s="54">
        <v>5936.1764676751664</v>
      </c>
      <c r="P1474" s="54">
        <v>6095.6710277183993</v>
      </c>
      <c r="Q1474" s="54">
        <v>6254.7084806006424</v>
      </c>
      <c r="R1474" s="54">
        <v>6417.996038191437</v>
      </c>
    </row>
    <row r="1475" spans="1:18" x14ac:dyDescent="0.25">
      <c r="A1475" s="52" t="s">
        <v>928</v>
      </c>
      <c r="B1475" s="53"/>
      <c r="C1475" s="50">
        <v>119917</v>
      </c>
      <c r="D1475" s="50">
        <v>111184</v>
      </c>
      <c r="E1475" s="43">
        <f>112771+67540</f>
        <v>180311</v>
      </c>
      <c r="F1475" s="50">
        <v>112042</v>
      </c>
      <c r="G1475" s="50">
        <v>105649</v>
      </c>
      <c r="H1475" s="50">
        <v>96800</v>
      </c>
      <c r="I1475" s="54">
        <v>99043.999999999985</v>
      </c>
      <c r="J1475" s="54">
        <v>101466.156</v>
      </c>
      <c r="K1475" s="54">
        <v>103966.31480399999</v>
      </c>
      <c r="L1475" s="54">
        <v>106453.23313429199</v>
      </c>
      <c r="M1475" s="54">
        <v>108894.05522500981</v>
      </c>
      <c r="N1475" s="54">
        <v>111470.02842996293</v>
      </c>
      <c r="O1475" s="54">
        <v>114330.3313735332</v>
      </c>
      <c r="P1475" s="54">
        <v>117286.18296336345</v>
      </c>
      <c r="Q1475" s="54">
        <v>120213.17521879377</v>
      </c>
      <c r="R1475" s="54">
        <v>123214.22749974095</v>
      </c>
    </row>
    <row r="1476" spans="1:18" x14ac:dyDescent="0.25">
      <c r="A1476" s="52" t="s">
        <v>895</v>
      </c>
      <c r="B1476" s="53"/>
      <c r="C1476" s="50">
        <v>254771</v>
      </c>
      <c r="D1476" s="50">
        <v>239510</v>
      </c>
      <c r="E1476" s="50">
        <v>222473</v>
      </c>
      <c r="F1476" s="50">
        <v>225767</v>
      </c>
      <c r="G1476" s="50">
        <v>253484</v>
      </c>
      <c r="H1476" s="50">
        <v>262000</v>
      </c>
      <c r="I1476" s="54">
        <f t="shared" ref="I1476" si="847">H1476*1.023</f>
        <v>268026</v>
      </c>
      <c r="J1476" s="54">
        <f t="shared" ref="J1476:K1476" si="848">I1476*1.024</f>
        <v>274458.62400000001</v>
      </c>
      <c r="K1476" s="54">
        <f t="shared" si="848"/>
        <v>281045.63097600004</v>
      </c>
      <c r="L1476" s="54">
        <f t="shared" ref="L1476" si="849">K1476*1.023</f>
        <v>287509.68048844801</v>
      </c>
      <c r="M1476" s="54">
        <f t="shared" ref="M1476" si="850">L1476*1.022</f>
        <v>293834.89345919387</v>
      </c>
      <c r="N1476" s="54">
        <f t="shared" ref="N1476" si="851">M1476*1.023</f>
        <v>300593.09600875532</v>
      </c>
      <c r="O1476" s="54">
        <f t="shared" ref="O1476:P1476" si="852">N1476*1.025</f>
        <v>308107.92340897419</v>
      </c>
      <c r="P1476" s="54">
        <f t="shared" si="852"/>
        <v>315810.62149419851</v>
      </c>
      <c r="Q1476" s="54">
        <f t="shared" ref="Q1476:R1476" si="853">P1476*1.024</f>
        <v>323390.07641005929</v>
      </c>
      <c r="R1476" s="54">
        <f t="shared" si="853"/>
        <v>331151.43824390072</v>
      </c>
    </row>
    <row r="1477" spans="1:18" x14ac:dyDescent="0.25">
      <c r="A1477" s="52" t="s">
        <v>929</v>
      </c>
      <c r="B1477" s="53"/>
      <c r="C1477" s="50"/>
      <c r="D1477" s="50"/>
      <c r="E1477" s="43">
        <v>0</v>
      </c>
      <c r="F1477" s="50"/>
      <c r="G1477" s="50"/>
      <c r="H1477" s="50"/>
      <c r="I1477" s="50"/>
      <c r="J1477" s="50"/>
      <c r="K1477" s="50"/>
      <c r="L1477" s="50"/>
      <c r="M1477" s="50"/>
      <c r="N1477" s="50"/>
      <c r="O1477" s="50"/>
      <c r="P1477" s="50"/>
      <c r="Q1477" s="50"/>
      <c r="R1477" s="50"/>
    </row>
    <row r="1478" spans="1:18" x14ac:dyDescent="0.25">
      <c r="A1478" s="52" t="s">
        <v>930</v>
      </c>
      <c r="B1478" s="53"/>
      <c r="C1478" s="50">
        <f>520716-458225</f>
        <v>62491</v>
      </c>
      <c r="D1478" s="54">
        <v>90113</v>
      </c>
      <c r="E1478" s="52">
        <f>207127-111024</f>
        <v>96103</v>
      </c>
      <c r="F1478" s="50">
        <v>103968</v>
      </c>
      <c r="G1478" s="50">
        <v>110285</v>
      </c>
      <c r="H1478" s="50">
        <v>110600</v>
      </c>
      <c r="I1478" s="54">
        <v>113314.19999999998</v>
      </c>
      <c r="J1478" s="54">
        <v>116470.39079999998</v>
      </c>
      <c r="K1478" s="54">
        <v>119894.71816919997</v>
      </c>
      <c r="L1478" s="54">
        <v>123578.77978379156</v>
      </c>
      <c r="M1478" s="54">
        <v>127254.56997792608</v>
      </c>
      <c r="N1478" s="54">
        <v>130872.8030923133</v>
      </c>
      <c r="O1478" s="54">
        <v>134856.74251466291</v>
      </c>
      <c r="P1478" s="54">
        <v>139173.04171706495</v>
      </c>
      <c r="Q1478" s="54">
        <v>143598.757586363</v>
      </c>
      <c r="R1478" s="54">
        <v>148167.5997740392</v>
      </c>
    </row>
    <row r="1479" spans="1:18" x14ac:dyDescent="0.25">
      <c r="A1479" s="52" t="s">
        <v>931</v>
      </c>
      <c r="B1479" s="53"/>
      <c r="C1479" s="50">
        <v>458225</v>
      </c>
      <c r="D1479" s="54">
        <v>423680</v>
      </c>
      <c r="E1479" s="43">
        <v>111024</v>
      </c>
      <c r="F1479" s="54">
        <v>256200</v>
      </c>
      <c r="G1479" s="54">
        <v>144309</v>
      </c>
      <c r="H1479" s="54">
        <v>180000</v>
      </c>
      <c r="I1479" s="54">
        <f t="shared" ref="I1479" si="854">H1479*1.023</f>
        <v>184139.99999999997</v>
      </c>
      <c r="J1479" s="54">
        <f t="shared" ref="J1479:K1479" si="855">I1479*1.024</f>
        <v>188559.35999999999</v>
      </c>
      <c r="K1479" s="54">
        <f t="shared" si="855"/>
        <v>193084.78464</v>
      </c>
      <c r="L1479" s="54">
        <f t="shared" ref="L1479" si="856">K1479*1.023</f>
        <v>197525.73468671998</v>
      </c>
      <c r="M1479" s="54">
        <f t="shared" ref="M1479" si="857">L1479*1.022</f>
        <v>201871.30084982782</v>
      </c>
      <c r="N1479" s="54">
        <f t="shared" ref="N1479" si="858">M1479*1.023</f>
        <v>206514.34076937384</v>
      </c>
      <c r="O1479" s="54">
        <f t="shared" ref="O1479:P1479" si="859">N1479*1.025</f>
        <v>211677.19928860816</v>
      </c>
      <c r="P1479" s="54">
        <f t="shared" si="859"/>
        <v>216969.12927082335</v>
      </c>
      <c r="Q1479" s="54">
        <f t="shared" ref="Q1479" si="860">P1479*1.024</f>
        <v>222176.38837332311</v>
      </c>
      <c r="R1479" s="54">
        <v>227508.62169428286</v>
      </c>
    </row>
    <row r="1480" spans="1:18" x14ac:dyDescent="0.25">
      <c r="A1480" s="52" t="s">
        <v>932</v>
      </c>
      <c r="B1480" s="53"/>
      <c r="C1480" s="50"/>
      <c r="D1480" s="50"/>
      <c r="E1480" s="43">
        <v>0</v>
      </c>
      <c r="F1480" s="50"/>
      <c r="G1480" s="50"/>
      <c r="H1480" s="50"/>
      <c r="I1480" s="50"/>
      <c r="J1480" s="50"/>
      <c r="K1480" s="50"/>
      <c r="L1480" s="50"/>
      <c r="M1480" s="50"/>
      <c r="N1480" s="50"/>
      <c r="O1480" s="50"/>
      <c r="P1480" s="50"/>
      <c r="Q1480" s="50"/>
      <c r="R1480" s="50"/>
    </row>
    <row r="1481" spans="1:18" x14ac:dyDescent="0.25">
      <c r="A1481" s="52" t="s">
        <v>933</v>
      </c>
      <c r="B1481" s="53"/>
      <c r="C1481" s="50">
        <v>3540</v>
      </c>
      <c r="D1481" s="54">
        <v>24500</v>
      </c>
      <c r="E1481" s="43">
        <f>6893-1616</f>
        <v>5277</v>
      </c>
      <c r="F1481" s="54">
        <v>29919</v>
      </c>
      <c r="G1481" s="54">
        <v>1519</v>
      </c>
      <c r="H1481" s="54">
        <v>6500</v>
      </c>
      <c r="I1481" s="54">
        <v>6659.7000000000007</v>
      </c>
      <c r="J1481" s="54">
        <v>6832.7270999999982</v>
      </c>
      <c r="K1481" s="54">
        <v>7013.5693029000013</v>
      </c>
      <c r="L1481" s="54">
        <v>7197.4974754917002</v>
      </c>
      <c r="M1481" s="54">
        <v>7379.557195007641</v>
      </c>
      <c r="N1481" s="54">
        <v>7568.4101525075694</v>
      </c>
      <c r="O1481" s="54">
        <v>7776.9156296064029</v>
      </c>
      <c r="P1481" s="54">
        <v>7995.0695492907053</v>
      </c>
      <c r="Q1481" s="54">
        <v>8213.8118614066661</v>
      </c>
      <c r="R1481" s="54">
        <v>8438.8412288028521</v>
      </c>
    </row>
    <row r="1482" spans="1:18" x14ac:dyDescent="0.25">
      <c r="A1482" s="43" t="s">
        <v>934</v>
      </c>
      <c r="C1482" s="71">
        <v>1320</v>
      </c>
      <c r="D1482" s="71">
        <v>1408</v>
      </c>
      <c r="E1482" s="71">
        <v>1616</v>
      </c>
      <c r="F1482" s="105">
        <v>1791</v>
      </c>
      <c r="G1482" s="73">
        <v>1791</v>
      </c>
      <c r="H1482" s="73">
        <v>2630</v>
      </c>
      <c r="I1482" s="73">
        <v>2670</v>
      </c>
      <c r="J1482" s="73">
        <v>2720</v>
      </c>
      <c r="K1482" s="73">
        <v>2810</v>
      </c>
      <c r="L1482" s="73">
        <v>2850</v>
      </c>
      <c r="M1482" s="73">
        <v>2940</v>
      </c>
      <c r="N1482" s="73">
        <v>3000</v>
      </c>
      <c r="O1482" s="73">
        <v>3050</v>
      </c>
      <c r="P1482" s="73">
        <v>3150</v>
      </c>
      <c r="Q1482" s="73">
        <v>3200</v>
      </c>
      <c r="R1482" s="73">
        <v>3200</v>
      </c>
    </row>
    <row r="1483" spans="1:18" x14ac:dyDescent="0.25">
      <c r="C1483" s="50"/>
      <c r="D1483" s="50"/>
      <c r="E1483" s="50"/>
      <c r="F1483" s="50"/>
      <c r="G1483" s="50"/>
      <c r="H1483" s="50"/>
      <c r="I1483" s="50"/>
      <c r="J1483" s="50"/>
      <c r="K1483" s="50"/>
      <c r="L1483" s="50"/>
      <c r="M1483" s="50"/>
      <c r="N1483" s="50"/>
      <c r="O1483" s="50"/>
      <c r="P1483" s="50"/>
      <c r="Q1483" s="50"/>
      <c r="R1483" s="50"/>
    </row>
    <row r="1484" spans="1:18" x14ac:dyDescent="0.25">
      <c r="A1484" s="41" t="s">
        <v>230</v>
      </c>
      <c r="B1484" s="44"/>
      <c r="C1484" s="51">
        <f t="shared" ref="C1484:Q1484" si="861">SUM(C1438:C1483)</f>
        <v>3100277</v>
      </c>
      <c r="D1484" s="51">
        <f t="shared" si="861"/>
        <v>3169484</v>
      </c>
      <c r="E1484" s="51">
        <f t="shared" si="861"/>
        <v>3054354</v>
      </c>
      <c r="F1484" s="51">
        <f t="shared" ref="F1484:G1484" si="862">SUM(F1438:F1483)</f>
        <v>3415433</v>
      </c>
      <c r="G1484" s="51">
        <f t="shared" si="862"/>
        <v>3139179</v>
      </c>
      <c r="H1484" s="51">
        <f t="shared" si="861"/>
        <v>3308383</v>
      </c>
      <c r="I1484" s="51">
        <f t="shared" si="861"/>
        <v>3385917.1850000001</v>
      </c>
      <c r="J1484" s="51">
        <f t="shared" si="861"/>
        <v>3479047.55914</v>
      </c>
      <c r="K1484" s="51">
        <f t="shared" si="861"/>
        <v>3520440.59508686</v>
      </c>
      <c r="L1484" s="51">
        <f t="shared" si="861"/>
        <v>3606394.796380633</v>
      </c>
      <c r="M1484" s="51">
        <f t="shared" si="861"/>
        <v>3697192.2965648244</v>
      </c>
      <c r="N1484" s="51">
        <f t="shared" si="861"/>
        <v>3791942.9474234413</v>
      </c>
      <c r="O1484" s="51">
        <f t="shared" si="861"/>
        <v>3895733.8077036315</v>
      </c>
      <c r="P1484" s="51">
        <f t="shared" si="861"/>
        <v>4004963.029583971</v>
      </c>
      <c r="Q1484" s="51">
        <f t="shared" si="861"/>
        <v>4114678.878302115</v>
      </c>
      <c r="R1484" s="51">
        <f t="shared" ref="R1484" si="863">SUM(R1438:R1483)</f>
        <v>4213640.4646887388</v>
      </c>
    </row>
    <row r="1485" spans="1:18" x14ac:dyDescent="0.25">
      <c r="C1485" s="50"/>
      <c r="D1485" s="50"/>
      <c r="E1485" s="50"/>
      <c r="F1485" s="50"/>
      <c r="G1485" s="50"/>
      <c r="H1485" s="50"/>
      <c r="I1485" s="50"/>
      <c r="J1485" s="50"/>
      <c r="K1485" s="50"/>
      <c r="L1485" s="50"/>
      <c r="M1485" s="50"/>
      <c r="N1485" s="50"/>
      <c r="O1485" s="50"/>
      <c r="P1485" s="50"/>
      <c r="Q1485" s="50"/>
      <c r="R1485" s="50"/>
    </row>
    <row r="1486" spans="1:18" x14ac:dyDescent="0.25">
      <c r="A1486" s="41" t="s">
        <v>251</v>
      </c>
      <c r="B1486" s="44"/>
      <c r="C1486" s="50"/>
      <c r="D1486" s="50"/>
      <c r="E1486" s="50"/>
      <c r="F1486" s="50"/>
      <c r="G1486" s="50"/>
      <c r="H1486" s="50"/>
      <c r="I1486" s="50"/>
      <c r="J1486" s="50"/>
      <c r="K1486" s="50"/>
      <c r="L1486" s="50"/>
      <c r="M1486" s="50"/>
      <c r="N1486" s="50"/>
      <c r="O1486" s="50"/>
      <c r="P1486" s="50"/>
      <c r="Q1486" s="50"/>
      <c r="R1486" s="50"/>
    </row>
    <row r="1487" spans="1:18" x14ac:dyDescent="0.25">
      <c r="C1487" s="50"/>
      <c r="D1487" s="50"/>
      <c r="E1487" s="50"/>
      <c r="F1487" s="50"/>
      <c r="G1487" s="50"/>
      <c r="H1487" s="50"/>
      <c r="I1487" s="50"/>
      <c r="J1487" s="50"/>
      <c r="K1487" s="50"/>
      <c r="L1487" s="50"/>
      <c r="M1487" s="50"/>
      <c r="N1487" s="50"/>
      <c r="O1487" s="50"/>
      <c r="P1487" s="50"/>
      <c r="Q1487" s="50"/>
      <c r="R1487" s="50"/>
    </row>
    <row r="1488" spans="1:18" x14ac:dyDescent="0.25">
      <c r="A1488" s="43" t="s">
        <v>935</v>
      </c>
      <c r="C1488" s="50">
        <v>0</v>
      </c>
      <c r="D1488" s="54">
        <f>C1488*1.024</f>
        <v>0</v>
      </c>
      <c r="E1488" s="54">
        <f>D1488*1.024</f>
        <v>0</v>
      </c>
      <c r="F1488" s="54">
        <v>0</v>
      </c>
      <c r="G1488" s="54">
        <v>0</v>
      </c>
      <c r="H1488" s="54">
        <v>0</v>
      </c>
      <c r="I1488" s="54">
        <v>0</v>
      </c>
      <c r="J1488" s="54">
        <v>0</v>
      </c>
      <c r="K1488" s="54">
        <v>0</v>
      </c>
      <c r="L1488" s="54">
        <v>0</v>
      </c>
      <c r="M1488" s="54">
        <v>0</v>
      </c>
      <c r="N1488" s="54">
        <v>0</v>
      </c>
      <c r="O1488" s="54">
        <v>0</v>
      </c>
      <c r="P1488" s="54">
        <v>0</v>
      </c>
      <c r="Q1488" s="54">
        <f>P1488*1.028</f>
        <v>0</v>
      </c>
      <c r="R1488" s="54">
        <f>Q1488*1.028</f>
        <v>0</v>
      </c>
    </row>
    <row r="1489" spans="1:18" x14ac:dyDescent="0.25">
      <c r="A1489" s="64" t="s">
        <v>936</v>
      </c>
      <c r="B1489" s="164" t="s">
        <v>245</v>
      </c>
      <c r="C1489" s="50"/>
      <c r="D1489" s="63">
        <v>62487</v>
      </c>
      <c r="E1489" s="130">
        <v>119337</v>
      </c>
      <c r="F1489" s="130">
        <v>25497</v>
      </c>
      <c r="G1489" s="63">
        <v>0</v>
      </c>
      <c r="H1489" s="50"/>
      <c r="I1489" s="50"/>
      <c r="J1489" s="54"/>
      <c r="K1489" s="54"/>
      <c r="L1489" s="54"/>
      <c r="M1489" s="54"/>
      <c r="N1489" s="54"/>
      <c r="O1489" s="54"/>
      <c r="P1489" s="54"/>
      <c r="Q1489" s="54"/>
      <c r="R1489" s="54"/>
    </row>
    <row r="1490" spans="1:18" x14ac:dyDescent="0.25">
      <c r="A1490" s="202" t="s">
        <v>937</v>
      </c>
      <c r="B1490" s="164"/>
      <c r="C1490" s="50"/>
      <c r="D1490" s="50"/>
      <c r="E1490" s="50"/>
      <c r="F1490" s="50"/>
      <c r="G1490" s="63">
        <v>15979</v>
      </c>
      <c r="H1490" s="50"/>
      <c r="I1490" s="50"/>
      <c r="J1490" s="54"/>
      <c r="K1490" s="54"/>
      <c r="L1490" s="54"/>
      <c r="M1490" s="54"/>
      <c r="N1490" s="54"/>
      <c r="O1490" s="54"/>
      <c r="P1490" s="54"/>
      <c r="Q1490" s="54"/>
      <c r="R1490" s="54"/>
    </row>
    <row r="1491" spans="1:18" x14ac:dyDescent="0.25">
      <c r="A1491" s="146" t="s">
        <v>938</v>
      </c>
      <c r="B1491" s="164"/>
      <c r="C1491" s="50"/>
      <c r="D1491" s="50"/>
      <c r="E1491" s="50"/>
      <c r="F1491" s="50"/>
      <c r="G1491" s="63"/>
      <c r="H1491" s="50"/>
      <c r="I1491" s="50"/>
      <c r="J1491" s="54"/>
      <c r="K1491" s="54"/>
      <c r="L1491" s="54"/>
      <c r="M1491" s="54"/>
      <c r="N1491" s="54"/>
      <c r="O1491" s="54"/>
      <c r="P1491" s="54"/>
      <c r="Q1491" s="54"/>
      <c r="R1491" s="54"/>
    </row>
    <row r="1492" spans="1:18" x14ac:dyDescent="0.25">
      <c r="A1492" s="61" t="s">
        <v>933</v>
      </c>
      <c r="B1492" s="164"/>
      <c r="C1492" s="50"/>
      <c r="D1492" s="50"/>
      <c r="E1492" s="50"/>
      <c r="F1492" s="50"/>
      <c r="G1492" s="63"/>
      <c r="H1492" s="50"/>
      <c r="I1492" s="50"/>
      <c r="J1492" s="50"/>
      <c r="K1492" s="50"/>
      <c r="L1492" s="50"/>
      <c r="M1492" s="50"/>
      <c r="N1492" s="50"/>
      <c r="O1492" s="50"/>
      <c r="P1492" s="50"/>
      <c r="Q1492" s="50"/>
      <c r="R1492" s="50"/>
    </row>
    <row r="1493" spans="1:18" x14ac:dyDescent="0.25">
      <c r="A1493" s="41" t="s">
        <v>254</v>
      </c>
      <c r="B1493" s="44"/>
      <c r="C1493" s="51">
        <f t="shared" ref="C1493" si="864">SUM(C1488:C1492)</f>
        <v>0</v>
      </c>
      <c r="D1493" s="51">
        <f t="shared" ref="D1493:G1493" si="865">SUM(D1489:D1492)</f>
        <v>62487</v>
      </c>
      <c r="E1493" s="51">
        <f t="shared" si="865"/>
        <v>119337</v>
      </c>
      <c r="F1493" s="51">
        <f t="shared" si="865"/>
        <v>25497</v>
      </c>
      <c r="G1493" s="51">
        <f t="shared" si="865"/>
        <v>15979</v>
      </c>
      <c r="H1493" s="51">
        <f>SUM(H1489:H1492)</f>
        <v>0</v>
      </c>
      <c r="I1493" s="51">
        <f t="shared" ref="I1493:R1493" si="866">SUM(I1489:I1492)</f>
        <v>0</v>
      </c>
      <c r="J1493" s="51">
        <f t="shared" si="866"/>
        <v>0</v>
      </c>
      <c r="K1493" s="51">
        <f t="shared" si="866"/>
        <v>0</v>
      </c>
      <c r="L1493" s="51">
        <f t="shared" si="866"/>
        <v>0</v>
      </c>
      <c r="M1493" s="51">
        <f t="shared" si="866"/>
        <v>0</v>
      </c>
      <c r="N1493" s="51">
        <f t="shared" si="866"/>
        <v>0</v>
      </c>
      <c r="O1493" s="51">
        <f t="shared" si="866"/>
        <v>0</v>
      </c>
      <c r="P1493" s="51">
        <f t="shared" si="866"/>
        <v>0</v>
      </c>
      <c r="Q1493" s="51">
        <f t="shared" si="866"/>
        <v>0</v>
      </c>
      <c r="R1493" s="51">
        <f t="shared" si="866"/>
        <v>0</v>
      </c>
    </row>
    <row r="1494" spans="1:18" x14ac:dyDescent="0.25">
      <c r="C1494" s="50"/>
      <c r="D1494" s="50"/>
      <c r="E1494" s="50"/>
      <c r="F1494" s="50"/>
      <c r="G1494" s="50"/>
      <c r="H1494" s="50"/>
      <c r="I1494" s="50"/>
      <c r="J1494" s="50"/>
      <c r="K1494" s="50"/>
      <c r="L1494" s="50"/>
      <c r="M1494" s="50"/>
      <c r="N1494" s="50"/>
      <c r="O1494" s="50"/>
      <c r="P1494" s="50"/>
      <c r="Q1494" s="50"/>
      <c r="R1494" s="50"/>
    </row>
    <row r="1495" spans="1:18" x14ac:dyDescent="0.25">
      <c r="A1495" s="41" t="s">
        <v>171</v>
      </c>
      <c r="B1495" s="44"/>
      <c r="C1495" s="50"/>
      <c r="D1495" s="50"/>
      <c r="E1495" s="50"/>
      <c r="F1495" s="50"/>
      <c r="G1495" s="50"/>
      <c r="H1495" s="50"/>
      <c r="I1495" s="50"/>
      <c r="J1495" s="50"/>
      <c r="K1495" s="50"/>
      <c r="L1495" s="50"/>
      <c r="M1495" s="50"/>
      <c r="N1495" s="50"/>
      <c r="O1495" s="50"/>
      <c r="P1495" s="50"/>
      <c r="Q1495" s="50"/>
      <c r="R1495" s="50"/>
    </row>
    <row r="1496" spans="1:18" x14ac:dyDescent="0.25">
      <c r="C1496" s="50"/>
      <c r="D1496" s="50"/>
      <c r="E1496" s="50"/>
      <c r="F1496" s="50"/>
      <c r="G1496" s="50"/>
      <c r="H1496" s="50"/>
      <c r="I1496" s="50"/>
      <c r="J1496" s="50"/>
      <c r="K1496" s="50"/>
      <c r="L1496" s="50"/>
      <c r="M1496" s="50"/>
      <c r="N1496" s="50"/>
      <c r="O1496" s="50"/>
      <c r="P1496" s="50"/>
      <c r="Q1496" s="50"/>
      <c r="R1496" s="50"/>
    </row>
    <row r="1497" spans="1:18" x14ac:dyDescent="0.25">
      <c r="A1497" s="41" t="s">
        <v>939</v>
      </c>
      <c r="B1497" s="44"/>
      <c r="C1497" s="50"/>
      <c r="D1497" s="50"/>
      <c r="E1497" s="50"/>
      <c r="F1497" s="50"/>
      <c r="G1497" s="50"/>
      <c r="H1497" s="50"/>
      <c r="I1497" s="50"/>
      <c r="J1497" s="50"/>
      <c r="K1497" s="50"/>
      <c r="L1497" s="50"/>
      <c r="M1497" s="50"/>
      <c r="N1497" s="50"/>
      <c r="O1497" s="50"/>
      <c r="P1497" s="50"/>
      <c r="Q1497" s="50"/>
      <c r="R1497" s="50"/>
    </row>
    <row r="1498" spans="1:18" x14ac:dyDescent="0.25">
      <c r="A1498" s="43" t="s">
        <v>940</v>
      </c>
      <c r="C1498" s="54">
        <v>1587</v>
      </c>
      <c r="D1498" s="50">
        <v>2541</v>
      </c>
      <c r="E1498" s="43">
        <v>5384</v>
      </c>
      <c r="F1498" s="50">
        <v>5050</v>
      </c>
      <c r="G1498" s="50">
        <v>3292</v>
      </c>
      <c r="H1498" s="50">
        <v>5000</v>
      </c>
      <c r="I1498" s="54">
        <f>H1498*1.023</f>
        <v>5115</v>
      </c>
      <c r="J1498" s="54">
        <f>I1498*1.024</f>
        <v>5237.76</v>
      </c>
      <c r="K1498" s="54">
        <f>J1498*1.024</f>
        <v>5363.4662400000007</v>
      </c>
      <c r="L1498" s="54">
        <f>K1498*1.023</f>
        <v>5486.8259635200002</v>
      </c>
      <c r="M1498" s="54">
        <f>L1498*1.022</f>
        <v>5607.5361347174403</v>
      </c>
      <c r="N1498" s="54">
        <f>M1498*1.023</f>
        <v>5736.5094658159405</v>
      </c>
      <c r="O1498" s="54">
        <f>N1498*1.025</f>
        <v>5879.9222024613382</v>
      </c>
      <c r="P1498" s="54">
        <f>O1498*1.025</f>
        <v>6026.920257522871</v>
      </c>
      <c r="Q1498" s="54">
        <f>P1498*1.024</f>
        <v>6171.56634370342</v>
      </c>
      <c r="R1498" s="54">
        <f>Q1498*1.024</f>
        <v>6319.6839359523019</v>
      </c>
    </row>
    <row r="1499" spans="1:18" x14ac:dyDescent="0.25">
      <c r="A1499" s="43" t="s">
        <v>941</v>
      </c>
      <c r="C1499" s="54">
        <v>0</v>
      </c>
      <c r="D1499">
        <v>0</v>
      </c>
      <c r="E1499" s="43">
        <v>60226</v>
      </c>
      <c r="F1499">
        <v>0</v>
      </c>
      <c r="G1499" s="43">
        <v>23240</v>
      </c>
      <c r="H1499" s="43">
        <v>195000</v>
      </c>
      <c r="I1499" s="43">
        <v>178000</v>
      </c>
      <c r="J1499" s="43">
        <v>66000</v>
      </c>
      <c r="K1499" s="43">
        <v>30000</v>
      </c>
      <c r="L1499" s="43">
        <v>45000</v>
      </c>
      <c r="M1499" s="43">
        <v>142000</v>
      </c>
      <c r="N1499" s="43">
        <v>156000</v>
      </c>
      <c r="O1499" s="43">
        <v>69000</v>
      </c>
      <c r="P1499" s="43">
        <v>180000</v>
      </c>
      <c r="Q1499" s="43">
        <v>31000</v>
      </c>
      <c r="R1499" s="43">
        <v>31000</v>
      </c>
    </row>
    <row r="1500" spans="1:18" x14ac:dyDescent="0.25">
      <c r="A1500" s="43" t="s">
        <v>942</v>
      </c>
      <c r="C1500" s="54">
        <v>150464</v>
      </c>
      <c r="D1500" s="50">
        <v>143872</v>
      </c>
      <c r="E1500" s="43">
        <v>132231</v>
      </c>
      <c r="F1500">
        <v>163357</v>
      </c>
      <c r="G1500" s="50">
        <v>147041</v>
      </c>
      <c r="H1500" s="43">
        <v>253900</v>
      </c>
      <c r="I1500" s="50">
        <v>50200</v>
      </c>
      <c r="J1500" s="50">
        <v>237500</v>
      </c>
      <c r="K1500" s="50">
        <v>211025</v>
      </c>
      <c r="L1500" s="50">
        <v>178860</v>
      </c>
      <c r="M1500" s="50">
        <v>178900</v>
      </c>
      <c r="N1500" s="50">
        <v>284200</v>
      </c>
      <c r="O1500" s="50">
        <v>70400</v>
      </c>
      <c r="P1500" s="50">
        <v>229950</v>
      </c>
      <c r="Q1500" s="50">
        <v>328475</v>
      </c>
      <c r="R1500" s="50">
        <v>328475</v>
      </c>
    </row>
    <row r="1501" spans="1:18" x14ac:dyDescent="0.25">
      <c r="A1501" s="203" t="s">
        <v>943</v>
      </c>
      <c r="B1501" s="175" t="s">
        <v>691</v>
      </c>
      <c r="C1501" s="54"/>
      <c r="D1501" s="50"/>
      <c r="F1501" s="50"/>
      <c r="G1501" s="50"/>
      <c r="H1501" s="50"/>
      <c r="I1501" s="176">
        <v>217500</v>
      </c>
      <c r="J1501" s="176">
        <v>225000</v>
      </c>
      <c r="K1501" s="176">
        <v>187500</v>
      </c>
      <c r="L1501" s="176">
        <v>157500</v>
      </c>
      <c r="M1501" s="176">
        <v>135000</v>
      </c>
      <c r="N1501" s="176">
        <v>247500</v>
      </c>
      <c r="O1501" s="176">
        <v>247500</v>
      </c>
      <c r="P1501" s="176">
        <v>247500</v>
      </c>
      <c r="Q1501" s="176">
        <v>247500</v>
      </c>
      <c r="R1501" s="176">
        <v>247500</v>
      </c>
    </row>
    <row r="1502" spans="1:18" x14ac:dyDescent="0.25">
      <c r="A1502" s="203" t="s">
        <v>944</v>
      </c>
      <c r="B1502" s="175"/>
      <c r="C1502" s="54"/>
      <c r="D1502" s="50"/>
      <c r="E1502" s="177">
        <v>114165</v>
      </c>
      <c r="F1502" s="50"/>
      <c r="G1502" s="50"/>
      <c r="I1502" s="50"/>
      <c r="J1502" s="50"/>
      <c r="K1502" s="50"/>
      <c r="L1502" s="50"/>
      <c r="M1502" s="50"/>
      <c r="N1502" s="50"/>
      <c r="O1502" s="50"/>
      <c r="P1502" s="50"/>
      <c r="Q1502" s="50"/>
      <c r="R1502" s="50"/>
    </row>
    <row r="1503" spans="1:18" x14ac:dyDescent="0.25">
      <c r="A1503" s="203" t="s">
        <v>945</v>
      </c>
      <c r="B1503" s="175"/>
      <c r="C1503" s="54"/>
      <c r="D1503" s="50"/>
      <c r="E1503" s="177">
        <v>115599</v>
      </c>
      <c r="F1503" s="50"/>
      <c r="G1503" s="50"/>
      <c r="H1503" s="50"/>
      <c r="I1503" s="50"/>
      <c r="J1503" s="50"/>
      <c r="K1503" s="50"/>
      <c r="L1503" s="50"/>
      <c r="M1503" s="50"/>
      <c r="N1503" s="50"/>
      <c r="O1503" s="50"/>
      <c r="P1503" s="50"/>
      <c r="Q1503" s="50"/>
      <c r="R1503" s="50"/>
    </row>
    <row r="1504" spans="1:18" x14ac:dyDescent="0.25">
      <c r="A1504" s="203" t="s">
        <v>946</v>
      </c>
      <c r="B1504" s="175"/>
      <c r="C1504" s="54"/>
      <c r="D1504" s="50"/>
      <c r="E1504" s="177">
        <v>41530</v>
      </c>
      <c r="F1504" s="50"/>
      <c r="G1504" s="50"/>
      <c r="H1504" s="50"/>
      <c r="I1504" s="50"/>
      <c r="J1504" s="50"/>
      <c r="K1504" s="50"/>
      <c r="L1504" s="50"/>
      <c r="M1504" s="50"/>
      <c r="N1504" s="50"/>
      <c r="O1504" s="50"/>
      <c r="P1504" s="50"/>
      <c r="Q1504" s="50"/>
      <c r="R1504" s="50"/>
    </row>
    <row r="1505" spans="1:18" x14ac:dyDescent="0.25">
      <c r="A1505" s="203" t="s">
        <v>947</v>
      </c>
      <c r="B1505" s="175"/>
      <c r="C1505" s="54"/>
      <c r="D1505" s="50"/>
      <c r="E1505" s="177">
        <v>56312</v>
      </c>
      <c r="F1505" s="50"/>
      <c r="G1505" s="50"/>
      <c r="H1505" s="50"/>
      <c r="I1505" s="50"/>
      <c r="J1505" s="50"/>
      <c r="K1505" s="50"/>
      <c r="L1505" s="50"/>
      <c r="M1505" s="50"/>
      <c r="N1505" s="50"/>
      <c r="O1505" s="50"/>
      <c r="P1505" s="50"/>
      <c r="Q1505" s="50"/>
      <c r="R1505" s="50"/>
    </row>
    <row r="1506" spans="1:18" x14ac:dyDescent="0.25">
      <c r="A1506" s="61" t="s">
        <v>948</v>
      </c>
      <c r="B1506" s="164" t="s">
        <v>245</v>
      </c>
      <c r="C1506" s="67"/>
      <c r="D1506" s="63">
        <v>21012</v>
      </c>
      <c r="E1506" s="63">
        <v>10476</v>
      </c>
      <c r="F1506" s="50"/>
      <c r="G1506" s="50"/>
      <c r="H1506" s="50"/>
      <c r="I1506" s="50"/>
      <c r="J1506" s="50"/>
      <c r="K1506" s="50"/>
      <c r="L1506" s="50"/>
      <c r="M1506" s="50"/>
      <c r="N1506" s="50"/>
      <c r="O1506" s="50"/>
    </row>
    <row r="1507" spans="1:18" x14ac:dyDescent="0.25">
      <c r="A1507" s="43" t="s">
        <v>949</v>
      </c>
      <c r="B1507" s="204" t="s">
        <v>950</v>
      </c>
      <c r="C1507" s="205">
        <v>50000</v>
      </c>
      <c r="D1507" s="206"/>
      <c r="E1507" s="205">
        <v>0</v>
      </c>
      <c r="F1507" s="205">
        <v>47803</v>
      </c>
      <c r="G1507" s="205">
        <v>50000</v>
      </c>
      <c r="H1507" s="205">
        <v>50000</v>
      </c>
      <c r="I1507" s="205">
        <v>50000</v>
      </c>
      <c r="J1507" s="205">
        <v>50000</v>
      </c>
      <c r="K1507" s="205">
        <v>50000</v>
      </c>
      <c r="L1507" s="207">
        <v>50000</v>
      </c>
      <c r="M1507" s="207">
        <v>50000</v>
      </c>
      <c r="N1507" s="207">
        <v>50000</v>
      </c>
      <c r="O1507" s="207">
        <v>50000</v>
      </c>
      <c r="P1507" s="207">
        <v>50000</v>
      </c>
      <c r="Q1507" s="207">
        <v>50000</v>
      </c>
      <c r="R1507" s="207">
        <v>50000</v>
      </c>
    </row>
    <row r="1508" spans="1:18" x14ac:dyDescent="0.25">
      <c r="A1508" s="43" t="s">
        <v>951</v>
      </c>
      <c r="C1508" s="50">
        <v>0</v>
      </c>
      <c r="D1508" s="50">
        <v>399292</v>
      </c>
      <c r="E1508" s="50">
        <v>236119</v>
      </c>
      <c r="F1508" s="50">
        <v>0</v>
      </c>
      <c r="G1508" s="50">
        <v>0</v>
      </c>
      <c r="H1508" s="50">
        <v>0</v>
      </c>
      <c r="I1508" s="50">
        <v>0</v>
      </c>
      <c r="J1508" s="50">
        <v>0</v>
      </c>
      <c r="K1508" s="50">
        <v>0</v>
      </c>
      <c r="L1508" s="50">
        <v>0</v>
      </c>
      <c r="M1508" s="50">
        <v>0</v>
      </c>
      <c r="N1508" s="50">
        <v>0</v>
      </c>
      <c r="O1508" s="50">
        <v>0</v>
      </c>
      <c r="P1508" s="50">
        <v>0</v>
      </c>
      <c r="Q1508" s="50">
        <v>0</v>
      </c>
      <c r="R1508" s="50">
        <v>0</v>
      </c>
    </row>
    <row r="1509" spans="1:18" x14ac:dyDescent="0.25">
      <c r="A1509" s="52" t="s">
        <v>952</v>
      </c>
      <c r="C1509" s="50"/>
      <c r="D1509" s="50"/>
      <c r="E1509" s="50"/>
      <c r="F1509" s="50">
        <v>13760</v>
      </c>
      <c r="G1509" s="50"/>
      <c r="H1509" s="50"/>
      <c r="I1509" s="50"/>
      <c r="J1509" s="50"/>
      <c r="K1509" s="50"/>
      <c r="L1509" s="50"/>
      <c r="M1509" s="50"/>
      <c r="N1509" s="50"/>
      <c r="O1509" s="50"/>
      <c r="P1509" s="50"/>
      <c r="Q1509" s="50"/>
      <c r="R1509" s="50"/>
    </row>
    <row r="1510" spans="1:18" x14ac:dyDescent="0.25">
      <c r="A1510" s="52" t="s">
        <v>953</v>
      </c>
      <c r="C1510" s="50"/>
      <c r="D1510" s="50"/>
      <c r="E1510" s="50"/>
      <c r="F1510" s="50">
        <v>32772</v>
      </c>
      <c r="G1510" s="50"/>
      <c r="H1510" s="50"/>
      <c r="I1510" s="50"/>
      <c r="J1510" s="50"/>
      <c r="K1510" s="50"/>
      <c r="L1510" s="50"/>
      <c r="M1510" s="50"/>
      <c r="N1510" s="50"/>
      <c r="O1510" s="50"/>
      <c r="P1510" s="50"/>
      <c r="Q1510" s="50"/>
      <c r="R1510" s="50"/>
    </row>
    <row r="1511" spans="1:18" x14ac:dyDescent="0.25">
      <c r="A1511" s="43" t="s">
        <v>883</v>
      </c>
      <c r="C1511" s="50">
        <v>15000</v>
      </c>
      <c r="D1511" s="50">
        <v>15000</v>
      </c>
      <c r="E1511" s="50">
        <v>15000</v>
      </c>
      <c r="F1511" s="50">
        <v>14621</v>
      </c>
      <c r="G1511" s="50">
        <v>15000</v>
      </c>
      <c r="H1511" s="50">
        <v>15000</v>
      </c>
      <c r="I1511" s="50">
        <v>15000</v>
      </c>
      <c r="J1511" s="50">
        <v>15000</v>
      </c>
      <c r="K1511" s="50">
        <v>15000</v>
      </c>
      <c r="L1511" s="50">
        <v>15000</v>
      </c>
      <c r="M1511" s="50">
        <v>15000</v>
      </c>
      <c r="N1511" s="50">
        <v>15000</v>
      </c>
      <c r="O1511" s="50">
        <v>15000</v>
      </c>
      <c r="P1511" s="50">
        <v>15000</v>
      </c>
      <c r="Q1511" s="50">
        <v>15000</v>
      </c>
      <c r="R1511" s="50">
        <v>15000</v>
      </c>
    </row>
    <row r="1512" spans="1:18" x14ac:dyDescent="0.25">
      <c r="A1512" s="43" t="s">
        <v>954</v>
      </c>
      <c r="B1512" s="204" t="s">
        <v>950</v>
      </c>
      <c r="C1512" s="205">
        <v>145000</v>
      </c>
      <c r="D1512" s="206">
        <v>134572</v>
      </c>
      <c r="E1512" s="206">
        <v>0</v>
      </c>
      <c r="F1512" s="205">
        <v>136428</v>
      </c>
      <c r="G1512" s="205">
        <v>145000</v>
      </c>
      <c r="H1512" s="205">
        <v>145000</v>
      </c>
      <c r="I1512" s="205">
        <v>145000</v>
      </c>
      <c r="J1512" s="205">
        <v>145000</v>
      </c>
      <c r="K1512" s="205">
        <v>145000</v>
      </c>
      <c r="L1512" s="207">
        <v>145000</v>
      </c>
      <c r="M1512" s="207">
        <v>145000</v>
      </c>
      <c r="N1512" s="207">
        <v>145000</v>
      </c>
      <c r="O1512" s="207">
        <v>145000</v>
      </c>
      <c r="P1512" s="207">
        <v>145000</v>
      </c>
      <c r="Q1512" s="207">
        <v>145000</v>
      </c>
      <c r="R1512" s="207">
        <v>145000</v>
      </c>
    </row>
    <row r="1513" spans="1:18" x14ac:dyDescent="0.25">
      <c r="A1513" s="208" t="s">
        <v>955</v>
      </c>
      <c r="B1513" s="204" t="s">
        <v>950</v>
      </c>
      <c r="C1513" s="205">
        <f>529242-145000-50000</f>
        <v>334242</v>
      </c>
      <c r="D1513" s="206">
        <v>229862</v>
      </c>
      <c r="E1513" s="209">
        <f>84905+1400+37378+5100+75389+103450</f>
        <v>307622</v>
      </c>
      <c r="F1513" s="205">
        <v>306646</v>
      </c>
      <c r="G1513" s="205">
        <v>189016</v>
      </c>
      <c r="H1513" s="205">
        <f>516000-195000</f>
        <v>321000</v>
      </c>
      <c r="I1513" s="205">
        <f>527000-195000</f>
        <v>332000</v>
      </c>
      <c r="J1513" s="205">
        <f>546000-195000</f>
        <v>351000</v>
      </c>
      <c r="K1513" s="205">
        <f>513000-195000</f>
        <v>318000</v>
      </c>
      <c r="L1513" s="207">
        <f>541000-195000</f>
        <v>346000</v>
      </c>
      <c r="M1513" s="207">
        <f>550000-195000</f>
        <v>355000</v>
      </c>
      <c r="N1513" s="207">
        <f t="shared" ref="N1513:R1513" si="867">550000-195000</f>
        <v>355000</v>
      </c>
      <c r="O1513" s="207">
        <f t="shared" si="867"/>
        <v>355000</v>
      </c>
      <c r="P1513" s="207">
        <f t="shared" si="867"/>
        <v>355000</v>
      </c>
      <c r="Q1513" s="207">
        <f t="shared" si="867"/>
        <v>355000</v>
      </c>
      <c r="R1513" s="207">
        <f t="shared" si="867"/>
        <v>355000</v>
      </c>
    </row>
    <row r="1514" spans="1:18" x14ac:dyDescent="0.25">
      <c r="A1514" s="210" t="s">
        <v>956</v>
      </c>
      <c r="B1514" s="204"/>
      <c r="C1514" s="205"/>
      <c r="D1514" s="206">
        <v>0</v>
      </c>
      <c r="E1514" s="50"/>
      <c r="F1514" s="50"/>
      <c r="G1514" s="50"/>
      <c r="H1514" s="50"/>
      <c r="I1514" s="50"/>
      <c r="J1514" s="50"/>
      <c r="K1514" s="50"/>
      <c r="L1514" s="50"/>
      <c r="M1514" s="50"/>
      <c r="N1514" s="50"/>
      <c r="O1514" s="50"/>
    </row>
    <row r="1515" spans="1:18" x14ac:dyDescent="0.25">
      <c r="A1515" s="210" t="s">
        <v>957</v>
      </c>
      <c r="B1515" s="204"/>
      <c r="C1515" s="205"/>
      <c r="D1515" s="206">
        <v>36122</v>
      </c>
      <c r="E1515" s="50"/>
      <c r="F1515" s="50"/>
      <c r="G1515" s="50"/>
      <c r="H1515" s="50"/>
      <c r="I1515" s="50"/>
      <c r="J1515" s="50"/>
      <c r="K1515" s="50"/>
      <c r="L1515" s="50"/>
      <c r="M1515" s="50"/>
      <c r="N1515" s="50"/>
      <c r="O1515" s="50"/>
    </row>
    <row r="1516" spans="1:18" s="43" customFormat="1" x14ac:dyDescent="0.25">
      <c r="A1516" s="210" t="s">
        <v>958</v>
      </c>
      <c r="B1516" s="42"/>
      <c r="C1516" s="50"/>
      <c r="D1516" s="50"/>
      <c r="E1516" s="206">
        <v>78471</v>
      </c>
      <c r="F1516" s="50"/>
      <c r="G1516" s="50"/>
      <c r="H1516" s="50"/>
      <c r="I1516" s="50"/>
      <c r="J1516" s="50"/>
      <c r="K1516" s="50"/>
      <c r="L1516" s="50"/>
      <c r="M1516" s="50"/>
      <c r="N1516" s="50"/>
      <c r="O1516" s="50"/>
    </row>
    <row r="1517" spans="1:18" s="43" customFormat="1" x14ac:dyDescent="0.25">
      <c r="A1517" s="210" t="s">
        <v>959</v>
      </c>
      <c r="B1517" s="42"/>
      <c r="C1517" s="50"/>
      <c r="D1517" s="50"/>
      <c r="E1517" s="206">
        <v>83030</v>
      </c>
      <c r="F1517" s="50"/>
      <c r="G1517" s="50"/>
      <c r="H1517" s="50"/>
      <c r="I1517" s="50"/>
      <c r="J1517" s="50"/>
      <c r="K1517" s="50"/>
      <c r="L1517" s="50"/>
      <c r="M1517" s="50"/>
      <c r="N1517" s="50"/>
      <c r="O1517" s="50"/>
    </row>
    <row r="1518" spans="1:18" x14ac:dyDescent="0.25">
      <c r="A1518" s="146" t="s">
        <v>937</v>
      </c>
      <c r="B1518" s="164" t="s">
        <v>245</v>
      </c>
      <c r="C1518" s="50"/>
      <c r="D1518" s="130"/>
      <c r="E1518" s="63">
        <v>0</v>
      </c>
      <c r="G1518" s="50"/>
      <c r="H1518" s="50"/>
      <c r="I1518" s="50"/>
      <c r="J1518" s="50"/>
      <c r="K1518" s="50"/>
      <c r="L1518" s="50"/>
      <c r="M1518" s="50"/>
      <c r="N1518" s="50"/>
      <c r="O1518" s="50"/>
    </row>
    <row r="1519" spans="1:18" x14ac:dyDescent="0.25">
      <c r="A1519" s="146" t="s">
        <v>938</v>
      </c>
      <c r="B1519" s="164" t="s">
        <v>245</v>
      </c>
      <c r="C1519" s="50"/>
      <c r="D1519" s="50"/>
      <c r="E1519" s="130">
        <v>33110</v>
      </c>
      <c r="F1519" s="130">
        <v>8006</v>
      </c>
      <c r="G1519" s="50"/>
      <c r="H1519" s="50"/>
      <c r="I1519" s="50"/>
      <c r="J1519" s="50"/>
      <c r="K1519" s="50"/>
      <c r="L1519" s="50"/>
      <c r="M1519" s="50"/>
      <c r="N1519" s="50"/>
      <c r="O1519" s="50"/>
    </row>
    <row r="1520" spans="1:18" x14ac:dyDescent="0.25">
      <c r="A1520" s="146" t="s">
        <v>960</v>
      </c>
      <c r="B1520" s="164"/>
      <c r="C1520" s="50"/>
      <c r="D1520" s="50"/>
      <c r="E1520" s="130">
        <v>59000</v>
      </c>
      <c r="F1520" s="50"/>
      <c r="G1520" s="50"/>
      <c r="H1520" s="50"/>
      <c r="I1520" s="50"/>
      <c r="J1520" s="50"/>
      <c r="K1520" s="50"/>
      <c r="L1520" s="50"/>
      <c r="M1520" s="50"/>
      <c r="N1520" s="50"/>
      <c r="O1520" s="50"/>
    </row>
    <row r="1521" spans="1:18" x14ac:dyDescent="0.25">
      <c r="A1521" s="211" t="s">
        <v>961</v>
      </c>
      <c r="B1521" s="212" t="s">
        <v>590</v>
      </c>
      <c r="C1521" s="54">
        <v>1908</v>
      </c>
      <c r="D1521" s="160">
        <v>112808</v>
      </c>
      <c r="E1521" s="160">
        <v>34385</v>
      </c>
      <c r="F1521" s="160">
        <v>0</v>
      </c>
      <c r="G1521" s="160">
        <v>96681</v>
      </c>
      <c r="H1521" s="160">
        <v>161655</v>
      </c>
      <c r="I1521" s="160">
        <v>103050</v>
      </c>
      <c r="J1521" s="160">
        <v>112620</v>
      </c>
      <c r="K1521" s="160">
        <v>118850</v>
      </c>
      <c r="L1521" s="160">
        <v>125200</v>
      </c>
      <c r="M1521" s="161">
        <v>127720</v>
      </c>
      <c r="N1521" s="162">
        <v>120650</v>
      </c>
      <c r="O1521" s="162">
        <v>130000</v>
      </c>
      <c r="P1521" s="162">
        <v>130000</v>
      </c>
      <c r="Q1521" s="162">
        <v>130000</v>
      </c>
      <c r="R1521" s="162">
        <v>130000</v>
      </c>
    </row>
    <row r="1522" spans="1:18" s="43" customFormat="1" x14ac:dyDescent="0.25">
      <c r="A1522" s="211" t="s">
        <v>962</v>
      </c>
      <c r="B1522" s="212" t="s">
        <v>590</v>
      </c>
      <c r="C1522" s="50"/>
      <c r="D1522" s="50"/>
      <c r="E1522" s="160">
        <v>1190</v>
      </c>
      <c r="F1522" s="160">
        <v>10308</v>
      </c>
      <c r="G1522" s="50"/>
      <c r="H1522" s="50"/>
      <c r="I1522" s="50"/>
      <c r="J1522" s="50"/>
      <c r="K1522" s="50"/>
      <c r="L1522" s="50"/>
      <c r="M1522" s="50"/>
      <c r="N1522" s="50"/>
      <c r="O1522" s="50"/>
    </row>
    <row r="1523" spans="1:18" s="43" customFormat="1" x14ac:dyDescent="0.25">
      <c r="A1523" s="211" t="s">
        <v>963</v>
      </c>
      <c r="B1523" s="212"/>
      <c r="C1523" s="50"/>
      <c r="D1523" s="50"/>
      <c r="E1523" s="160"/>
      <c r="F1523" s="50"/>
      <c r="G1523" s="50"/>
      <c r="H1523" s="50"/>
      <c r="I1523" s="50"/>
      <c r="J1523" s="50"/>
      <c r="K1523" s="50"/>
      <c r="L1523" s="50"/>
      <c r="M1523" s="50"/>
      <c r="N1523" s="50"/>
      <c r="O1523" s="50"/>
    </row>
    <row r="1524" spans="1:18" s="43" customFormat="1" x14ac:dyDescent="0.25">
      <c r="A1524" s="211" t="s">
        <v>964</v>
      </c>
      <c r="B1524" s="212" t="s">
        <v>590</v>
      </c>
      <c r="C1524" s="50"/>
      <c r="D1524" s="50"/>
      <c r="E1524" s="160">
        <v>27200</v>
      </c>
      <c r="F1524" s="50"/>
      <c r="G1524" s="50"/>
      <c r="H1524" s="50"/>
      <c r="I1524" s="50"/>
      <c r="J1524" s="50"/>
      <c r="K1524" s="50"/>
      <c r="L1524" s="50"/>
      <c r="M1524" s="50"/>
      <c r="N1524" s="50"/>
      <c r="O1524" s="50"/>
    </row>
    <row r="1525" spans="1:18" s="43" customFormat="1" x14ac:dyDescent="0.25">
      <c r="A1525" s="211" t="s">
        <v>965</v>
      </c>
      <c r="B1525" s="212" t="s">
        <v>590</v>
      </c>
      <c r="C1525" s="50"/>
      <c r="D1525" s="50"/>
      <c r="E1525" s="160">
        <v>4480</v>
      </c>
      <c r="F1525" s="50"/>
      <c r="G1525" s="50"/>
      <c r="H1525" s="50"/>
      <c r="I1525" s="50"/>
      <c r="J1525" s="50"/>
      <c r="K1525" s="50"/>
      <c r="L1525" s="50"/>
      <c r="M1525" s="50"/>
      <c r="N1525" s="50"/>
      <c r="O1525" s="50"/>
    </row>
    <row r="1526" spans="1:18" s="43" customFormat="1" x14ac:dyDescent="0.25">
      <c r="A1526" s="211" t="s">
        <v>966</v>
      </c>
      <c r="B1526" s="212" t="s">
        <v>590</v>
      </c>
      <c r="C1526" s="50"/>
      <c r="D1526" s="50"/>
      <c r="E1526" s="160">
        <v>46040</v>
      </c>
      <c r="F1526" s="160">
        <v>53414</v>
      </c>
      <c r="G1526" s="50"/>
      <c r="H1526" s="50"/>
      <c r="I1526" s="50"/>
      <c r="J1526" s="50"/>
      <c r="K1526" s="50"/>
      <c r="L1526" s="50"/>
      <c r="M1526" s="50"/>
      <c r="N1526" s="50"/>
      <c r="O1526" s="50"/>
    </row>
    <row r="1527" spans="1:18" s="43" customFormat="1" x14ac:dyDescent="0.25">
      <c r="A1527" s="52" t="s">
        <v>966</v>
      </c>
      <c r="B1527" s="53"/>
      <c r="C1527" s="50"/>
      <c r="D1527" s="50"/>
      <c r="E1527" s="50"/>
      <c r="F1527" s="50">
        <v>18366</v>
      </c>
      <c r="G1527" s="50"/>
      <c r="H1527" s="50"/>
      <c r="I1527" s="50"/>
      <c r="J1527" s="50"/>
      <c r="K1527" s="50"/>
      <c r="L1527" s="50"/>
      <c r="M1527" s="50"/>
      <c r="N1527" s="50"/>
      <c r="O1527" s="50"/>
    </row>
    <row r="1528" spans="1:18" x14ac:dyDescent="0.25">
      <c r="A1528" s="213" t="s">
        <v>967</v>
      </c>
      <c r="B1528" s="212" t="s">
        <v>590</v>
      </c>
      <c r="C1528" s="54">
        <v>77639</v>
      </c>
      <c r="D1528" s="160">
        <v>2568</v>
      </c>
      <c r="E1528" s="160">
        <v>68787</v>
      </c>
      <c r="F1528" s="160">
        <v>36133</v>
      </c>
      <c r="G1528" s="160">
        <v>100270</v>
      </c>
      <c r="H1528" s="160">
        <v>98416</v>
      </c>
      <c r="I1528" s="160">
        <v>89325</v>
      </c>
      <c r="J1528" s="160">
        <v>98000</v>
      </c>
      <c r="K1528" s="160">
        <v>81550</v>
      </c>
      <c r="L1528" s="160">
        <v>96000</v>
      </c>
      <c r="M1528" s="161">
        <v>92627</v>
      </c>
      <c r="N1528" s="162">
        <v>111087</v>
      </c>
      <c r="O1528" s="162">
        <v>111087</v>
      </c>
      <c r="P1528" s="162">
        <v>111087</v>
      </c>
      <c r="Q1528" s="162">
        <v>111087</v>
      </c>
      <c r="R1528" s="162">
        <v>111087</v>
      </c>
    </row>
    <row r="1529" spans="1:18" x14ac:dyDescent="0.25">
      <c r="A1529" s="213" t="s">
        <v>968</v>
      </c>
      <c r="B1529" s="212"/>
      <c r="C1529" s="54"/>
      <c r="D1529" s="50"/>
      <c r="E1529" s="50"/>
      <c r="F1529" s="50"/>
      <c r="G1529" s="160"/>
      <c r="H1529" s="50"/>
      <c r="I1529" s="50"/>
      <c r="J1529" s="50"/>
      <c r="K1529" s="50"/>
      <c r="L1529" s="50"/>
      <c r="M1529" s="50"/>
    </row>
    <row r="1530" spans="1:18" x14ac:dyDescent="0.25">
      <c r="A1530" s="213" t="s">
        <v>969</v>
      </c>
      <c r="B1530" s="212"/>
      <c r="C1530" s="54"/>
      <c r="D1530" s="50"/>
      <c r="E1530" s="50"/>
      <c r="F1530" s="50"/>
      <c r="G1530" s="160"/>
      <c r="H1530" s="50"/>
      <c r="I1530" s="50"/>
      <c r="J1530" s="50"/>
      <c r="K1530" s="50"/>
      <c r="L1530" s="50"/>
      <c r="M1530" s="50"/>
    </row>
    <row r="1531" spans="1:18" x14ac:dyDescent="0.25">
      <c r="A1531" s="213" t="s">
        <v>970</v>
      </c>
      <c r="B1531" s="212"/>
      <c r="C1531" s="54"/>
      <c r="D1531" s="50"/>
      <c r="E1531" s="50"/>
      <c r="F1531" s="50"/>
      <c r="G1531" s="160"/>
      <c r="H1531" s="50"/>
      <c r="I1531" s="50"/>
      <c r="J1531" s="50"/>
      <c r="K1531" s="50"/>
      <c r="L1531" s="50"/>
      <c r="M1531" s="50"/>
    </row>
    <row r="1532" spans="1:18" s="43" customFormat="1" x14ac:dyDescent="0.25">
      <c r="A1532" s="213" t="s">
        <v>971</v>
      </c>
      <c r="B1532" s="212" t="s">
        <v>590</v>
      </c>
      <c r="C1532" s="50"/>
      <c r="D1532" s="50"/>
      <c r="E1532" s="160">
        <v>56107</v>
      </c>
      <c r="F1532" s="50"/>
      <c r="G1532" s="50"/>
      <c r="H1532" s="50"/>
      <c r="I1532" s="50"/>
      <c r="J1532" s="50"/>
      <c r="K1532" s="50"/>
      <c r="L1532" s="50"/>
      <c r="M1532" s="50"/>
      <c r="N1532" s="50"/>
      <c r="O1532" s="50"/>
    </row>
    <row r="1533" spans="1:18" s="43" customFormat="1" x14ac:dyDescent="0.25">
      <c r="A1533" s="213" t="s">
        <v>972</v>
      </c>
      <c r="B1533" s="212" t="s">
        <v>590</v>
      </c>
      <c r="C1533" s="50"/>
      <c r="D1533" s="50"/>
      <c r="E1533" s="160">
        <v>0</v>
      </c>
      <c r="F1533" s="50"/>
      <c r="G1533" s="50"/>
      <c r="H1533" s="50"/>
      <c r="I1533" s="50"/>
      <c r="J1533" s="50"/>
      <c r="K1533" s="50"/>
      <c r="L1533" s="50"/>
      <c r="M1533" s="50"/>
      <c r="N1533" s="50"/>
      <c r="O1533" s="50"/>
    </row>
    <row r="1534" spans="1:18" s="43" customFormat="1" x14ac:dyDescent="0.25">
      <c r="A1534" s="213" t="s">
        <v>973</v>
      </c>
      <c r="B1534" s="212" t="s">
        <v>590</v>
      </c>
      <c r="C1534" s="50"/>
      <c r="D1534" s="50"/>
      <c r="E1534" s="160">
        <v>35910</v>
      </c>
      <c r="F1534" s="50"/>
      <c r="G1534" s="50"/>
      <c r="H1534" s="50"/>
      <c r="I1534" s="50"/>
      <c r="J1534" s="50"/>
      <c r="K1534" s="50"/>
      <c r="L1534" s="50"/>
      <c r="M1534" s="50"/>
      <c r="N1534" s="50"/>
      <c r="O1534" s="50"/>
    </row>
    <row r="1535" spans="1:18" x14ac:dyDescent="0.25">
      <c r="A1535" s="43" t="s">
        <v>974</v>
      </c>
      <c r="C1535" s="50">
        <v>0</v>
      </c>
      <c r="D1535" s="50">
        <v>0</v>
      </c>
      <c r="E1535" s="50">
        <v>0</v>
      </c>
      <c r="F1535" s="50">
        <v>0</v>
      </c>
      <c r="G1535" s="50">
        <v>0</v>
      </c>
      <c r="H1535" s="50">
        <v>0</v>
      </c>
      <c r="I1535" s="50">
        <v>0</v>
      </c>
      <c r="J1535" s="50">
        <v>0</v>
      </c>
      <c r="K1535" s="50">
        <v>0</v>
      </c>
      <c r="L1535" s="50">
        <v>0</v>
      </c>
      <c r="M1535" s="50">
        <v>0</v>
      </c>
      <c r="N1535" s="50">
        <v>0</v>
      </c>
      <c r="O1535" s="50">
        <v>0</v>
      </c>
    </row>
    <row r="1536" spans="1:18" x14ac:dyDescent="0.25">
      <c r="A1536" s="61" t="s">
        <v>933</v>
      </c>
      <c r="B1536" s="129" t="s">
        <v>245</v>
      </c>
      <c r="C1536" s="50"/>
      <c r="D1536" s="63">
        <v>16165</v>
      </c>
      <c r="E1536" s="63">
        <v>16751</v>
      </c>
      <c r="F1536" s="63">
        <v>17491</v>
      </c>
      <c r="G1536" s="63">
        <v>0</v>
      </c>
      <c r="H1536" s="50"/>
      <c r="I1536" s="50"/>
      <c r="J1536" s="50"/>
      <c r="K1536" s="50"/>
      <c r="L1536" s="50"/>
      <c r="M1536" s="50"/>
      <c r="N1536" s="50"/>
      <c r="O1536" s="50"/>
    </row>
    <row r="1537" spans="1:18" x14ac:dyDescent="0.25">
      <c r="A1537" s="41" t="s">
        <v>975</v>
      </c>
      <c r="B1537" s="44"/>
      <c r="C1537" s="50"/>
      <c r="D1537" s="50"/>
      <c r="E1537" s="50"/>
      <c r="F1537" s="50"/>
      <c r="G1537" s="50"/>
      <c r="H1537" s="50"/>
      <c r="I1537" s="50"/>
      <c r="J1537" s="50"/>
      <c r="K1537" s="50"/>
      <c r="L1537" s="50"/>
      <c r="M1537" s="50"/>
      <c r="N1537" s="50"/>
      <c r="O1537" s="50"/>
    </row>
    <row r="1538" spans="1:18" x14ac:dyDescent="0.25">
      <c r="A1538" s="214" t="s">
        <v>976</v>
      </c>
      <c r="B1538" s="84" t="s">
        <v>317</v>
      </c>
      <c r="C1538" s="50"/>
      <c r="D1538" s="85"/>
      <c r="E1538" s="85">
        <v>0</v>
      </c>
      <c r="F1538" s="50"/>
      <c r="G1538" s="50"/>
      <c r="H1538" s="50"/>
      <c r="I1538" s="50"/>
      <c r="J1538" s="50"/>
      <c r="K1538" s="89">
        <v>30000</v>
      </c>
      <c r="L1538" s="50"/>
      <c r="M1538" s="50"/>
      <c r="N1538" s="50"/>
    </row>
    <row r="1539" spans="1:18" x14ac:dyDescent="0.25">
      <c r="C1539" s="50"/>
      <c r="D1539" s="50"/>
      <c r="E1539" s="50"/>
      <c r="F1539" s="50"/>
      <c r="G1539" s="50"/>
      <c r="H1539" s="50"/>
      <c r="I1539" s="50"/>
      <c r="J1539" s="50"/>
      <c r="K1539" s="50"/>
      <c r="L1539" s="50"/>
      <c r="M1539" s="50"/>
      <c r="N1539" s="50"/>
      <c r="O1539" s="50"/>
      <c r="P1539" s="50"/>
      <c r="Q1539" s="50"/>
      <c r="R1539" s="50"/>
    </row>
    <row r="1540" spans="1:18" x14ac:dyDescent="0.25">
      <c r="A1540" s="41" t="s">
        <v>107</v>
      </c>
      <c r="B1540" s="44"/>
      <c r="C1540" s="51">
        <f t="shared" ref="C1540:Q1540" si="868">SUM(C1498:C1539)</f>
        <v>775840</v>
      </c>
      <c r="D1540" s="51">
        <f t="shared" si="868"/>
        <v>1113814</v>
      </c>
      <c r="E1540" s="51">
        <f t="shared" si="868"/>
        <v>1639125</v>
      </c>
      <c r="F1540" s="51">
        <f t="shared" si="868"/>
        <v>864155</v>
      </c>
      <c r="G1540" s="51">
        <f t="shared" ref="G1540" si="869">SUM(G1498:G1539)</f>
        <v>769540</v>
      </c>
      <c r="H1540" s="51">
        <f t="shared" si="868"/>
        <v>1244971</v>
      </c>
      <c r="I1540" s="51">
        <f t="shared" si="868"/>
        <v>1185190</v>
      </c>
      <c r="J1540" s="51">
        <f t="shared" si="868"/>
        <v>1305357.76</v>
      </c>
      <c r="K1540" s="51">
        <f t="shared" si="868"/>
        <v>1192288.46624</v>
      </c>
      <c r="L1540" s="51">
        <f>SUM(L1498:L1539)</f>
        <v>1164046.82596352</v>
      </c>
      <c r="M1540" s="51">
        <f t="shared" si="868"/>
        <v>1246854.5361347175</v>
      </c>
      <c r="N1540" s="51">
        <f t="shared" si="868"/>
        <v>1490173.509465816</v>
      </c>
      <c r="O1540" s="51">
        <f t="shared" si="868"/>
        <v>1198866.9222024614</v>
      </c>
      <c r="P1540" s="51">
        <f t="shared" si="868"/>
        <v>1469563.9202575227</v>
      </c>
      <c r="Q1540" s="51">
        <f t="shared" si="868"/>
        <v>1419233.5663437033</v>
      </c>
      <c r="R1540" s="51">
        <f t="shared" ref="R1540" si="870">SUM(R1498:R1539)</f>
        <v>1419381.6839359524</v>
      </c>
    </row>
    <row r="1541" spans="1:18" x14ac:dyDescent="0.25">
      <c r="C1541" s="50"/>
      <c r="D1541" s="50"/>
      <c r="E1541" s="50"/>
      <c r="F1541" s="50"/>
      <c r="G1541" s="50"/>
      <c r="H1541" s="50"/>
      <c r="I1541" s="50"/>
      <c r="J1541" s="50"/>
      <c r="K1541" s="50"/>
      <c r="L1541" s="50"/>
      <c r="M1541" s="50"/>
      <c r="N1541" s="50"/>
      <c r="O1541" s="50"/>
      <c r="P1541" s="50"/>
      <c r="Q1541" s="50"/>
      <c r="R1541" s="50"/>
    </row>
    <row r="1542" spans="1:18" x14ac:dyDescent="0.25">
      <c r="A1542" s="41" t="s">
        <v>851</v>
      </c>
      <c r="B1542" s="44"/>
      <c r="C1542" s="51">
        <f t="shared" ref="C1542:R1542" si="871">C1540+C1484-C1433-C1493</f>
        <v>3030760</v>
      </c>
      <c r="D1542" s="51">
        <f t="shared" si="871"/>
        <v>3014111</v>
      </c>
      <c r="E1542" s="51">
        <f t="shared" si="871"/>
        <v>3828819</v>
      </c>
      <c r="F1542" s="51">
        <f t="shared" si="871"/>
        <v>3481402</v>
      </c>
      <c r="G1542" s="51">
        <f t="shared" si="871"/>
        <v>3112100</v>
      </c>
      <c r="H1542" s="51">
        <f t="shared" si="871"/>
        <v>2833954</v>
      </c>
      <c r="I1542" s="51">
        <f t="shared" si="871"/>
        <v>3724633.9850000003</v>
      </c>
      <c r="J1542" s="51">
        <f t="shared" si="871"/>
        <v>3917976.7623400004</v>
      </c>
      <c r="K1542" s="51">
        <f t="shared" si="871"/>
        <v>3825866.21916366</v>
      </c>
      <c r="L1542" s="51">
        <f t="shared" si="871"/>
        <v>3863525.9348111995</v>
      </c>
      <c r="M1542" s="51">
        <f t="shared" si="871"/>
        <v>4017509.0000408636</v>
      </c>
      <c r="N1542" s="51">
        <f t="shared" si="871"/>
        <v>4334613.2540794285</v>
      </c>
      <c r="O1542" s="51">
        <f t="shared" si="871"/>
        <v>4123784.9470260199</v>
      </c>
      <c r="P1542" s="51">
        <f t="shared" si="871"/>
        <v>4479815.7723894184</v>
      </c>
      <c r="Q1542" s="51">
        <f t="shared" si="871"/>
        <v>4515688.1989348931</v>
      </c>
      <c r="R1542" s="51">
        <f t="shared" si="871"/>
        <v>4590720.5210167039</v>
      </c>
    </row>
    <row r="1543" spans="1:18" x14ac:dyDescent="0.25">
      <c r="C1543" s="50"/>
      <c r="D1543" s="50"/>
      <c r="E1543" s="50"/>
      <c r="F1543" s="50"/>
      <c r="G1543" s="50"/>
      <c r="H1543" s="50"/>
      <c r="I1543" s="50"/>
      <c r="J1543" s="50"/>
      <c r="K1543" s="50"/>
      <c r="L1543" s="50"/>
      <c r="M1543" s="50"/>
      <c r="N1543" s="50"/>
      <c r="O1543" s="50"/>
      <c r="P1543" s="50"/>
      <c r="Q1543" s="50"/>
      <c r="R1543" s="50"/>
    </row>
    <row r="1544" spans="1:18" x14ac:dyDescent="0.25">
      <c r="A1544" s="41" t="s">
        <v>977</v>
      </c>
      <c r="B1544" s="44"/>
      <c r="C1544" s="50"/>
      <c r="D1544" s="50"/>
      <c r="E1544" s="50"/>
      <c r="F1544" s="50"/>
      <c r="G1544" s="50"/>
      <c r="H1544" s="50"/>
      <c r="I1544" s="50"/>
      <c r="J1544" s="50"/>
      <c r="K1544" s="50"/>
      <c r="L1544" s="50"/>
      <c r="M1544" s="50"/>
      <c r="N1544" s="50"/>
      <c r="O1544" s="50"/>
      <c r="P1544" s="50"/>
      <c r="Q1544" s="50"/>
      <c r="R1544" s="50"/>
    </row>
    <row r="1545" spans="1:18" x14ac:dyDescent="0.25">
      <c r="A1545" s="41"/>
      <c r="B1545" s="44"/>
      <c r="C1545" s="50"/>
      <c r="D1545" s="50"/>
      <c r="E1545" s="50"/>
      <c r="F1545" s="50"/>
      <c r="G1545" s="50"/>
      <c r="H1545" s="50"/>
      <c r="I1545" s="50"/>
      <c r="J1545" s="50"/>
      <c r="K1545" s="50"/>
      <c r="L1545" s="50"/>
      <c r="M1545" s="50"/>
      <c r="N1545" s="50"/>
      <c r="O1545" s="50"/>
      <c r="P1545" s="50"/>
      <c r="Q1545" s="50"/>
      <c r="R1545" s="50"/>
    </row>
    <row r="1546" spans="1:18" x14ac:dyDescent="0.25">
      <c r="A1546" s="41" t="s">
        <v>202</v>
      </c>
      <c r="B1546" s="44"/>
      <c r="C1546" s="50"/>
      <c r="D1546" s="50"/>
      <c r="E1546" s="50"/>
      <c r="F1546" s="50"/>
      <c r="G1546" s="50"/>
      <c r="H1546" s="50"/>
      <c r="I1546" s="50"/>
      <c r="J1546" s="50"/>
      <c r="K1546" s="50"/>
      <c r="L1546" s="50"/>
      <c r="M1546" s="50"/>
      <c r="N1546" s="50"/>
      <c r="O1546" s="50"/>
      <c r="P1546" s="50"/>
      <c r="Q1546" s="50"/>
      <c r="R1546" s="50"/>
    </row>
    <row r="1547" spans="1:18" x14ac:dyDescent="0.25">
      <c r="A1547" s="41"/>
      <c r="B1547" s="44"/>
      <c r="C1547" s="50"/>
      <c r="D1547" s="50"/>
      <c r="E1547" s="50"/>
      <c r="F1547" s="50"/>
      <c r="G1547" s="50"/>
      <c r="H1547" s="50"/>
      <c r="I1547" s="50"/>
      <c r="J1547" s="50"/>
      <c r="K1547" s="50"/>
      <c r="L1547" s="50"/>
      <c r="M1547" s="50"/>
      <c r="N1547" s="50"/>
      <c r="O1547" s="50"/>
      <c r="P1547" s="50"/>
      <c r="Q1547" s="50"/>
      <c r="R1547" s="50"/>
    </row>
    <row r="1548" spans="1:18" x14ac:dyDescent="0.25">
      <c r="A1548" s="52" t="s">
        <v>978</v>
      </c>
      <c r="B1548" s="53"/>
      <c r="C1548" s="54">
        <v>231191</v>
      </c>
      <c r="D1548" s="50">
        <v>218266</v>
      </c>
      <c r="E1548">
        <v>259705</v>
      </c>
      <c r="F1548" s="50">
        <v>207092</v>
      </c>
      <c r="G1548" s="50">
        <v>219917</v>
      </c>
      <c r="H1548" s="50">
        <v>235000</v>
      </c>
      <c r="I1548" s="54">
        <f t="shared" ref="I1548:I1553" si="872">H1548*1.023</f>
        <v>240404.99999999997</v>
      </c>
      <c r="J1548" s="54">
        <f t="shared" ref="J1548:K1553" si="873">I1548*1.024</f>
        <v>246174.71999999997</v>
      </c>
      <c r="K1548" s="54">
        <f t="shared" si="873"/>
        <v>252082.91327999998</v>
      </c>
      <c r="L1548" s="54">
        <f t="shared" ref="L1548:L1553" si="874">K1548*1.023</f>
        <v>257880.82028543996</v>
      </c>
      <c r="M1548" s="54">
        <f t="shared" ref="M1548:M1553" si="875">L1548*1.022</f>
        <v>263554.19833171961</v>
      </c>
      <c r="N1548" s="54">
        <f t="shared" ref="N1548:N1553" si="876">M1548*1.023</f>
        <v>269615.94489334914</v>
      </c>
      <c r="O1548" s="54">
        <f t="shared" ref="O1548:P1553" si="877">N1548*1.025</f>
        <v>276356.34351568285</v>
      </c>
      <c r="P1548" s="54">
        <f t="shared" si="877"/>
        <v>283265.25210357492</v>
      </c>
      <c r="Q1548" s="54">
        <f t="shared" ref="Q1548:R1553" si="878">P1548*1.024</f>
        <v>290063.61815406074</v>
      </c>
      <c r="R1548" s="54">
        <f t="shared" si="878"/>
        <v>297025.14498975821</v>
      </c>
    </row>
    <row r="1549" spans="1:18" x14ac:dyDescent="0.25">
      <c r="A1549" s="52" t="s">
        <v>979</v>
      </c>
      <c r="B1549" s="53"/>
      <c r="C1549" s="54">
        <v>0</v>
      </c>
      <c r="D1549" s="54">
        <v>73736</v>
      </c>
      <c r="E1549" s="50">
        <f>132527+1182</f>
        <v>133709</v>
      </c>
      <c r="F1549" s="54">
        <v>134910</v>
      </c>
      <c r="G1549" s="54">
        <v>143979</v>
      </c>
      <c r="H1549" s="54">
        <v>150000</v>
      </c>
      <c r="I1549" s="54">
        <f t="shared" si="872"/>
        <v>153450</v>
      </c>
      <c r="J1549" s="54">
        <f t="shared" si="873"/>
        <v>157132.80000000002</v>
      </c>
      <c r="K1549" s="54">
        <f t="shared" si="873"/>
        <v>160903.98720000003</v>
      </c>
      <c r="L1549" s="54">
        <f t="shared" si="874"/>
        <v>164604.77890560002</v>
      </c>
      <c r="M1549" s="54">
        <f t="shared" si="875"/>
        <v>168226.08404152322</v>
      </c>
      <c r="N1549" s="54">
        <f t="shared" si="876"/>
        <v>172095.28397447825</v>
      </c>
      <c r="O1549" s="54">
        <f t="shared" si="877"/>
        <v>176397.6660738402</v>
      </c>
      <c r="P1549" s="54">
        <f t="shared" si="877"/>
        <v>180807.60772568619</v>
      </c>
      <c r="Q1549" s="54">
        <f t="shared" si="878"/>
        <v>185146.99031110265</v>
      </c>
      <c r="R1549" s="54">
        <f t="shared" si="878"/>
        <v>189590.51807856912</v>
      </c>
    </row>
    <row r="1550" spans="1:18" x14ac:dyDescent="0.25">
      <c r="A1550" s="52" t="s">
        <v>980</v>
      </c>
      <c r="B1550" s="53"/>
      <c r="C1550" s="54"/>
      <c r="D1550" s="54">
        <v>15191</v>
      </c>
      <c r="E1550" s="54">
        <v>48744</v>
      </c>
      <c r="F1550" s="54">
        <v>23201</v>
      </c>
      <c r="G1550" s="50">
        <v>30454</v>
      </c>
      <c r="H1550" s="50">
        <v>30000</v>
      </c>
      <c r="I1550" s="54">
        <f t="shared" si="872"/>
        <v>30689.999999999996</v>
      </c>
      <c r="J1550" s="54">
        <f t="shared" si="873"/>
        <v>31426.559999999998</v>
      </c>
      <c r="K1550" s="54">
        <f t="shared" si="873"/>
        <v>32180.797439999998</v>
      </c>
      <c r="L1550" s="54">
        <f t="shared" si="874"/>
        <v>32920.955781119992</v>
      </c>
      <c r="M1550" s="54">
        <f t="shared" si="875"/>
        <v>33645.216808304634</v>
      </c>
      <c r="N1550" s="54">
        <f t="shared" si="876"/>
        <v>34419.056794895638</v>
      </c>
      <c r="O1550" s="54">
        <f t="shared" si="877"/>
        <v>35279.533214768024</v>
      </c>
      <c r="P1550" s="54">
        <f t="shared" si="877"/>
        <v>36161.521545137221</v>
      </c>
      <c r="Q1550" s="54">
        <f t="shared" si="878"/>
        <v>37029.398062220513</v>
      </c>
      <c r="R1550" s="54">
        <f t="shared" si="878"/>
        <v>37918.103615713808</v>
      </c>
    </row>
    <row r="1551" spans="1:18" x14ac:dyDescent="0.25">
      <c r="A1551" s="52" t="s">
        <v>981</v>
      </c>
      <c r="B1551" s="53"/>
      <c r="C1551" s="54"/>
      <c r="D1551" s="54"/>
      <c r="E1551" s="54"/>
      <c r="F1551" s="54"/>
      <c r="G1551" s="50">
        <v>0</v>
      </c>
      <c r="H1551" s="50">
        <v>150000</v>
      </c>
      <c r="I1551" s="54">
        <f t="shared" si="872"/>
        <v>153450</v>
      </c>
      <c r="J1551" s="54">
        <f t="shared" si="873"/>
        <v>157132.80000000002</v>
      </c>
      <c r="K1551" s="54">
        <f t="shared" si="873"/>
        <v>160903.98720000003</v>
      </c>
      <c r="L1551" s="54">
        <f t="shared" si="874"/>
        <v>164604.77890560002</v>
      </c>
      <c r="M1551" s="54">
        <f t="shared" si="875"/>
        <v>168226.08404152322</v>
      </c>
      <c r="N1551" s="54">
        <f t="shared" si="876"/>
        <v>172095.28397447825</v>
      </c>
      <c r="O1551" s="54">
        <f t="shared" si="877"/>
        <v>176397.6660738402</v>
      </c>
      <c r="P1551" s="54">
        <f t="shared" si="877"/>
        <v>180807.60772568619</v>
      </c>
      <c r="Q1551" s="54">
        <f t="shared" si="878"/>
        <v>185146.99031110265</v>
      </c>
      <c r="R1551" s="54">
        <f t="shared" si="878"/>
        <v>189590.51807856912</v>
      </c>
    </row>
    <row r="1552" spans="1:18" x14ac:dyDescent="0.25">
      <c r="A1552" s="59" t="s">
        <v>982</v>
      </c>
      <c r="B1552" s="53"/>
      <c r="C1552" s="54"/>
      <c r="D1552" s="54">
        <v>954</v>
      </c>
      <c r="E1552">
        <v>0</v>
      </c>
      <c r="F1552" s="54">
        <v>1045</v>
      </c>
      <c r="G1552" s="54">
        <v>1182</v>
      </c>
      <c r="H1552" s="54">
        <v>1200</v>
      </c>
      <c r="I1552" s="54">
        <f t="shared" si="872"/>
        <v>1227.5999999999999</v>
      </c>
      <c r="J1552" s="54">
        <f t="shared" si="873"/>
        <v>1257.0624</v>
      </c>
      <c r="K1552" s="54">
        <f t="shared" si="873"/>
        <v>1287.2318976000001</v>
      </c>
      <c r="L1552" s="54">
        <f t="shared" si="874"/>
        <v>1316.8382312448</v>
      </c>
      <c r="M1552" s="54">
        <f t="shared" si="875"/>
        <v>1345.8086723321856</v>
      </c>
      <c r="N1552" s="54">
        <f t="shared" si="876"/>
        <v>1376.7622717958257</v>
      </c>
      <c r="O1552" s="54">
        <f t="shared" si="877"/>
        <v>1411.1813285907213</v>
      </c>
      <c r="P1552" s="54">
        <f t="shared" si="877"/>
        <v>1446.4608618054892</v>
      </c>
      <c r="Q1552" s="54">
        <f t="shared" si="878"/>
        <v>1481.175922488821</v>
      </c>
      <c r="R1552" s="54">
        <f t="shared" si="878"/>
        <v>1516.7241446285527</v>
      </c>
    </row>
    <row r="1553" spans="1:18" x14ac:dyDescent="0.25">
      <c r="A1553" s="43" t="s">
        <v>983</v>
      </c>
      <c r="C1553" s="54">
        <v>1639</v>
      </c>
      <c r="D1553" s="54">
        <v>1712</v>
      </c>
      <c r="E1553">
        <f>1760-320</f>
        <v>1440</v>
      </c>
      <c r="F1553" s="50">
        <v>1473</v>
      </c>
      <c r="G1553" s="50">
        <v>0</v>
      </c>
      <c r="H1553" s="50">
        <v>35000</v>
      </c>
      <c r="I1553" s="54">
        <f t="shared" si="872"/>
        <v>35805</v>
      </c>
      <c r="J1553" s="54">
        <f t="shared" si="873"/>
        <v>36664.32</v>
      </c>
      <c r="K1553" s="54">
        <f t="shared" si="873"/>
        <v>37544.263680000004</v>
      </c>
      <c r="L1553" s="54">
        <f t="shared" si="874"/>
        <v>38407.78174464</v>
      </c>
      <c r="M1553" s="54">
        <f t="shared" si="875"/>
        <v>39252.752943022082</v>
      </c>
      <c r="N1553" s="54">
        <f t="shared" si="876"/>
        <v>40155.566260711588</v>
      </c>
      <c r="O1553" s="54">
        <f t="shared" si="877"/>
        <v>41159.455417229372</v>
      </c>
      <c r="P1553" s="54">
        <f t="shared" si="877"/>
        <v>42188.441802660105</v>
      </c>
      <c r="Q1553" s="54">
        <f t="shared" si="878"/>
        <v>43200.964405923951</v>
      </c>
      <c r="R1553" s="54">
        <f t="shared" si="878"/>
        <v>44237.78755166613</v>
      </c>
    </row>
    <row r="1554" spans="1:18" x14ac:dyDescent="0.25">
      <c r="A1554" s="43" t="s">
        <v>984</v>
      </c>
      <c r="C1554" s="54"/>
      <c r="D1554" s="50"/>
      <c r="E1554" s="50"/>
      <c r="F1554" s="50"/>
      <c r="G1554" s="50">
        <v>34319</v>
      </c>
      <c r="H1554" s="50"/>
      <c r="I1554" s="50"/>
      <c r="J1554" s="50"/>
      <c r="K1554" s="50"/>
      <c r="L1554" s="50"/>
      <c r="M1554" s="50"/>
      <c r="N1554" s="50"/>
      <c r="O1554" s="50"/>
      <c r="P1554" s="50"/>
      <c r="Q1554" s="50"/>
      <c r="R1554" s="50"/>
    </row>
    <row r="1555" spans="1:18" x14ac:dyDescent="0.25">
      <c r="A1555" s="52" t="s">
        <v>985</v>
      </c>
      <c r="B1555" s="53"/>
      <c r="C1555" s="54">
        <v>12470</v>
      </c>
      <c r="D1555" s="54">
        <v>10647</v>
      </c>
      <c r="E1555" s="54">
        <v>13007</v>
      </c>
      <c r="F1555" s="54">
        <v>13167</v>
      </c>
      <c r="G1555" s="54">
        <v>21948</v>
      </c>
      <c r="H1555" s="54">
        <v>22300</v>
      </c>
      <c r="I1555" s="54">
        <f t="shared" ref="I1555" si="879">H1555*1.023</f>
        <v>22812.899999999998</v>
      </c>
      <c r="J1555" s="54">
        <f t="shared" ref="J1555:K1555" si="880">I1555*1.024</f>
        <v>23360.409599999999</v>
      </c>
      <c r="K1555" s="54">
        <f t="shared" si="880"/>
        <v>23921.059430400001</v>
      </c>
      <c r="L1555" s="54">
        <f t="shared" ref="L1555" si="881">K1555*1.023</f>
        <v>24471.243797299197</v>
      </c>
      <c r="M1555" s="54">
        <f t="shared" ref="M1555" si="882">L1555*1.022</f>
        <v>25009.61116083978</v>
      </c>
      <c r="N1555" s="54">
        <f t="shared" ref="N1555" si="883">M1555*1.023</f>
        <v>25584.832217539093</v>
      </c>
      <c r="O1555" s="54">
        <f t="shared" ref="O1555:P1555" si="884">N1555*1.025</f>
        <v>26224.453022977566</v>
      </c>
      <c r="P1555" s="54">
        <f t="shared" si="884"/>
        <v>26880.064348552005</v>
      </c>
      <c r="Q1555" s="54">
        <f t="shared" ref="Q1555:R1555" si="885">P1555*1.024</f>
        <v>27525.185892917252</v>
      </c>
      <c r="R1555" s="54">
        <f t="shared" si="885"/>
        <v>28185.790354347268</v>
      </c>
    </row>
    <row r="1556" spans="1:18" x14ac:dyDescent="0.25">
      <c r="A1556" s="52" t="s">
        <v>986</v>
      </c>
      <c r="C1556" s="50">
        <v>0</v>
      </c>
      <c r="D1556" s="54">
        <f>C1556*1.025</f>
        <v>0</v>
      </c>
      <c r="E1556" s="54">
        <f>D1556*1.025</f>
        <v>0</v>
      </c>
      <c r="F1556" s="54">
        <v>-4436</v>
      </c>
      <c r="G1556" s="54">
        <v>0</v>
      </c>
      <c r="H1556" s="54">
        <v>0</v>
      </c>
      <c r="I1556" s="54">
        <v>0</v>
      </c>
      <c r="J1556" s="54">
        <v>0</v>
      </c>
      <c r="K1556" s="54">
        <v>0</v>
      </c>
      <c r="L1556" s="54">
        <v>0</v>
      </c>
      <c r="M1556" s="54">
        <v>0</v>
      </c>
      <c r="N1556" s="54">
        <v>0</v>
      </c>
      <c r="O1556" s="54">
        <v>0</v>
      </c>
      <c r="P1556" s="54">
        <v>0</v>
      </c>
      <c r="Q1556" s="54">
        <f t="shared" ref="Q1556:R1556" si="886">P1556*1.02</f>
        <v>0</v>
      </c>
      <c r="R1556" s="54">
        <f t="shared" si="886"/>
        <v>0</v>
      </c>
    </row>
    <row r="1557" spans="1:18" x14ac:dyDescent="0.25">
      <c r="A1557" s="52" t="s">
        <v>987</v>
      </c>
      <c r="C1557" s="54">
        <v>76424</v>
      </c>
      <c r="D1557" s="54"/>
      <c r="E1557" s="54"/>
      <c r="F1557" s="54"/>
      <c r="G1557" s="54"/>
      <c r="H1557" s="54"/>
      <c r="I1557" s="54"/>
      <c r="J1557" s="54"/>
      <c r="K1557" s="54"/>
      <c r="L1557" s="54"/>
      <c r="M1557" s="54"/>
      <c r="N1557" s="54"/>
      <c r="O1557" s="54"/>
      <c r="P1557" s="54"/>
      <c r="Q1557" s="54"/>
      <c r="R1557" s="54"/>
    </row>
    <row r="1558" spans="1:18" x14ac:dyDescent="0.25">
      <c r="A1558" s="43" t="s">
        <v>988</v>
      </c>
      <c r="C1558" s="50"/>
      <c r="D1558" s="54"/>
      <c r="E1558" s="54"/>
      <c r="F1558" s="54"/>
      <c r="G1558" s="54"/>
      <c r="H1558" s="54"/>
      <c r="I1558" s="54"/>
      <c r="J1558" s="54"/>
      <c r="K1558" s="54"/>
      <c r="L1558" s="54"/>
      <c r="M1558" s="54"/>
      <c r="N1558" s="54"/>
      <c r="O1558" s="54"/>
      <c r="P1558" s="54"/>
      <c r="Q1558" s="54"/>
      <c r="R1558" s="54"/>
    </row>
    <row r="1559" spans="1:18" x14ac:dyDescent="0.25">
      <c r="A1559" s="43" t="s">
        <v>989</v>
      </c>
      <c r="C1559" s="54">
        <v>433273</v>
      </c>
      <c r="D1559" s="54"/>
      <c r="E1559" s="54"/>
      <c r="F1559" s="54"/>
      <c r="G1559" s="54"/>
      <c r="H1559" s="54"/>
      <c r="I1559" s="54"/>
      <c r="J1559" s="54"/>
      <c r="K1559" s="54"/>
      <c r="L1559" s="54"/>
      <c r="M1559" s="54"/>
      <c r="N1559" s="54"/>
      <c r="O1559" s="54"/>
      <c r="P1559" s="54"/>
      <c r="Q1559" s="54"/>
      <c r="R1559" s="54"/>
    </row>
    <row r="1560" spans="1:18" x14ac:dyDescent="0.25">
      <c r="A1560" s="52" t="s">
        <v>990</v>
      </c>
      <c r="C1560" s="52"/>
      <c r="D1560" s="54"/>
      <c r="E1560" s="54"/>
      <c r="F1560" s="54"/>
      <c r="G1560" s="54"/>
      <c r="H1560" s="54"/>
      <c r="I1560" s="54"/>
      <c r="J1560" s="54"/>
      <c r="K1560" s="54"/>
      <c r="L1560" s="54"/>
      <c r="M1560" s="54"/>
      <c r="N1560" s="54"/>
      <c r="O1560" s="54"/>
      <c r="P1560" s="54"/>
      <c r="Q1560" s="54"/>
      <c r="R1560" s="54"/>
    </row>
    <row r="1561" spans="1:18" x14ac:dyDescent="0.25">
      <c r="A1561" s="52" t="s">
        <v>991</v>
      </c>
      <c r="C1561" s="50">
        <v>11250</v>
      </c>
      <c r="D1561" s="54">
        <v>5500</v>
      </c>
      <c r="E1561" s="54"/>
      <c r="F1561" s="54"/>
      <c r="G1561" s="54"/>
      <c r="H1561" s="54"/>
      <c r="I1561" s="54"/>
      <c r="J1561" s="54"/>
      <c r="K1561" s="54"/>
      <c r="L1561" s="54"/>
      <c r="M1561" s="54"/>
      <c r="N1561" s="54"/>
      <c r="O1561" s="54"/>
      <c r="P1561" s="54"/>
      <c r="Q1561" s="54"/>
      <c r="R1561" s="54"/>
    </row>
    <row r="1562" spans="1:18" x14ac:dyDescent="0.25">
      <c r="A1562" s="52" t="s">
        <v>992</v>
      </c>
      <c r="C1562" s="50"/>
      <c r="D1562" s="54">
        <v>179508</v>
      </c>
      <c r="E1562" s="54">
        <v>70492</v>
      </c>
      <c r="F1562" s="54"/>
      <c r="G1562" s="54"/>
      <c r="H1562" s="54"/>
      <c r="I1562" s="54"/>
      <c r="J1562" s="54"/>
      <c r="K1562" s="54"/>
      <c r="L1562" s="54"/>
      <c r="M1562" s="54"/>
      <c r="N1562" s="54"/>
      <c r="O1562" s="54"/>
      <c r="P1562" s="54"/>
      <c r="Q1562" s="54"/>
      <c r="R1562" s="54"/>
    </row>
    <row r="1563" spans="1:18" x14ac:dyDescent="0.25">
      <c r="A1563" s="52" t="s">
        <v>993</v>
      </c>
      <c r="C1563" s="50"/>
      <c r="D1563" s="54">
        <v>157700</v>
      </c>
      <c r="E1563" s="54"/>
      <c r="F1563" s="54"/>
      <c r="G1563" s="54"/>
      <c r="H1563" s="54"/>
      <c r="I1563" s="54"/>
      <c r="J1563" s="54"/>
      <c r="K1563" s="54"/>
      <c r="L1563" s="54"/>
      <c r="M1563" s="54"/>
      <c r="N1563" s="54"/>
      <c r="O1563" s="54"/>
      <c r="P1563" s="54"/>
      <c r="Q1563" s="54"/>
      <c r="R1563" s="54"/>
    </row>
    <row r="1564" spans="1:18" x14ac:dyDescent="0.25">
      <c r="C1564" s="50"/>
      <c r="D1564" s="50"/>
      <c r="E1564" s="50"/>
      <c r="F1564" s="50"/>
      <c r="G1564" s="50"/>
      <c r="H1564" s="50"/>
      <c r="I1564" s="50"/>
      <c r="J1564" s="50"/>
      <c r="K1564" s="50"/>
      <c r="L1564" s="50"/>
      <c r="M1564" s="50"/>
      <c r="N1564" s="50"/>
      <c r="O1564" s="50"/>
      <c r="P1564" s="50"/>
      <c r="Q1564" s="50"/>
      <c r="R1564" s="50"/>
    </row>
    <row r="1565" spans="1:18" x14ac:dyDescent="0.25">
      <c r="A1565" s="41" t="s">
        <v>216</v>
      </c>
      <c r="B1565" s="44"/>
      <c r="C1565" s="51">
        <f t="shared" ref="C1565:Q1565" si="887">SUM(C1548:C1564)</f>
        <v>766247</v>
      </c>
      <c r="D1565" s="51">
        <f t="shared" si="887"/>
        <v>663214</v>
      </c>
      <c r="E1565" s="51">
        <f t="shared" si="887"/>
        <v>527097</v>
      </c>
      <c r="F1565" s="51">
        <f t="shared" ref="F1565:G1565" si="888">SUM(F1548:F1564)</f>
        <v>376452</v>
      </c>
      <c r="G1565" s="51">
        <f t="shared" si="888"/>
        <v>451799</v>
      </c>
      <c r="H1565" s="51">
        <f t="shared" si="887"/>
        <v>623500</v>
      </c>
      <c r="I1565" s="51">
        <f t="shared" si="887"/>
        <v>637840.5</v>
      </c>
      <c r="J1565" s="51">
        <f t="shared" si="887"/>
        <v>653148.67200000002</v>
      </c>
      <c r="K1565" s="51">
        <f t="shared" si="887"/>
        <v>668824.24012800003</v>
      </c>
      <c r="L1565" s="51">
        <f t="shared" si="887"/>
        <v>684207.197650944</v>
      </c>
      <c r="M1565" s="51">
        <f t="shared" si="887"/>
        <v>699259.75599926477</v>
      </c>
      <c r="N1565" s="51">
        <f t="shared" si="887"/>
        <v>715342.73038724775</v>
      </c>
      <c r="O1565" s="51">
        <f t="shared" si="887"/>
        <v>733226.29864692898</v>
      </c>
      <c r="P1565" s="51">
        <f t="shared" si="887"/>
        <v>751556.95611310215</v>
      </c>
      <c r="Q1565" s="51">
        <f t="shared" si="887"/>
        <v>769594.3230598165</v>
      </c>
      <c r="R1565" s="51">
        <f t="shared" ref="R1565" si="889">SUM(R1548:R1564)</f>
        <v>788064.58681325219</v>
      </c>
    </row>
    <row r="1566" spans="1:18" x14ac:dyDescent="0.25">
      <c r="C1566" s="50"/>
      <c r="D1566" s="50"/>
      <c r="E1566" s="50"/>
      <c r="F1566" s="50"/>
      <c r="G1566" s="50"/>
      <c r="H1566" s="50"/>
      <c r="I1566" s="50"/>
      <c r="J1566" s="50"/>
      <c r="K1566" s="50"/>
      <c r="L1566" s="50"/>
      <c r="M1566" s="50"/>
      <c r="N1566" s="50"/>
      <c r="O1566" s="50"/>
      <c r="P1566" s="50"/>
      <c r="Q1566" s="50"/>
      <c r="R1566" s="50"/>
    </row>
    <row r="1567" spans="1:18" x14ac:dyDescent="0.25">
      <c r="A1567" s="41" t="s">
        <v>165</v>
      </c>
      <c r="B1567" s="44"/>
      <c r="C1567" s="50"/>
      <c r="D1567" s="50"/>
      <c r="E1567" s="50"/>
      <c r="F1567" s="50"/>
      <c r="G1567" s="50"/>
      <c r="H1567" s="50"/>
      <c r="I1567" s="50"/>
      <c r="J1567" s="50"/>
      <c r="K1567" s="50"/>
      <c r="L1567" s="50"/>
      <c r="M1567" s="50"/>
      <c r="N1567" s="50"/>
      <c r="O1567" s="50"/>
      <c r="P1567" s="50"/>
      <c r="Q1567" s="50"/>
      <c r="R1567" s="50"/>
    </row>
    <row r="1568" spans="1:18" x14ac:dyDescent="0.25">
      <c r="C1568" s="50"/>
      <c r="D1568" s="50"/>
      <c r="E1568" s="50"/>
      <c r="F1568" s="50"/>
      <c r="G1568" s="50"/>
      <c r="H1568" s="50"/>
      <c r="I1568" s="50"/>
      <c r="J1568" s="50"/>
      <c r="K1568" s="50"/>
      <c r="L1568" s="50"/>
      <c r="M1568" s="50"/>
      <c r="N1568" s="50"/>
      <c r="O1568" s="50"/>
      <c r="P1568" s="50"/>
      <c r="Q1568" s="50"/>
      <c r="R1568" s="50"/>
    </row>
    <row r="1569" spans="1:18" x14ac:dyDescent="0.25">
      <c r="A1569" s="52" t="s">
        <v>994</v>
      </c>
      <c r="B1569" s="53"/>
      <c r="C1569" s="50"/>
      <c r="D1569" s="50"/>
      <c r="E1569" s="50"/>
      <c r="F1569" s="50"/>
      <c r="G1569" s="50"/>
      <c r="H1569" s="50"/>
      <c r="I1569" s="50"/>
      <c r="J1569" s="50"/>
      <c r="K1569" s="50"/>
      <c r="L1569" s="50"/>
      <c r="M1569" s="50"/>
      <c r="N1569" s="50"/>
      <c r="O1569" s="50"/>
      <c r="P1569" s="50"/>
      <c r="Q1569" s="50"/>
      <c r="R1569" s="50"/>
    </row>
    <row r="1570" spans="1:18" x14ac:dyDescent="0.25">
      <c r="A1570" s="52" t="s">
        <v>995</v>
      </c>
      <c r="B1570" s="53"/>
      <c r="C1570" s="54">
        <f>6736</f>
        <v>6736</v>
      </c>
      <c r="D1570" s="50">
        <v>4271</v>
      </c>
      <c r="E1570" s="43">
        <f>21672-9655</f>
        <v>12017</v>
      </c>
      <c r="F1570" s="50">
        <v>7039</v>
      </c>
      <c r="G1570" s="50">
        <v>7268</v>
      </c>
      <c r="H1570" s="50">
        <v>9800</v>
      </c>
      <c r="I1570" s="50">
        <v>10026.799999999999</v>
      </c>
      <c r="J1570" s="50">
        <v>10271.030700000001</v>
      </c>
      <c r="K1570" s="50">
        <v>10522.703589300001</v>
      </c>
      <c r="L1570" s="50">
        <v>10772.3377221789</v>
      </c>
      <c r="M1570" s="50">
        <v>11017.192296752561</v>
      </c>
      <c r="N1570" s="50">
        <v>11276.268055298835</v>
      </c>
      <c r="O1570" s="50">
        <v>11564.025502473902</v>
      </c>
      <c r="P1570" s="50">
        <v>11860.889243881698</v>
      </c>
      <c r="Q1570" s="50">
        <v>12154.46952948676</v>
      </c>
      <c r="R1570" s="50">
        <v>12455.398986033908</v>
      </c>
    </row>
    <row r="1571" spans="1:18" x14ac:dyDescent="0.25">
      <c r="A1571" s="52" t="s">
        <v>996</v>
      </c>
      <c r="B1571" s="53"/>
      <c r="C1571" s="54">
        <v>0</v>
      </c>
      <c r="D1571" s="50">
        <v>46184</v>
      </c>
      <c r="E1571" s="50">
        <v>34091</v>
      </c>
      <c r="F1571" s="50">
        <v>35598</v>
      </c>
      <c r="G1571" s="50">
        <v>34016</v>
      </c>
      <c r="H1571" s="50">
        <v>50500</v>
      </c>
      <c r="I1571" s="50">
        <v>51665.499999999993</v>
      </c>
      <c r="J1571" s="50">
        <v>52915.722000000002</v>
      </c>
      <c r="K1571" s="50">
        <v>54200.465478000006</v>
      </c>
      <c r="L1571" s="50">
        <v>55468.824613493991</v>
      </c>
      <c r="M1571" s="50">
        <v>56711.604882664367</v>
      </c>
      <c r="N1571" s="50">
        <v>58032.201325596972</v>
      </c>
      <c r="O1571" s="50">
        <v>59499.722775287177</v>
      </c>
      <c r="P1571" s="50">
        <v>61009.396141372054</v>
      </c>
      <c r="Q1571" s="50">
        <v>62499.10434519899</v>
      </c>
      <c r="R1571" s="50">
        <v>64025.431957596527</v>
      </c>
    </row>
    <row r="1572" spans="1:18" x14ac:dyDescent="0.25">
      <c r="A1572" s="52" t="s">
        <v>997</v>
      </c>
      <c r="B1572" s="53"/>
      <c r="C1572" s="54"/>
      <c r="D1572" s="50">
        <v>6035</v>
      </c>
      <c r="E1572" s="50">
        <v>8684</v>
      </c>
      <c r="F1572" s="50">
        <v>8592</v>
      </c>
      <c r="G1572" s="50">
        <v>9172</v>
      </c>
      <c r="H1572" s="50">
        <v>7000</v>
      </c>
      <c r="I1572" s="54">
        <f t="shared" ref="I1572" si="890">H1572*1.023</f>
        <v>7160.9999999999991</v>
      </c>
      <c r="J1572" s="54">
        <f t="shared" ref="J1572:K1572" si="891">I1572*1.024</f>
        <v>7332.8639999999996</v>
      </c>
      <c r="K1572" s="54">
        <f t="shared" si="891"/>
        <v>7508.8527359999998</v>
      </c>
      <c r="L1572" s="54">
        <f t="shared" ref="L1572" si="892">K1572*1.023</f>
        <v>7681.5563489279994</v>
      </c>
      <c r="M1572" s="54">
        <f t="shared" ref="M1572" si="893">L1572*1.022</f>
        <v>7850.5505886044157</v>
      </c>
      <c r="N1572" s="54">
        <f t="shared" ref="N1572" si="894">M1572*1.023</f>
        <v>8031.1132521423169</v>
      </c>
      <c r="O1572" s="54">
        <f t="shared" ref="O1572:P1572" si="895">N1572*1.025</f>
        <v>8231.8910834458748</v>
      </c>
      <c r="P1572" s="54">
        <f t="shared" si="895"/>
        <v>8437.6883605320218</v>
      </c>
      <c r="Q1572" s="54">
        <f t="shared" ref="Q1572:R1572" si="896">P1572*1.024</f>
        <v>8640.1928811847902</v>
      </c>
      <c r="R1572" s="54">
        <f t="shared" si="896"/>
        <v>8847.5575103332249</v>
      </c>
    </row>
    <row r="1573" spans="1:18" x14ac:dyDescent="0.25">
      <c r="A1573" s="43" t="s">
        <v>998</v>
      </c>
      <c r="C1573" s="215">
        <v>10985</v>
      </c>
      <c r="D1573" s="199">
        <v>11046</v>
      </c>
      <c r="E1573" s="199">
        <v>9655</v>
      </c>
      <c r="F1573" s="199">
        <v>9945</v>
      </c>
      <c r="G1573" s="199">
        <v>9945</v>
      </c>
      <c r="H1573" s="199">
        <v>10200</v>
      </c>
      <c r="I1573" s="199">
        <v>10400</v>
      </c>
      <c r="J1573" s="199">
        <v>10700</v>
      </c>
      <c r="K1573" s="199">
        <v>10900</v>
      </c>
      <c r="L1573" s="199">
        <v>11200</v>
      </c>
      <c r="M1573" s="199">
        <v>11400</v>
      </c>
      <c r="N1573" s="199">
        <v>11700</v>
      </c>
      <c r="O1573" s="199">
        <v>12000</v>
      </c>
      <c r="P1573" s="199">
        <v>12300</v>
      </c>
      <c r="Q1573" s="199">
        <v>12600</v>
      </c>
      <c r="R1573" s="199">
        <v>12600</v>
      </c>
    </row>
    <row r="1574" spans="1:18" x14ac:dyDescent="0.25">
      <c r="A1574" s="43" t="s">
        <v>999</v>
      </c>
      <c r="C1574" s="54">
        <v>24298</v>
      </c>
      <c r="D1574" s="59">
        <v>0</v>
      </c>
      <c r="E1574" s="59">
        <v>0</v>
      </c>
      <c r="F1574" s="59">
        <v>0</v>
      </c>
      <c r="G1574" s="59">
        <v>0</v>
      </c>
      <c r="H1574" s="59">
        <v>0</v>
      </c>
      <c r="I1574" s="59">
        <v>0</v>
      </c>
      <c r="J1574" s="59">
        <v>0</v>
      </c>
      <c r="K1574" s="59">
        <v>0</v>
      </c>
      <c r="L1574" s="59">
        <v>0</v>
      </c>
      <c r="M1574" s="59">
        <v>0</v>
      </c>
      <c r="N1574" s="59">
        <v>0</v>
      </c>
      <c r="O1574" s="59">
        <v>0</v>
      </c>
      <c r="P1574" s="59">
        <v>0</v>
      </c>
      <c r="Q1574" s="59">
        <v>0</v>
      </c>
      <c r="R1574" s="59">
        <v>0</v>
      </c>
    </row>
    <row r="1575" spans="1:18" x14ac:dyDescent="0.25">
      <c r="A1575" s="52" t="s">
        <v>1000</v>
      </c>
      <c r="C1575" s="50">
        <v>11250</v>
      </c>
      <c r="D1575" s="50">
        <v>5500</v>
      </c>
      <c r="E1575" s="59"/>
      <c r="F1575" s="59"/>
      <c r="G1575" s="59"/>
      <c r="H1575" s="59"/>
      <c r="I1575" s="59"/>
      <c r="J1575" s="59"/>
      <c r="K1575" s="59"/>
      <c r="L1575" s="59"/>
      <c r="M1575" s="59"/>
      <c r="N1575" s="59"/>
      <c r="O1575" s="59"/>
      <c r="P1575" s="59"/>
      <c r="Q1575" s="59"/>
      <c r="R1575" s="59"/>
    </row>
    <row r="1576" spans="1:18" x14ac:dyDescent="0.25">
      <c r="A1576" s="52" t="s">
        <v>1001</v>
      </c>
      <c r="B1576" s="53"/>
      <c r="C1576" s="50"/>
      <c r="D1576" s="50"/>
      <c r="E1576" s="50"/>
      <c r="F1576" s="50"/>
      <c r="G1576" s="50"/>
      <c r="H1576" s="50"/>
      <c r="I1576" s="50"/>
      <c r="J1576" s="50"/>
      <c r="K1576" s="50"/>
      <c r="L1576" s="50"/>
      <c r="M1576" s="50"/>
      <c r="N1576" s="50"/>
      <c r="O1576" s="50"/>
      <c r="P1576" s="50"/>
      <c r="Q1576" s="50"/>
      <c r="R1576" s="50"/>
    </row>
    <row r="1577" spans="1:18" x14ac:dyDescent="0.25">
      <c r="A1577" s="52" t="s">
        <v>1002</v>
      </c>
      <c r="B1577" s="53"/>
      <c r="C1577" s="54">
        <v>5946</v>
      </c>
      <c r="D1577" s="50">
        <v>15132</v>
      </c>
      <c r="E1577" s="43">
        <v>14808</v>
      </c>
      <c r="F1577" s="50">
        <v>5557</v>
      </c>
      <c r="G1577" s="50">
        <v>6547</v>
      </c>
      <c r="H1577" s="50">
        <v>15950</v>
      </c>
      <c r="I1577" s="50">
        <v>16426.149999999998</v>
      </c>
      <c r="J1577" s="50">
        <v>16903.645850000001</v>
      </c>
      <c r="K1577" s="50">
        <v>17396.748356650005</v>
      </c>
      <c r="L1577" s="50">
        <v>17892.844874165447</v>
      </c>
      <c r="M1577" s="50">
        <v>18391.617586033812</v>
      </c>
      <c r="N1577" s="50">
        <v>18920.360531808092</v>
      </c>
      <c r="O1577" s="50">
        <v>19494.738208204857</v>
      </c>
      <c r="P1577" s="50">
        <v>20088.54375966662</v>
      </c>
      <c r="Q1577" s="50">
        <v>20687.690080894256</v>
      </c>
      <c r="R1577" s="50">
        <v>21307.047178334044</v>
      </c>
    </row>
    <row r="1578" spans="1:18" x14ac:dyDescent="0.25">
      <c r="A1578" s="43" t="s">
        <v>304</v>
      </c>
      <c r="C1578" s="100">
        <v>28221</v>
      </c>
      <c r="D1578" s="100">
        <v>28221</v>
      </c>
      <c r="E1578" s="72">
        <v>28221</v>
      </c>
      <c r="F1578" s="105">
        <v>26781</v>
      </c>
      <c r="G1578" s="105">
        <v>26781</v>
      </c>
      <c r="H1578" s="73">
        <v>2730</v>
      </c>
      <c r="I1578" s="73">
        <v>2790</v>
      </c>
      <c r="J1578" s="73">
        <v>2870</v>
      </c>
      <c r="K1578" s="73">
        <v>2930</v>
      </c>
      <c r="L1578" s="73">
        <v>3000</v>
      </c>
      <c r="M1578" s="73">
        <v>3070</v>
      </c>
      <c r="N1578" s="73">
        <v>3130</v>
      </c>
      <c r="O1578" s="73">
        <v>3220</v>
      </c>
      <c r="P1578" s="73">
        <v>3310</v>
      </c>
      <c r="Q1578" s="73">
        <v>3380</v>
      </c>
      <c r="R1578" s="73">
        <v>3380</v>
      </c>
    </row>
    <row r="1579" spans="1:18" x14ac:dyDescent="0.25">
      <c r="A1579" s="59" t="s">
        <v>1003</v>
      </c>
      <c r="C1579" s="117">
        <v>40625</v>
      </c>
      <c r="D1579" s="117">
        <v>40625</v>
      </c>
      <c r="E1579" s="111">
        <v>46165</v>
      </c>
      <c r="F1579" s="171">
        <v>46695</v>
      </c>
      <c r="G1579" s="171">
        <v>46695</v>
      </c>
      <c r="H1579" s="171">
        <v>47810</v>
      </c>
      <c r="I1579" s="171">
        <v>48920</v>
      </c>
      <c r="J1579" s="171">
        <v>50110</v>
      </c>
      <c r="K1579" s="171">
        <v>51290</v>
      </c>
      <c r="L1579" s="171">
        <v>52480</v>
      </c>
      <c r="M1579" s="171">
        <v>53630</v>
      </c>
      <c r="N1579" s="171">
        <v>54850</v>
      </c>
      <c r="O1579" s="171">
        <v>56240</v>
      </c>
      <c r="P1579" s="171">
        <v>57640</v>
      </c>
      <c r="Q1579" s="171">
        <v>59020</v>
      </c>
      <c r="R1579" s="171">
        <v>59020</v>
      </c>
    </row>
    <row r="1580" spans="1:18" x14ac:dyDescent="0.25">
      <c r="A1580" s="43" t="s">
        <v>1004</v>
      </c>
      <c r="C1580" s="50">
        <v>0</v>
      </c>
      <c r="D1580" s="50">
        <v>500</v>
      </c>
      <c r="E1580" s="50">
        <v>0</v>
      </c>
      <c r="F1580" s="50">
        <v>940</v>
      </c>
      <c r="G1580" s="50">
        <v>1991</v>
      </c>
      <c r="H1580" s="50">
        <v>4100</v>
      </c>
      <c r="I1580" s="50">
        <v>4194.3</v>
      </c>
      <c r="J1580" s="50">
        <v>4294.9631999999992</v>
      </c>
      <c r="K1580" s="50">
        <v>4398.0423167999998</v>
      </c>
      <c r="L1580" s="50">
        <v>4499.1972900863993</v>
      </c>
      <c r="M1580" s="50">
        <v>4598.1796304682994</v>
      </c>
      <c r="N1580" s="50">
        <v>4703.9377619690695</v>
      </c>
      <c r="O1580" s="50">
        <v>4821.5362060182961</v>
      </c>
      <c r="P1580" s="50">
        <v>4942.0746111687531</v>
      </c>
      <c r="Q1580" s="50">
        <v>5060.6844018368047</v>
      </c>
      <c r="R1580" s="50">
        <v>5182.1408274808873</v>
      </c>
    </row>
    <row r="1581" spans="1:18" x14ac:dyDescent="0.25">
      <c r="A1581" s="59" t="s">
        <v>1003</v>
      </c>
      <c r="B1581" s="103"/>
      <c r="C1581" s="216">
        <v>702</v>
      </c>
      <c r="D1581" s="216">
        <v>702</v>
      </c>
      <c r="E1581" s="113">
        <v>282</v>
      </c>
      <c r="F1581" s="216">
        <v>282</v>
      </c>
      <c r="G1581" s="216">
        <v>282</v>
      </c>
      <c r="H1581" s="216">
        <v>290</v>
      </c>
      <c r="I1581" s="216">
        <v>300</v>
      </c>
      <c r="J1581" s="216">
        <v>300</v>
      </c>
      <c r="K1581" s="216">
        <v>310</v>
      </c>
      <c r="L1581" s="216">
        <v>320</v>
      </c>
      <c r="M1581" s="216">
        <v>320</v>
      </c>
      <c r="N1581" s="216">
        <v>330</v>
      </c>
      <c r="O1581" s="216">
        <v>340</v>
      </c>
      <c r="P1581" s="216">
        <v>350</v>
      </c>
      <c r="Q1581" s="216">
        <v>360</v>
      </c>
      <c r="R1581" s="216">
        <v>360</v>
      </c>
    </row>
    <row r="1582" spans="1:18" x14ac:dyDescent="0.25">
      <c r="A1582" s="52" t="s">
        <v>1005</v>
      </c>
      <c r="B1582" s="103"/>
      <c r="C1582" s="50"/>
      <c r="D1582" s="50"/>
      <c r="E1582" s="50"/>
      <c r="F1582" s="50"/>
      <c r="G1582" s="50"/>
      <c r="H1582" s="50"/>
      <c r="I1582" s="50"/>
      <c r="J1582" s="50"/>
      <c r="K1582" s="50"/>
      <c r="L1582" s="50"/>
      <c r="M1582" s="50"/>
      <c r="N1582" s="50"/>
      <c r="O1582" s="50"/>
      <c r="P1582" s="50"/>
      <c r="Q1582" s="50"/>
      <c r="R1582" s="50"/>
    </row>
    <row r="1583" spans="1:18" x14ac:dyDescent="0.25">
      <c r="A1583" s="52" t="s">
        <v>1006</v>
      </c>
      <c r="B1583" s="103"/>
      <c r="C1583" s="50">
        <v>0</v>
      </c>
      <c r="D1583" s="54">
        <f>C1583*1.025</f>
        <v>0</v>
      </c>
      <c r="E1583" s="54">
        <f>D1583*1.025</f>
        <v>0</v>
      </c>
      <c r="F1583" s="54">
        <v>0</v>
      </c>
      <c r="G1583" s="54">
        <v>0</v>
      </c>
      <c r="H1583" s="54">
        <v>0</v>
      </c>
      <c r="I1583" s="54">
        <v>0</v>
      </c>
      <c r="J1583" s="54">
        <v>0</v>
      </c>
      <c r="K1583" s="54">
        <v>0</v>
      </c>
      <c r="L1583" s="54">
        <v>0</v>
      </c>
      <c r="M1583" s="50">
        <v>0</v>
      </c>
      <c r="N1583" s="50">
        <v>0</v>
      </c>
      <c r="O1583" s="50">
        <v>0</v>
      </c>
      <c r="P1583" s="50">
        <v>0</v>
      </c>
      <c r="Q1583" s="50">
        <f>P1583*1.025</f>
        <v>0</v>
      </c>
      <c r="R1583" s="50">
        <f>Q1583*1.025</f>
        <v>0</v>
      </c>
    </row>
    <row r="1584" spans="1:18" x14ac:dyDescent="0.25">
      <c r="C1584" s="50"/>
      <c r="D1584" s="50"/>
      <c r="E1584" s="50"/>
      <c r="F1584" s="50"/>
      <c r="G1584" s="50"/>
      <c r="H1584" s="50"/>
      <c r="I1584" s="50"/>
      <c r="J1584" s="50"/>
      <c r="K1584" s="50"/>
      <c r="L1584" s="50"/>
      <c r="M1584" s="50"/>
      <c r="N1584" s="50"/>
      <c r="O1584" s="50"/>
      <c r="P1584" s="50"/>
      <c r="Q1584" s="50"/>
      <c r="R1584" s="50"/>
    </row>
    <row r="1585" spans="1:18" x14ac:dyDescent="0.25">
      <c r="A1585" s="41" t="s">
        <v>230</v>
      </c>
      <c r="B1585" s="44"/>
      <c r="C1585" s="51">
        <f t="shared" ref="C1585:Q1585" si="897">SUM(C1570:C1584)</f>
        <v>128763</v>
      </c>
      <c r="D1585" s="51">
        <f t="shared" si="897"/>
        <v>158216</v>
      </c>
      <c r="E1585" s="51">
        <f t="shared" ref="E1585:G1585" si="898">SUM(E1570:E1584)</f>
        <v>153923</v>
      </c>
      <c r="F1585" s="51">
        <f t="shared" si="898"/>
        <v>141429</v>
      </c>
      <c r="G1585" s="51">
        <f t="shared" si="898"/>
        <v>142697</v>
      </c>
      <c r="H1585" s="51">
        <f t="shared" si="897"/>
        <v>148380</v>
      </c>
      <c r="I1585" s="51">
        <f t="shared" si="897"/>
        <v>151883.74999999997</v>
      </c>
      <c r="J1585" s="51">
        <f t="shared" si="897"/>
        <v>155698.22574999998</v>
      </c>
      <c r="K1585" s="51">
        <f t="shared" si="897"/>
        <v>159456.81247675003</v>
      </c>
      <c r="L1585" s="51">
        <f t="shared" si="897"/>
        <v>163314.76084885272</v>
      </c>
      <c r="M1585" s="51">
        <f t="shared" si="897"/>
        <v>166989.14498452347</v>
      </c>
      <c r="N1585" s="51">
        <f t="shared" si="897"/>
        <v>170973.8809268153</v>
      </c>
      <c r="O1585" s="51">
        <f t="shared" si="897"/>
        <v>175411.91377543012</v>
      </c>
      <c r="P1585" s="51">
        <f t="shared" si="897"/>
        <v>179938.59211662115</v>
      </c>
      <c r="Q1585" s="51">
        <f t="shared" si="897"/>
        <v>184402.14123860162</v>
      </c>
      <c r="R1585" s="51">
        <f t="shared" ref="R1585" si="899">SUM(R1570:R1584)</f>
        <v>187177.57645977859</v>
      </c>
    </row>
    <row r="1586" spans="1:18" x14ac:dyDescent="0.25">
      <c r="A1586" s="41"/>
      <c r="B1586" s="44"/>
      <c r="C1586" s="50"/>
      <c r="D1586" s="50"/>
      <c r="E1586" s="50"/>
      <c r="F1586" s="50"/>
      <c r="G1586" s="50"/>
      <c r="H1586" s="50"/>
      <c r="I1586" s="50"/>
      <c r="J1586" s="50"/>
      <c r="K1586" s="50"/>
      <c r="L1586" s="50"/>
      <c r="M1586" s="50"/>
      <c r="N1586" s="50"/>
      <c r="O1586" s="50"/>
      <c r="P1586" s="50"/>
      <c r="Q1586" s="50"/>
      <c r="R1586" s="50"/>
    </row>
    <row r="1587" spans="1:18" x14ac:dyDescent="0.25">
      <c r="A1587" s="41" t="s">
        <v>251</v>
      </c>
      <c r="B1587" s="44"/>
      <c r="C1587" s="50"/>
      <c r="D1587" s="50"/>
      <c r="E1587" s="50"/>
      <c r="F1587" s="50"/>
      <c r="G1587" s="50"/>
      <c r="H1587" s="50"/>
      <c r="I1587" s="50"/>
      <c r="J1587" s="50"/>
      <c r="K1587" s="50"/>
      <c r="L1587" s="50"/>
      <c r="M1587" s="50"/>
      <c r="N1587" s="50"/>
      <c r="O1587" s="50"/>
      <c r="P1587" s="50"/>
      <c r="Q1587" s="50"/>
      <c r="R1587" s="50"/>
    </row>
    <row r="1588" spans="1:18" x14ac:dyDescent="0.25">
      <c r="C1588" s="50"/>
      <c r="D1588" s="50"/>
      <c r="E1588" s="50"/>
      <c r="F1588" s="50"/>
      <c r="G1588" s="50"/>
      <c r="H1588" s="50"/>
      <c r="I1588" s="50"/>
      <c r="J1588" s="50"/>
      <c r="K1588" s="50"/>
      <c r="L1588" s="50"/>
      <c r="M1588" s="50"/>
      <c r="N1588" s="50"/>
      <c r="O1588" s="50"/>
      <c r="P1588" s="50"/>
      <c r="Q1588" s="50"/>
      <c r="R1588" s="50"/>
    </row>
    <row r="1589" spans="1:18" x14ac:dyDescent="0.25">
      <c r="A1589" s="43" t="s">
        <v>1007</v>
      </c>
      <c r="C1589" s="50"/>
      <c r="D1589" s="50"/>
      <c r="E1589" s="50"/>
      <c r="F1589" s="50"/>
      <c r="G1589" s="50"/>
      <c r="H1589" s="50"/>
      <c r="I1589" s="50"/>
      <c r="J1589" s="50"/>
      <c r="K1589" s="50"/>
      <c r="L1589" s="50"/>
      <c r="M1589" s="50"/>
      <c r="N1589" s="50"/>
      <c r="O1589" s="50"/>
      <c r="P1589" s="50"/>
      <c r="Q1589" s="50"/>
      <c r="R1589" s="50"/>
    </row>
    <row r="1590" spans="1:18" x14ac:dyDescent="0.25">
      <c r="A1590" s="128" t="s">
        <v>1008</v>
      </c>
      <c r="B1590" s="129" t="s">
        <v>245</v>
      </c>
      <c r="C1590" s="50">
        <v>0</v>
      </c>
      <c r="D1590" s="50"/>
      <c r="E1590" s="50"/>
      <c r="F1590" s="50"/>
      <c r="G1590" s="50"/>
      <c r="H1590" s="50"/>
      <c r="I1590" s="50"/>
      <c r="J1590" s="50"/>
      <c r="K1590" s="50"/>
      <c r="L1590" s="50"/>
      <c r="M1590" s="50"/>
      <c r="N1590" s="50"/>
      <c r="O1590" s="50"/>
      <c r="P1590" s="50"/>
      <c r="Q1590" s="50"/>
      <c r="R1590" s="50"/>
    </row>
    <row r="1591" spans="1:18" x14ac:dyDescent="0.25">
      <c r="A1591" s="43" t="s">
        <v>1009</v>
      </c>
      <c r="C1591" s="50"/>
      <c r="D1591" s="50"/>
      <c r="E1591" s="50"/>
      <c r="F1591" s="50"/>
      <c r="G1591" s="50"/>
      <c r="H1591" s="50"/>
      <c r="I1591" s="50"/>
      <c r="J1591" s="50"/>
      <c r="K1591" s="50"/>
      <c r="L1591" s="50"/>
      <c r="M1591" s="50"/>
      <c r="N1591" s="50"/>
      <c r="O1591" s="50"/>
      <c r="P1591" s="50"/>
      <c r="Q1591" s="50"/>
      <c r="R1591" s="50"/>
    </row>
    <row r="1592" spans="1:18" x14ac:dyDescent="0.25">
      <c r="A1592" s="41" t="s">
        <v>254</v>
      </c>
      <c r="B1592" s="44"/>
      <c r="C1592" s="51">
        <f t="shared" ref="C1592:R1592" si="900">SUM(C1589:C1591)</f>
        <v>0</v>
      </c>
      <c r="D1592" s="51">
        <f t="shared" si="900"/>
        <v>0</v>
      </c>
      <c r="E1592" s="51">
        <f t="shared" si="900"/>
        <v>0</v>
      </c>
      <c r="F1592" s="51">
        <v>0</v>
      </c>
      <c r="G1592" s="51">
        <v>0</v>
      </c>
      <c r="H1592" s="51">
        <v>0</v>
      </c>
      <c r="I1592" s="51">
        <v>0</v>
      </c>
      <c r="J1592" s="51">
        <v>0</v>
      </c>
      <c r="K1592" s="51">
        <v>0</v>
      </c>
      <c r="L1592" s="51">
        <v>0</v>
      </c>
      <c r="M1592" s="51">
        <v>0</v>
      </c>
      <c r="N1592" s="51">
        <v>0</v>
      </c>
      <c r="O1592" s="51">
        <v>0</v>
      </c>
      <c r="P1592" s="51">
        <v>0</v>
      </c>
      <c r="Q1592" s="51">
        <f t="shared" si="900"/>
        <v>0</v>
      </c>
      <c r="R1592" s="51">
        <f t="shared" si="900"/>
        <v>0</v>
      </c>
    </row>
    <row r="1593" spans="1:18" x14ac:dyDescent="0.25">
      <c r="A1593" s="41"/>
      <c r="B1593" s="44"/>
      <c r="C1593" s="50"/>
      <c r="D1593" s="50"/>
      <c r="E1593" s="50"/>
      <c r="F1593" s="50"/>
      <c r="G1593" s="50"/>
      <c r="H1593" s="50"/>
      <c r="I1593" s="50"/>
      <c r="J1593" s="50"/>
      <c r="K1593" s="50"/>
      <c r="L1593" s="50"/>
      <c r="M1593" s="50"/>
      <c r="N1593" s="50"/>
      <c r="O1593" s="50"/>
      <c r="P1593" s="50"/>
      <c r="Q1593" s="50"/>
      <c r="R1593" s="50"/>
    </row>
    <row r="1594" spans="1:18" x14ac:dyDescent="0.25">
      <c r="A1594" s="41" t="s">
        <v>171</v>
      </c>
      <c r="B1594" s="44"/>
      <c r="C1594" s="50"/>
      <c r="D1594" s="50"/>
      <c r="E1594" s="50"/>
      <c r="F1594" s="50"/>
      <c r="G1594" s="50"/>
      <c r="H1594" s="50"/>
      <c r="I1594" s="50"/>
      <c r="J1594" s="50"/>
      <c r="K1594" s="50"/>
      <c r="L1594" s="50"/>
      <c r="M1594" s="50"/>
      <c r="N1594" s="50"/>
      <c r="O1594" s="50"/>
      <c r="P1594" s="50"/>
      <c r="Q1594" s="50"/>
      <c r="R1594" s="50"/>
    </row>
    <row r="1595" spans="1:18" x14ac:dyDescent="0.25">
      <c r="C1595" s="50"/>
      <c r="D1595" s="50"/>
      <c r="E1595" s="50"/>
      <c r="F1595" s="50"/>
      <c r="G1595" s="50"/>
      <c r="H1595" s="50"/>
      <c r="I1595" s="50"/>
      <c r="J1595" s="50"/>
      <c r="K1595" s="50"/>
      <c r="L1595" s="50"/>
      <c r="M1595" s="50"/>
      <c r="N1595" s="50"/>
      <c r="O1595" s="50"/>
      <c r="P1595" s="50"/>
      <c r="Q1595" s="50"/>
      <c r="R1595" s="50"/>
    </row>
    <row r="1596" spans="1:18" x14ac:dyDescent="0.25">
      <c r="A1596" s="52" t="s">
        <v>987</v>
      </c>
      <c r="C1596" s="50">
        <v>76424</v>
      </c>
      <c r="D1596" s="50">
        <v>0</v>
      </c>
      <c r="E1596" s="50">
        <v>0</v>
      </c>
      <c r="F1596" s="50">
        <v>0</v>
      </c>
      <c r="G1596" s="50">
        <v>0</v>
      </c>
      <c r="H1596" s="50">
        <v>0</v>
      </c>
      <c r="I1596" s="50">
        <v>0</v>
      </c>
      <c r="J1596" s="50">
        <v>0</v>
      </c>
      <c r="K1596" s="50">
        <v>0</v>
      </c>
      <c r="L1596" s="50">
        <v>0</v>
      </c>
      <c r="M1596" s="50">
        <v>0</v>
      </c>
      <c r="N1596" s="50">
        <v>0</v>
      </c>
      <c r="O1596" s="50">
        <v>0</v>
      </c>
      <c r="P1596" s="50">
        <v>0</v>
      </c>
      <c r="Q1596" s="50">
        <v>0</v>
      </c>
      <c r="R1596" s="50">
        <v>0</v>
      </c>
    </row>
    <row r="1597" spans="1:18" x14ac:dyDescent="0.25">
      <c r="A1597" s="52" t="s">
        <v>986</v>
      </c>
      <c r="B1597" s="53"/>
      <c r="C1597" s="50">
        <v>0</v>
      </c>
      <c r="D1597" s="50">
        <v>0</v>
      </c>
      <c r="E1597" s="50">
        <v>0</v>
      </c>
      <c r="F1597" s="50">
        <v>0</v>
      </c>
      <c r="G1597" s="50">
        <v>0</v>
      </c>
      <c r="H1597" s="50">
        <v>0</v>
      </c>
      <c r="I1597" s="50">
        <v>0</v>
      </c>
      <c r="J1597" s="50">
        <v>0</v>
      </c>
      <c r="K1597" s="50">
        <v>0</v>
      </c>
      <c r="L1597" s="50">
        <v>0</v>
      </c>
      <c r="M1597" s="50">
        <v>0</v>
      </c>
      <c r="N1597" s="50">
        <v>0</v>
      </c>
      <c r="O1597" s="50">
        <v>0</v>
      </c>
      <c r="P1597" s="50">
        <v>0</v>
      </c>
      <c r="Q1597" s="50">
        <v>0</v>
      </c>
      <c r="R1597" s="50">
        <v>0</v>
      </c>
    </row>
    <row r="1598" spans="1:18" x14ac:dyDescent="0.25">
      <c r="A1598" s="59" t="s">
        <v>1010</v>
      </c>
      <c r="B1598" s="53"/>
      <c r="C1598" s="50"/>
      <c r="D1598" s="50"/>
      <c r="E1598" s="50"/>
      <c r="F1598" s="50"/>
      <c r="G1598" s="50"/>
      <c r="H1598" s="50"/>
      <c r="I1598" s="50"/>
      <c r="J1598" s="50"/>
      <c r="K1598" s="50"/>
      <c r="L1598" s="50"/>
      <c r="M1598" s="50"/>
      <c r="N1598" s="50"/>
      <c r="O1598" s="50"/>
      <c r="P1598" s="50"/>
      <c r="Q1598" s="50"/>
      <c r="R1598" s="50"/>
    </row>
    <row r="1599" spans="1:18" x14ac:dyDescent="0.25">
      <c r="A1599" s="52" t="s">
        <v>1011</v>
      </c>
      <c r="B1599" s="53"/>
      <c r="C1599" s="52"/>
      <c r="D1599" s="50"/>
      <c r="E1599" s="50"/>
      <c r="F1599" s="50"/>
      <c r="G1599" s="50"/>
      <c r="H1599" s="50">
        <v>20000</v>
      </c>
      <c r="I1599" s="50"/>
      <c r="J1599" s="50"/>
      <c r="K1599" s="50"/>
      <c r="L1599" s="50"/>
      <c r="M1599" s="50"/>
      <c r="N1599" s="50"/>
      <c r="O1599" s="50"/>
      <c r="P1599" s="50"/>
      <c r="Q1599" s="50"/>
      <c r="R1599" s="50"/>
    </row>
    <row r="1600" spans="1:18" x14ac:dyDescent="0.25">
      <c r="A1600" s="43" t="s">
        <v>989</v>
      </c>
      <c r="B1600" s="53"/>
      <c r="C1600" s="54">
        <v>12482</v>
      </c>
      <c r="D1600" s="50">
        <v>6133</v>
      </c>
      <c r="E1600" s="50"/>
      <c r="F1600" s="50"/>
      <c r="G1600" s="50"/>
      <c r="H1600" s="50"/>
      <c r="I1600" s="50"/>
      <c r="J1600" s="50"/>
      <c r="K1600" s="50"/>
      <c r="L1600" s="50"/>
      <c r="M1600" s="50"/>
      <c r="N1600" s="50"/>
      <c r="O1600" s="50"/>
      <c r="P1600" s="50"/>
      <c r="Q1600" s="50"/>
      <c r="R1600" s="50"/>
    </row>
    <row r="1601" spans="1:18" x14ac:dyDescent="0.25">
      <c r="A1601" s="52" t="s">
        <v>1012</v>
      </c>
      <c r="B1601" s="53"/>
      <c r="C1601" s="54">
        <v>380781</v>
      </c>
      <c r="D1601" s="50"/>
      <c r="E1601" s="50"/>
      <c r="F1601" s="50"/>
      <c r="G1601" s="50"/>
      <c r="H1601" s="50"/>
      <c r="I1601" s="50"/>
      <c r="J1601" s="50"/>
      <c r="K1601" s="50"/>
      <c r="L1601" s="50"/>
      <c r="M1601" s="50"/>
      <c r="N1601" s="50"/>
      <c r="O1601" s="50"/>
      <c r="P1601" s="50"/>
      <c r="Q1601" s="50"/>
      <c r="R1601" s="50"/>
    </row>
    <row r="1602" spans="1:18" x14ac:dyDescent="0.25">
      <c r="A1602" s="52" t="s">
        <v>1013</v>
      </c>
      <c r="B1602" s="53"/>
      <c r="C1602" s="68"/>
      <c r="D1602" s="50"/>
      <c r="E1602" s="50"/>
      <c r="F1602" s="50"/>
      <c r="G1602" s="50"/>
      <c r="H1602" s="50"/>
      <c r="I1602" s="50"/>
      <c r="J1602" s="50"/>
      <c r="K1602" s="50"/>
      <c r="L1602" s="50"/>
      <c r="M1602" s="50"/>
      <c r="N1602" s="50"/>
      <c r="O1602" s="50"/>
      <c r="P1602" s="50"/>
      <c r="Q1602" s="50"/>
      <c r="R1602" s="50"/>
    </row>
    <row r="1603" spans="1:18" x14ac:dyDescent="0.25">
      <c r="A1603" s="52" t="s">
        <v>992</v>
      </c>
      <c r="B1603" s="53"/>
      <c r="C1603" s="68"/>
      <c r="D1603" s="50">
        <v>179508</v>
      </c>
      <c r="E1603" s="43">
        <v>47091</v>
      </c>
      <c r="F1603" s="50"/>
      <c r="G1603" s="50"/>
      <c r="H1603" s="50"/>
      <c r="I1603" s="50"/>
      <c r="J1603" s="50"/>
      <c r="K1603" s="50"/>
      <c r="L1603" s="50"/>
      <c r="M1603" s="50"/>
      <c r="N1603" s="50"/>
      <c r="O1603" s="50"/>
      <c r="P1603" s="50"/>
      <c r="Q1603" s="50"/>
      <c r="R1603" s="50"/>
    </row>
    <row r="1604" spans="1:18" x14ac:dyDescent="0.25">
      <c r="A1604" s="52" t="s">
        <v>993</v>
      </c>
      <c r="B1604" s="53"/>
      <c r="C1604" s="68"/>
      <c r="D1604" s="50">
        <v>160545</v>
      </c>
      <c r="E1604" s="50"/>
      <c r="F1604" s="50"/>
      <c r="G1604" s="50"/>
      <c r="H1604" s="50"/>
      <c r="I1604" s="50"/>
      <c r="J1604" s="50"/>
      <c r="K1604" s="50"/>
      <c r="L1604" s="50"/>
      <c r="M1604" s="50"/>
      <c r="N1604" s="50"/>
      <c r="O1604" s="50"/>
      <c r="P1604" s="50"/>
      <c r="Q1604" s="50"/>
      <c r="R1604" s="50"/>
    </row>
    <row r="1605" spans="1:18" x14ac:dyDescent="0.25">
      <c r="A1605" s="91" t="s">
        <v>1014</v>
      </c>
      <c r="B1605" s="163" t="s">
        <v>317</v>
      </c>
      <c r="C1605" s="50"/>
      <c r="D1605" s="50"/>
      <c r="E1605" s="50"/>
      <c r="F1605" s="50"/>
      <c r="G1605" s="50"/>
      <c r="H1605" s="50"/>
      <c r="I1605" s="50"/>
      <c r="J1605" s="50"/>
      <c r="K1605" s="50"/>
      <c r="L1605" s="50"/>
      <c r="M1605" s="50"/>
      <c r="N1605" s="50"/>
      <c r="O1605" s="50"/>
      <c r="P1605" s="50"/>
      <c r="Q1605" s="50"/>
      <c r="R1605" s="50"/>
    </row>
    <row r="1606" spans="1:18" x14ac:dyDescent="0.25">
      <c r="A1606" s="91" t="s">
        <v>1015</v>
      </c>
      <c r="B1606" s="163" t="s">
        <v>317</v>
      </c>
      <c r="C1606" s="50"/>
      <c r="D1606" s="50"/>
      <c r="E1606" s="50"/>
      <c r="F1606" s="85"/>
      <c r="G1606" s="85">
        <v>1825</v>
      </c>
      <c r="H1606" s="50"/>
      <c r="I1606" s="50"/>
      <c r="J1606" s="50"/>
      <c r="K1606" s="50"/>
      <c r="L1606" s="50"/>
      <c r="M1606" s="50"/>
      <c r="N1606" s="50"/>
      <c r="O1606" s="50"/>
      <c r="P1606" s="50"/>
      <c r="Q1606" s="50"/>
      <c r="R1606" s="50"/>
    </row>
    <row r="1607" spans="1:18" x14ac:dyDescent="0.25">
      <c r="A1607" s="217" t="s">
        <v>1016</v>
      </c>
      <c r="B1607" s="212" t="s">
        <v>590</v>
      </c>
      <c r="C1607" s="54">
        <v>1252</v>
      </c>
      <c r="D1607" s="160">
        <v>22366</v>
      </c>
      <c r="E1607" s="160">
        <v>6630</v>
      </c>
      <c r="F1607" s="160"/>
      <c r="G1607" s="160"/>
      <c r="H1607" s="160">
        <v>28285</v>
      </c>
      <c r="I1607" s="160">
        <v>28965</v>
      </c>
      <c r="J1607" s="160">
        <v>29775</v>
      </c>
      <c r="K1607" s="160">
        <v>30549</v>
      </c>
      <c r="L1607" s="160">
        <v>31343</v>
      </c>
      <c r="M1607" s="161">
        <v>26931</v>
      </c>
      <c r="N1607" s="161">
        <v>26286</v>
      </c>
      <c r="O1607" s="161">
        <v>26286</v>
      </c>
      <c r="P1607" s="161">
        <v>26286</v>
      </c>
      <c r="Q1607" s="161">
        <v>26286</v>
      </c>
      <c r="R1607" s="161">
        <v>26286</v>
      </c>
    </row>
    <row r="1608" spans="1:18" x14ac:dyDescent="0.25">
      <c r="A1608" s="217" t="s">
        <v>1017</v>
      </c>
      <c r="B1608" s="212" t="s">
        <v>590</v>
      </c>
      <c r="C1608" s="54"/>
      <c r="D1608" s="160"/>
      <c r="E1608" s="160">
        <v>47395</v>
      </c>
      <c r="F1608" s="160"/>
      <c r="G1608" s="50"/>
      <c r="H1608" s="50"/>
      <c r="I1608" s="50"/>
      <c r="J1608" s="50"/>
      <c r="K1608" s="50"/>
      <c r="L1608" s="50"/>
      <c r="M1608" s="50"/>
      <c r="N1608" s="50"/>
      <c r="O1608" s="50"/>
      <c r="P1608" s="50"/>
      <c r="Q1608" s="50"/>
      <c r="R1608" s="50"/>
    </row>
    <row r="1609" spans="1:18" s="43" customFormat="1" x14ac:dyDescent="0.25">
      <c r="A1609" s="217" t="s">
        <v>1018</v>
      </c>
      <c r="B1609" s="212" t="s">
        <v>590</v>
      </c>
      <c r="C1609" s="50"/>
      <c r="D1609" s="50"/>
      <c r="E1609" s="160">
        <v>14200</v>
      </c>
      <c r="F1609" s="160">
        <v>15274</v>
      </c>
      <c r="G1609" s="50">
        <v>6970</v>
      </c>
      <c r="H1609" s="50"/>
      <c r="I1609" s="50"/>
      <c r="J1609" s="50"/>
      <c r="K1609" s="50"/>
      <c r="L1609" s="50"/>
      <c r="M1609" s="50"/>
      <c r="N1609" s="50"/>
      <c r="O1609" s="50"/>
      <c r="P1609" s="50"/>
      <c r="Q1609" s="50"/>
      <c r="R1609" s="50"/>
    </row>
    <row r="1610" spans="1:18" s="43" customFormat="1" x14ac:dyDescent="0.25">
      <c r="A1610" s="217" t="s">
        <v>1019</v>
      </c>
      <c r="B1610" s="212" t="s">
        <v>590</v>
      </c>
      <c r="C1610" s="50"/>
      <c r="D1610" s="50"/>
      <c r="E1610" s="160"/>
      <c r="F1610" s="160">
        <v>17643</v>
      </c>
      <c r="G1610" s="50">
        <v>8499</v>
      </c>
      <c r="H1610" s="50"/>
      <c r="I1610" s="50"/>
      <c r="J1610" s="50"/>
      <c r="K1610" s="50"/>
      <c r="L1610" s="50"/>
      <c r="M1610" s="50"/>
      <c r="N1610" s="50"/>
      <c r="O1610" s="50"/>
      <c r="P1610" s="50"/>
      <c r="Q1610" s="50"/>
      <c r="R1610" s="50"/>
    </row>
    <row r="1611" spans="1:18" s="43" customFormat="1" x14ac:dyDescent="0.25">
      <c r="A1611" s="217" t="s">
        <v>1020</v>
      </c>
      <c r="B1611" s="212" t="s">
        <v>590</v>
      </c>
      <c r="C1611" s="50"/>
      <c r="D1611" s="50"/>
      <c r="E1611" s="160">
        <v>10260</v>
      </c>
      <c r="F1611" s="50"/>
      <c r="G1611" s="50">
        <v>4958</v>
      </c>
      <c r="H1611" s="50"/>
      <c r="I1611" s="50"/>
      <c r="J1611" s="50"/>
      <c r="K1611" s="50"/>
      <c r="L1611" s="50"/>
      <c r="M1611" s="50"/>
      <c r="N1611" s="50"/>
      <c r="O1611" s="50"/>
      <c r="P1611" s="50"/>
      <c r="Q1611" s="50"/>
      <c r="R1611" s="50"/>
    </row>
    <row r="1612" spans="1:18" x14ac:dyDescent="0.25">
      <c r="A1612" s="52"/>
      <c r="C1612" s="50"/>
      <c r="D1612" s="50"/>
      <c r="E1612" s="50"/>
      <c r="F1612" s="50"/>
      <c r="G1612" s="50"/>
      <c r="H1612" s="50"/>
      <c r="I1612" s="50"/>
      <c r="J1612" s="50"/>
      <c r="K1612" s="50"/>
      <c r="L1612" s="50"/>
      <c r="M1612" s="50"/>
      <c r="N1612" s="50"/>
      <c r="O1612" s="50"/>
      <c r="P1612" s="50"/>
      <c r="Q1612" s="50"/>
      <c r="R1612" s="50"/>
    </row>
    <row r="1613" spans="1:18" x14ac:dyDescent="0.25">
      <c r="A1613" s="41" t="s">
        <v>107</v>
      </c>
      <c r="B1613" s="44"/>
      <c r="C1613" s="51">
        <f t="shared" ref="C1613:R1613" si="901">SUM(C1596:C1612)</f>
        <v>470939</v>
      </c>
      <c r="D1613" s="51">
        <f t="shared" si="901"/>
        <v>368552</v>
      </c>
      <c r="E1613" s="51">
        <f t="shared" si="901"/>
        <v>125576</v>
      </c>
      <c r="F1613" s="51">
        <f t="shared" si="901"/>
        <v>32917</v>
      </c>
      <c r="G1613" s="51">
        <f t="shared" si="901"/>
        <v>22252</v>
      </c>
      <c r="H1613" s="51">
        <f t="shared" si="901"/>
        <v>48285</v>
      </c>
      <c r="I1613" s="51">
        <f t="shared" si="901"/>
        <v>28965</v>
      </c>
      <c r="J1613" s="51">
        <f t="shared" si="901"/>
        <v>29775</v>
      </c>
      <c r="K1613" s="51">
        <f t="shared" si="901"/>
        <v>30549</v>
      </c>
      <c r="L1613" s="51">
        <f t="shared" si="901"/>
        <v>31343</v>
      </c>
      <c r="M1613" s="51">
        <f t="shared" si="901"/>
        <v>26931</v>
      </c>
      <c r="N1613" s="51">
        <f t="shared" si="901"/>
        <v>26286</v>
      </c>
      <c r="O1613" s="51">
        <f t="shared" si="901"/>
        <v>26286</v>
      </c>
      <c r="P1613" s="51">
        <f t="shared" si="901"/>
        <v>26286</v>
      </c>
      <c r="Q1613" s="51">
        <f t="shared" si="901"/>
        <v>26286</v>
      </c>
      <c r="R1613" s="51">
        <f t="shared" si="901"/>
        <v>26286</v>
      </c>
    </row>
    <row r="1614" spans="1:18" x14ac:dyDescent="0.25">
      <c r="C1614" s="50"/>
      <c r="D1614" s="50"/>
      <c r="E1614" s="50"/>
      <c r="F1614" s="50"/>
      <c r="G1614" s="50"/>
      <c r="H1614" s="50"/>
      <c r="I1614" s="50"/>
      <c r="J1614" s="50"/>
      <c r="K1614" s="50"/>
      <c r="L1614" s="50"/>
      <c r="M1614" s="50"/>
      <c r="N1614" s="50"/>
      <c r="O1614" s="50"/>
      <c r="P1614" s="50"/>
      <c r="Q1614" s="50"/>
      <c r="R1614" s="50"/>
    </row>
    <row r="1615" spans="1:18" x14ac:dyDescent="0.25">
      <c r="A1615" s="41" t="s">
        <v>1021</v>
      </c>
      <c r="B1615" s="44"/>
      <c r="C1615" s="51">
        <f t="shared" ref="C1615:R1615" si="902">C1613+C1585-C1565-C1592</f>
        <v>-166545</v>
      </c>
      <c r="D1615" s="51">
        <f t="shared" si="902"/>
        <v>-136446</v>
      </c>
      <c r="E1615" s="51">
        <f t="shared" si="902"/>
        <v>-247598</v>
      </c>
      <c r="F1615" s="51">
        <f t="shared" si="902"/>
        <v>-202106</v>
      </c>
      <c r="G1615" s="51">
        <f t="shared" si="902"/>
        <v>-286850</v>
      </c>
      <c r="H1615" s="51">
        <f t="shared" si="902"/>
        <v>-426835</v>
      </c>
      <c r="I1615" s="51">
        <f t="shared" si="902"/>
        <v>-456991.75</v>
      </c>
      <c r="J1615" s="51">
        <f t="shared" si="902"/>
        <v>-467675.44625000004</v>
      </c>
      <c r="K1615" s="51">
        <f t="shared" si="902"/>
        <v>-478818.42765125004</v>
      </c>
      <c r="L1615" s="51">
        <f t="shared" si="902"/>
        <v>-489549.43680209131</v>
      </c>
      <c r="M1615" s="51">
        <f t="shared" si="902"/>
        <v>-505339.6110147413</v>
      </c>
      <c r="N1615" s="51">
        <f t="shared" si="902"/>
        <v>-518082.84946043242</v>
      </c>
      <c r="O1615" s="51">
        <f t="shared" si="902"/>
        <v>-531528.38487149891</v>
      </c>
      <c r="P1615" s="51">
        <f t="shared" si="902"/>
        <v>-545332.36399648106</v>
      </c>
      <c r="Q1615" s="51">
        <f t="shared" si="902"/>
        <v>-558906.18182121485</v>
      </c>
      <c r="R1615" s="51">
        <f t="shared" si="902"/>
        <v>-574601.0103534736</v>
      </c>
    </row>
    <row r="1616" spans="1:18" x14ac:dyDescent="0.25">
      <c r="C1616" s="50"/>
      <c r="D1616" s="50"/>
      <c r="E1616" s="50"/>
      <c r="F1616" s="50"/>
      <c r="G1616" s="50"/>
      <c r="H1616" s="50"/>
      <c r="I1616" s="50"/>
      <c r="J1616" s="50"/>
      <c r="K1616" s="50"/>
      <c r="L1616" s="50"/>
      <c r="M1616" s="50"/>
      <c r="N1616" s="50"/>
      <c r="O1616" s="50"/>
      <c r="P1616" s="50"/>
      <c r="Q1616" s="50"/>
      <c r="R1616" s="50"/>
    </row>
    <row r="1617" spans="1:18" x14ac:dyDescent="0.25">
      <c r="A1617" s="41" t="s">
        <v>1022</v>
      </c>
      <c r="B1617" s="44"/>
      <c r="C1617" s="51">
        <f t="shared" ref="C1617:R1617" si="903">+C1615+C1542</f>
        <v>2864215</v>
      </c>
      <c r="D1617" s="51">
        <f t="shared" si="903"/>
        <v>2877665</v>
      </c>
      <c r="E1617" s="51">
        <f t="shared" si="903"/>
        <v>3581221</v>
      </c>
      <c r="F1617" s="51">
        <f t="shared" si="903"/>
        <v>3279296</v>
      </c>
      <c r="G1617" s="51">
        <f t="shared" si="903"/>
        <v>2825250</v>
      </c>
      <c r="H1617" s="51">
        <f t="shared" si="903"/>
        <v>2407119</v>
      </c>
      <c r="I1617" s="51">
        <f t="shared" si="903"/>
        <v>3267642.2350000003</v>
      </c>
      <c r="J1617" s="51">
        <f t="shared" si="903"/>
        <v>3450301.3160900003</v>
      </c>
      <c r="K1617" s="51">
        <f t="shared" si="903"/>
        <v>3347047.7915124102</v>
      </c>
      <c r="L1617" s="51">
        <f t="shared" si="903"/>
        <v>3373976.498009108</v>
      </c>
      <c r="M1617" s="51">
        <f t="shared" si="903"/>
        <v>3512169.3890261222</v>
      </c>
      <c r="N1617" s="51">
        <f t="shared" si="903"/>
        <v>3816530.4046189962</v>
      </c>
      <c r="O1617" s="51">
        <f t="shared" si="903"/>
        <v>3592256.5621545212</v>
      </c>
      <c r="P1617" s="51">
        <f t="shared" si="903"/>
        <v>3934483.4083929374</v>
      </c>
      <c r="Q1617" s="51">
        <f t="shared" si="903"/>
        <v>3956782.0171136782</v>
      </c>
      <c r="R1617" s="51">
        <f t="shared" si="903"/>
        <v>4016119.5106632304</v>
      </c>
    </row>
    <row r="1618" spans="1:18" x14ac:dyDescent="0.25">
      <c r="C1618" s="50"/>
      <c r="D1618" s="50"/>
      <c r="E1618" s="50"/>
      <c r="F1618" s="50"/>
      <c r="G1618" s="50"/>
      <c r="H1618" s="50"/>
      <c r="I1618" s="50"/>
      <c r="J1618" s="50"/>
      <c r="K1618" s="50"/>
      <c r="L1618" s="50"/>
      <c r="M1618" s="50"/>
      <c r="N1618" s="50"/>
      <c r="O1618" s="50"/>
      <c r="P1618" s="50"/>
      <c r="Q1618" s="50"/>
      <c r="R1618" s="50"/>
    </row>
    <row r="1619" spans="1:18" x14ac:dyDescent="0.25">
      <c r="C1619" s="50"/>
      <c r="D1619" s="50"/>
      <c r="E1619" s="50"/>
      <c r="F1619" s="50"/>
      <c r="G1619" s="50"/>
      <c r="H1619" s="50"/>
      <c r="I1619" s="50"/>
      <c r="J1619" s="50"/>
      <c r="K1619" s="50"/>
      <c r="L1619" s="50"/>
      <c r="M1619" s="50"/>
      <c r="N1619" s="50"/>
      <c r="O1619" s="50"/>
      <c r="P1619" s="50"/>
      <c r="Q1619" s="50"/>
      <c r="R1619" s="50"/>
    </row>
    <row r="1620" spans="1:18" x14ac:dyDescent="0.25">
      <c r="C1620" s="50"/>
      <c r="D1620" s="50"/>
      <c r="E1620" s="50"/>
      <c r="F1620" s="50"/>
      <c r="G1620" s="50"/>
      <c r="H1620" s="50"/>
      <c r="I1620" s="50"/>
      <c r="J1620" s="50"/>
      <c r="K1620" s="50"/>
      <c r="L1620" s="50"/>
      <c r="M1620" s="50"/>
      <c r="N1620" s="50"/>
      <c r="O1620" s="50"/>
      <c r="P1620" s="50"/>
      <c r="Q1620" s="50"/>
      <c r="R1620" s="50"/>
    </row>
    <row r="1621" spans="1:18" x14ac:dyDescent="0.25">
      <c r="A1621" s="41" t="s">
        <v>163</v>
      </c>
      <c r="B1621" s="44"/>
      <c r="C1621" s="50"/>
      <c r="D1621" s="50"/>
      <c r="E1621" s="50"/>
      <c r="F1621" s="50"/>
      <c r="G1621" s="50"/>
      <c r="H1621" s="50"/>
      <c r="I1621" s="50"/>
      <c r="J1621" s="50"/>
      <c r="K1621" s="50"/>
      <c r="L1621" s="50"/>
      <c r="M1621" s="50"/>
      <c r="N1621" s="50"/>
      <c r="O1621" s="50"/>
      <c r="P1621" s="50"/>
      <c r="Q1621" s="50"/>
      <c r="R1621" s="50"/>
    </row>
    <row r="1622" spans="1:18" x14ac:dyDescent="0.25">
      <c r="A1622" s="41"/>
      <c r="B1622" s="44"/>
      <c r="C1622" s="50"/>
      <c r="D1622" s="50"/>
      <c r="E1622" s="50"/>
      <c r="F1622" s="50"/>
      <c r="G1622" s="50"/>
      <c r="H1622" s="50"/>
      <c r="I1622" s="50"/>
      <c r="J1622" s="50"/>
      <c r="K1622" s="50"/>
      <c r="L1622" s="50"/>
      <c r="M1622" s="50"/>
      <c r="N1622" s="50"/>
      <c r="O1622" s="50"/>
      <c r="P1622" s="50"/>
      <c r="Q1622" s="50"/>
      <c r="R1622" s="50"/>
    </row>
    <row r="1623" spans="1:18" x14ac:dyDescent="0.25">
      <c r="C1623" s="50"/>
      <c r="D1623" s="50"/>
      <c r="E1623" s="50"/>
      <c r="F1623" s="50"/>
      <c r="G1623" s="50"/>
      <c r="H1623" s="50"/>
      <c r="I1623" s="50"/>
      <c r="J1623" s="50"/>
      <c r="K1623" s="50"/>
      <c r="L1623" s="50"/>
      <c r="M1623" s="50"/>
      <c r="N1623" s="50"/>
      <c r="O1623" s="50"/>
      <c r="P1623" s="50"/>
      <c r="Q1623" s="50"/>
      <c r="R1623" s="50"/>
    </row>
    <row r="1624" spans="1:18" x14ac:dyDescent="0.25">
      <c r="A1624" s="41" t="s">
        <v>1023</v>
      </c>
      <c r="B1624" s="44"/>
      <c r="C1624" s="50"/>
      <c r="D1624" s="50"/>
      <c r="E1624" s="50"/>
      <c r="F1624" s="50"/>
      <c r="G1624" s="50"/>
      <c r="H1624" s="50"/>
      <c r="I1624" s="50"/>
      <c r="J1624" s="50"/>
      <c r="K1624" s="50"/>
      <c r="L1624" s="50"/>
      <c r="M1624" s="50"/>
      <c r="N1624" s="50"/>
      <c r="O1624" s="50"/>
      <c r="P1624" s="50"/>
      <c r="Q1624" s="50"/>
      <c r="R1624" s="50"/>
    </row>
    <row r="1625" spans="1:18" x14ac:dyDescent="0.25">
      <c r="A1625" s="41"/>
      <c r="B1625" s="44"/>
      <c r="C1625" s="50"/>
      <c r="D1625" s="50"/>
      <c r="E1625" s="50"/>
      <c r="F1625" s="50"/>
      <c r="G1625" s="50"/>
      <c r="H1625" s="50"/>
      <c r="I1625" s="50"/>
      <c r="J1625" s="50"/>
      <c r="K1625" s="50"/>
      <c r="L1625" s="50"/>
      <c r="M1625" s="50"/>
      <c r="N1625" s="50"/>
      <c r="O1625" s="50"/>
      <c r="P1625" s="50"/>
      <c r="Q1625" s="50"/>
      <c r="R1625" s="50"/>
    </row>
    <row r="1626" spans="1:18" x14ac:dyDescent="0.25">
      <c r="A1626" s="41" t="s">
        <v>202</v>
      </c>
      <c r="B1626" s="44"/>
      <c r="C1626" s="50"/>
      <c r="D1626" s="50"/>
      <c r="E1626" s="50"/>
      <c r="F1626" s="50"/>
      <c r="G1626" s="50"/>
      <c r="H1626" s="50"/>
      <c r="I1626" s="50"/>
      <c r="J1626" s="50"/>
      <c r="K1626" s="50"/>
      <c r="L1626" s="50"/>
      <c r="M1626" s="50"/>
      <c r="N1626" s="50"/>
      <c r="O1626" s="50"/>
      <c r="P1626" s="50"/>
      <c r="Q1626" s="50"/>
      <c r="R1626" s="50"/>
    </row>
    <row r="1627" spans="1:18" x14ac:dyDescent="0.25">
      <c r="A1627" s="41"/>
      <c r="B1627" s="44"/>
      <c r="C1627" s="50"/>
      <c r="D1627" s="50"/>
      <c r="E1627" s="50"/>
      <c r="F1627" s="50"/>
      <c r="G1627" s="50"/>
      <c r="H1627" s="50"/>
      <c r="I1627" s="50"/>
      <c r="J1627" s="50"/>
      <c r="K1627" s="50"/>
      <c r="L1627" s="50"/>
      <c r="M1627" s="50"/>
      <c r="N1627" s="50"/>
      <c r="O1627" s="50"/>
      <c r="P1627" s="50"/>
      <c r="Q1627" s="50"/>
      <c r="R1627" s="50"/>
    </row>
    <row r="1628" spans="1:18" x14ac:dyDescent="0.25">
      <c r="A1628" s="59" t="s">
        <v>1024</v>
      </c>
      <c r="B1628" s="53"/>
      <c r="C1628" s="50">
        <v>0</v>
      </c>
      <c r="D1628" s="50">
        <f>C1628*1.027</f>
        <v>0</v>
      </c>
      <c r="E1628" s="50">
        <f>D1628*1.027</f>
        <v>0</v>
      </c>
      <c r="F1628" s="50">
        <v>0</v>
      </c>
      <c r="G1628" s="50">
        <v>0</v>
      </c>
      <c r="H1628" s="50">
        <v>0</v>
      </c>
      <c r="I1628" s="50">
        <v>0</v>
      </c>
      <c r="J1628" s="50">
        <v>0</v>
      </c>
      <c r="K1628" s="50">
        <v>0</v>
      </c>
      <c r="L1628" s="50">
        <v>0</v>
      </c>
      <c r="M1628" s="50">
        <v>0</v>
      </c>
      <c r="N1628" s="50">
        <v>0</v>
      </c>
      <c r="O1628" s="50">
        <v>0</v>
      </c>
      <c r="P1628" s="50">
        <v>0</v>
      </c>
      <c r="Q1628" s="50">
        <f t="shared" ref="Q1628:R1628" si="904">P1628*1.027</f>
        <v>0</v>
      </c>
      <c r="R1628" s="50">
        <f t="shared" si="904"/>
        <v>0</v>
      </c>
    </row>
    <row r="1629" spans="1:18" x14ac:dyDescent="0.25">
      <c r="A1629" s="59" t="s">
        <v>1025</v>
      </c>
      <c r="B1629" s="53"/>
      <c r="C1629" s="59">
        <v>0</v>
      </c>
      <c r="D1629" s="50"/>
      <c r="E1629" s="50"/>
      <c r="F1629" s="50"/>
      <c r="G1629" s="50"/>
      <c r="H1629" s="50"/>
      <c r="I1629" s="50"/>
      <c r="J1629" s="50"/>
      <c r="K1629" s="50"/>
      <c r="L1629" s="50"/>
      <c r="M1629" s="50"/>
      <c r="N1629" s="50"/>
      <c r="O1629" s="50"/>
      <c r="P1629" s="50"/>
      <c r="Q1629" s="50"/>
      <c r="R1629" s="50"/>
    </row>
    <row r="1630" spans="1:18" x14ac:dyDescent="0.25">
      <c r="A1630" s="52" t="s">
        <v>1026</v>
      </c>
      <c r="B1630" s="53"/>
      <c r="C1630" s="59"/>
      <c r="D1630" s="50"/>
      <c r="E1630" s="50"/>
      <c r="F1630" s="50">
        <v>57182</v>
      </c>
      <c r="G1630" s="50">
        <v>71690</v>
      </c>
      <c r="H1630" s="50">
        <v>6000</v>
      </c>
      <c r="I1630" s="50"/>
      <c r="J1630" s="50"/>
      <c r="K1630" s="50"/>
      <c r="L1630" s="50"/>
      <c r="M1630" s="50"/>
      <c r="N1630" s="50"/>
      <c r="O1630" s="50"/>
      <c r="P1630" s="50"/>
      <c r="Q1630" s="50"/>
      <c r="R1630" s="50"/>
    </row>
    <row r="1631" spans="1:18" x14ac:dyDescent="0.25">
      <c r="A1631" s="52" t="s">
        <v>1027</v>
      </c>
      <c r="B1631" s="53"/>
      <c r="C1631" s="50">
        <v>1000</v>
      </c>
      <c r="D1631" s="50">
        <v>250</v>
      </c>
      <c r="E1631" s="50"/>
      <c r="F1631" s="50">
        <v>9091</v>
      </c>
      <c r="G1631" s="50"/>
      <c r="H1631" s="50"/>
      <c r="I1631" s="50"/>
      <c r="J1631" s="50"/>
      <c r="K1631" s="50"/>
      <c r="L1631" s="50"/>
      <c r="M1631" s="50"/>
      <c r="N1631" s="50"/>
      <c r="O1631" s="50"/>
      <c r="P1631" s="50"/>
      <c r="Q1631" s="50"/>
      <c r="R1631" s="50"/>
    </row>
    <row r="1632" spans="1:18" x14ac:dyDescent="0.25">
      <c r="A1632" s="52" t="s">
        <v>1028</v>
      </c>
      <c r="B1632" s="53"/>
      <c r="C1632" s="50">
        <v>0</v>
      </c>
      <c r="D1632" s="50">
        <v>18182</v>
      </c>
      <c r="E1632" s="50">
        <v>0</v>
      </c>
      <c r="F1632" s="50"/>
      <c r="G1632" s="50"/>
      <c r="H1632" s="50"/>
      <c r="I1632" s="50"/>
      <c r="J1632" s="50"/>
      <c r="K1632" s="50"/>
      <c r="L1632" s="50"/>
      <c r="M1632" s="50"/>
      <c r="N1632" s="50"/>
      <c r="O1632" s="50"/>
      <c r="P1632" s="50"/>
      <c r="Q1632" s="50"/>
      <c r="R1632" s="50"/>
    </row>
    <row r="1633" spans="1:18" x14ac:dyDescent="0.25">
      <c r="A1633" s="52" t="s">
        <v>1029</v>
      </c>
      <c r="B1633" s="44"/>
      <c r="C1633" s="50"/>
      <c r="D1633" s="50"/>
      <c r="E1633" s="50"/>
      <c r="F1633" s="50">
        <v>182</v>
      </c>
      <c r="G1633" s="50"/>
      <c r="H1633" s="50"/>
      <c r="I1633" s="50"/>
      <c r="J1633" s="50"/>
      <c r="K1633" s="50"/>
      <c r="L1633" s="50"/>
      <c r="M1633" s="50"/>
      <c r="N1633" s="50"/>
      <c r="O1633" s="50"/>
      <c r="P1633" s="50"/>
      <c r="Q1633" s="50"/>
      <c r="R1633" s="50"/>
    </row>
    <row r="1634" spans="1:18" x14ac:dyDescent="0.25">
      <c r="A1634" s="52" t="s">
        <v>1030</v>
      </c>
      <c r="B1634" s="44"/>
      <c r="C1634" s="50"/>
      <c r="D1634" s="50"/>
      <c r="E1634" s="50"/>
      <c r="F1634" s="50"/>
      <c r="G1634" s="50"/>
      <c r="H1634" s="50">
        <v>266500</v>
      </c>
      <c r="I1634" s="50"/>
      <c r="J1634" s="50"/>
      <c r="K1634" s="50"/>
      <c r="L1634" s="50"/>
      <c r="M1634" s="50"/>
      <c r="N1634" s="50"/>
      <c r="O1634" s="50"/>
      <c r="P1634" s="50"/>
      <c r="Q1634" s="50"/>
      <c r="R1634" s="50"/>
    </row>
    <row r="1635" spans="1:18" x14ac:dyDescent="0.25">
      <c r="A1635" s="41" t="s">
        <v>216</v>
      </c>
      <c r="B1635" s="44"/>
      <c r="C1635" s="51">
        <f t="shared" ref="C1635" si="905">SUM(C1626:C1633)</f>
        <v>1000</v>
      </c>
      <c r="D1635" s="51">
        <f t="shared" ref="D1635:R1635" si="906">SUM(D1626:D1633)</f>
        <v>18432</v>
      </c>
      <c r="E1635" s="51">
        <f t="shared" si="906"/>
        <v>0</v>
      </c>
      <c r="F1635" s="51">
        <f t="shared" si="906"/>
        <v>66455</v>
      </c>
      <c r="G1635" s="51">
        <f t="shared" si="906"/>
        <v>71690</v>
      </c>
      <c r="H1635" s="51">
        <f>SUM(H1626:H1634)</f>
        <v>272500</v>
      </c>
      <c r="I1635" s="51">
        <f t="shared" si="906"/>
        <v>0</v>
      </c>
      <c r="J1635" s="51">
        <f t="shared" si="906"/>
        <v>0</v>
      </c>
      <c r="K1635" s="51">
        <f t="shared" si="906"/>
        <v>0</v>
      </c>
      <c r="L1635" s="51">
        <f t="shared" si="906"/>
        <v>0</v>
      </c>
      <c r="M1635" s="51">
        <f t="shared" si="906"/>
        <v>0</v>
      </c>
      <c r="N1635" s="51">
        <f t="shared" si="906"/>
        <v>0</v>
      </c>
      <c r="O1635" s="51">
        <f t="shared" si="906"/>
        <v>0</v>
      </c>
      <c r="P1635" s="51">
        <f t="shared" si="906"/>
        <v>0</v>
      </c>
      <c r="Q1635" s="51">
        <f t="shared" si="906"/>
        <v>0</v>
      </c>
      <c r="R1635" s="51">
        <f t="shared" si="906"/>
        <v>0</v>
      </c>
    </row>
    <row r="1636" spans="1:18" x14ac:dyDescent="0.25">
      <c r="A1636" s="41"/>
      <c r="B1636" s="44"/>
      <c r="C1636" s="51"/>
      <c r="D1636" s="51"/>
      <c r="E1636" s="51"/>
      <c r="F1636" s="51"/>
      <c r="G1636" s="51"/>
      <c r="H1636" s="51"/>
      <c r="I1636" s="51"/>
      <c r="J1636" s="51"/>
      <c r="K1636" s="51"/>
      <c r="L1636" s="51"/>
      <c r="M1636" s="51"/>
      <c r="N1636" s="51"/>
      <c r="O1636" s="51"/>
      <c r="P1636" s="51"/>
      <c r="Q1636" s="51"/>
      <c r="R1636" s="51"/>
    </row>
    <row r="1637" spans="1:18" x14ac:dyDescent="0.25">
      <c r="A1637" s="41" t="s">
        <v>165</v>
      </c>
      <c r="B1637" s="44"/>
      <c r="C1637" s="50"/>
      <c r="D1637" s="50"/>
      <c r="E1637" s="50"/>
      <c r="F1637" s="50"/>
      <c r="G1637" s="50"/>
      <c r="H1637" s="50"/>
      <c r="I1637" s="50"/>
      <c r="J1637" s="50"/>
      <c r="K1637" s="50"/>
      <c r="L1637" s="50"/>
      <c r="M1637" s="50"/>
      <c r="N1637" s="50"/>
      <c r="O1637" s="50"/>
      <c r="P1637" s="50"/>
      <c r="Q1637" s="50"/>
      <c r="R1637" s="50"/>
    </row>
    <row r="1638" spans="1:18" x14ac:dyDescent="0.25">
      <c r="C1638" s="50"/>
      <c r="D1638" s="50"/>
      <c r="E1638" s="50"/>
      <c r="F1638" s="50"/>
      <c r="G1638" s="50"/>
      <c r="H1638" s="50"/>
      <c r="I1638" s="50"/>
      <c r="J1638" s="50"/>
      <c r="K1638" s="50"/>
      <c r="L1638" s="50"/>
      <c r="M1638" s="50"/>
      <c r="N1638" s="50"/>
      <c r="O1638" s="50"/>
      <c r="P1638" s="50"/>
      <c r="Q1638" s="50"/>
      <c r="R1638" s="50"/>
    </row>
    <row r="1639" spans="1:18" x14ac:dyDescent="0.25">
      <c r="A1639" s="52" t="s">
        <v>1031</v>
      </c>
      <c r="B1639" s="53"/>
      <c r="C1639" s="50"/>
      <c r="D1639" s="50"/>
      <c r="E1639" s="50"/>
      <c r="F1639" s="50"/>
      <c r="G1639" s="50"/>
      <c r="H1639" s="50"/>
      <c r="I1639" s="50"/>
      <c r="J1639" s="50"/>
      <c r="K1639" s="50"/>
      <c r="L1639" s="50"/>
      <c r="M1639" s="50"/>
      <c r="N1639" s="50"/>
      <c r="O1639" s="50"/>
      <c r="P1639" s="50"/>
      <c r="Q1639" s="50"/>
      <c r="R1639" s="50"/>
    </row>
    <row r="1640" spans="1:18" x14ac:dyDescent="0.25">
      <c r="A1640" s="43" t="s">
        <v>217</v>
      </c>
      <c r="C1640" s="54">
        <f>326218+855</f>
        <v>327073</v>
      </c>
      <c r="D1640" s="54">
        <v>423691</v>
      </c>
      <c r="E1640" s="50">
        <v>388725</v>
      </c>
      <c r="F1640" s="43">
        <v>399857</v>
      </c>
      <c r="G1640" s="43">
        <v>408982</v>
      </c>
      <c r="H1640" s="43">
        <v>544900</v>
      </c>
      <c r="I1640" s="50">
        <f>H1640*1.025</f>
        <v>558522.5</v>
      </c>
      <c r="J1640" s="50">
        <f>I1640*1.029</f>
        <v>574719.65249999997</v>
      </c>
      <c r="K1640" s="54">
        <f>J1640*1.031</f>
        <v>592535.96172749996</v>
      </c>
      <c r="L1640" s="54">
        <f>K1640*1.033</f>
        <v>612089.64846450742</v>
      </c>
      <c r="M1640" s="54">
        <f>L1640*1.032</f>
        <v>631676.51721537171</v>
      </c>
      <c r="N1640" s="54">
        <f>M1640*1.03</f>
        <v>650626.81273183285</v>
      </c>
      <c r="O1640" s="54">
        <f>N1640*1.032</f>
        <v>671446.87073925149</v>
      </c>
      <c r="P1640" s="54">
        <f>O1640*1.034</f>
        <v>694276.0643443861</v>
      </c>
      <c r="Q1640" s="54">
        <f>P1640*1.034</f>
        <v>717881.45053209527</v>
      </c>
      <c r="R1640" s="54">
        <f>Q1640*1.034</f>
        <v>742289.41985018656</v>
      </c>
    </row>
    <row r="1641" spans="1:18" x14ac:dyDescent="0.25">
      <c r="A1641" s="43" t="s">
        <v>219</v>
      </c>
      <c r="C1641" s="54">
        <v>13373</v>
      </c>
      <c r="D1641" s="54">
        <v>13787</v>
      </c>
      <c r="E1641" s="50">
        <v>9808</v>
      </c>
      <c r="F1641" s="54">
        <v>10570</v>
      </c>
      <c r="G1641" s="54">
        <v>12425</v>
      </c>
      <c r="H1641" s="50">
        <v>9900</v>
      </c>
      <c r="I1641" s="54">
        <f>H1641*1.023</f>
        <v>10127.699999999999</v>
      </c>
      <c r="J1641" s="54">
        <f>I1641*1.024</f>
        <v>10370.764799999999</v>
      </c>
      <c r="K1641" s="54">
        <f>J1641*1.024</f>
        <v>10619.6631552</v>
      </c>
      <c r="L1641" s="54">
        <f>K1641*1.023</f>
        <v>10863.915407769598</v>
      </c>
      <c r="M1641" s="54">
        <f>L1641*1.022</f>
        <v>11102.92154674053</v>
      </c>
      <c r="N1641" s="54">
        <f>M1641*1.023</f>
        <v>11358.288742315561</v>
      </c>
      <c r="O1641" s="54">
        <f>N1641*1.025</f>
        <v>11642.245960873448</v>
      </c>
      <c r="P1641" s="54">
        <f>O1641*1.025</f>
        <v>11933.302109895283</v>
      </c>
      <c r="Q1641" s="54">
        <f>P1641*1.024</f>
        <v>12219.70136053277</v>
      </c>
      <c r="R1641" s="54">
        <f>Q1641*1.024</f>
        <v>12512.974193185557</v>
      </c>
    </row>
    <row r="1642" spans="1:18" x14ac:dyDescent="0.25">
      <c r="A1642" s="43" t="s">
        <v>220</v>
      </c>
      <c r="C1642" s="50">
        <v>47006</v>
      </c>
      <c r="D1642" s="54">
        <v>23734</v>
      </c>
      <c r="E1642" s="54">
        <v>64092</v>
      </c>
      <c r="F1642" s="43">
        <v>57581</v>
      </c>
      <c r="G1642" s="43">
        <v>105938</v>
      </c>
      <c r="H1642" s="43">
        <v>71400</v>
      </c>
      <c r="I1642" s="50">
        <f>H1642*1.025</f>
        <v>73185</v>
      </c>
      <c r="J1642" s="50">
        <f>I1642*1.029</f>
        <v>75307.364999999991</v>
      </c>
      <c r="K1642" s="54">
        <f>J1642*1.031</f>
        <v>77641.893314999979</v>
      </c>
      <c r="L1642" s="54">
        <f>K1642*1.033</f>
        <v>80204.075794394972</v>
      </c>
      <c r="M1642" s="54">
        <f>L1642*1.032</f>
        <v>82770.606219815614</v>
      </c>
      <c r="N1642" s="54">
        <f>M1642*1.03</f>
        <v>85253.724406410081</v>
      </c>
      <c r="O1642" s="54">
        <f>N1642*1.032</f>
        <v>87981.843587415206</v>
      </c>
      <c r="P1642" s="54">
        <f>O1642*1.034</f>
        <v>90973.22626938732</v>
      </c>
      <c r="Q1642" s="54">
        <f>P1642*1.034</f>
        <v>94066.31596254649</v>
      </c>
      <c r="R1642" s="54">
        <f>Q1642*1.034</f>
        <v>97264.570705273072</v>
      </c>
    </row>
    <row r="1643" spans="1:18" x14ac:dyDescent="0.25">
      <c r="A1643" s="43" t="s">
        <v>1032</v>
      </c>
      <c r="C1643" s="169">
        <v>8155</v>
      </c>
      <c r="D1643" s="98">
        <v>7004</v>
      </c>
      <c r="E1643" s="98">
        <v>4743</v>
      </c>
      <c r="F1643" s="98">
        <v>4826</v>
      </c>
      <c r="G1643" s="98">
        <v>8271</v>
      </c>
      <c r="H1643" s="98">
        <v>7800</v>
      </c>
      <c r="I1643" s="98">
        <v>7800</v>
      </c>
      <c r="J1643" s="98">
        <v>7800</v>
      </c>
      <c r="K1643" s="180">
        <v>8300</v>
      </c>
      <c r="L1643" s="180">
        <v>8300</v>
      </c>
      <c r="M1643" s="180">
        <v>8300</v>
      </c>
      <c r="N1643" s="180">
        <v>8900</v>
      </c>
      <c r="O1643" s="180">
        <v>8900</v>
      </c>
      <c r="P1643" s="180">
        <v>8900</v>
      </c>
      <c r="Q1643" s="180">
        <v>9500</v>
      </c>
      <c r="R1643" s="180">
        <v>9500</v>
      </c>
    </row>
    <row r="1644" spans="1:18" x14ac:dyDescent="0.25">
      <c r="A1644" s="52" t="s">
        <v>1033</v>
      </c>
      <c r="B1644" s="53"/>
      <c r="C1644" s="54">
        <v>2219</v>
      </c>
      <c r="D1644" s="50">
        <v>2991</v>
      </c>
      <c r="E1644" s="50">
        <v>7574</v>
      </c>
      <c r="F1644" s="43">
        <v>13378</v>
      </c>
      <c r="G1644" s="43">
        <v>31185</v>
      </c>
      <c r="H1644" s="43">
        <v>10000</v>
      </c>
      <c r="I1644" s="54">
        <f>H1644*1.023</f>
        <v>10230</v>
      </c>
      <c r="J1644" s="54">
        <f>I1644*1.024</f>
        <v>10475.52</v>
      </c>
      <c r="K1644" s="54">
        <f>J1644*1.024</f>
        <v>10726.932480000001</v>
      </c>
      <c r="L1644" s="54">
        <f>K1644*1.023</f>
        <v>10973.65192704</v>
      </c>
      <c r="M1644" s="54">
        <f>L1644*1.022</f>
        <v>11215.072269434881</v>
      </c>
      <c r="N1644" s="54">
        <f>M1644*1.023</f>
        <v>11473.018931631881</v>
      </c>
      <c r="O1644" s="54">
        <f>N1644*1.025</f>
        <v>11759.844404922676</v>
      </c>
      <c r="P1644" s="54">
        <f>O1644*1.025</f>
        <v>12053.840515045742</v>
      </c>
      <c r="Q1644" s="54">
        <f>P1644*1.024</f>
        <v>12343.13268740684</v>
      </c>
      <c r="R1644" s="54">
        <f>Q1644*1.024</f>
        <v>12639.367871904604</v>
      </c>
    </row>
    <row r="1645" spans="1:18" x14ac:dyDescent="0.25">
      <c r="A1645" s="43" t="s">
        <v>1034</v>
      </c>
      <c r="C1645" s="54">
        <v>26470</v>
      </c>
      <c r="D1645" s="50">
        <v>16707</v>
      </c>
      <c r="E1645" s="43">
        <v>27585</v>
      </c>
      <c r="F1645" s="43">
        <v>10767</v>
      </c>
      <c r="G1645" s="43">
        <v>36957</v>
      </c>
      <c r="H1645" s="43">
        <v>30000</v>
      </c>
      <c r="I1645" s="54">
        <f t="shared" ref="I1645:I1649" si="907">H1645*1.023</f>
        <v>30689.999999999996</v>
      </c>
      <c r="J1645" s="54">
        <f t="shared" ref="J1645:K1649" si="908">I1645*1.024</f>
        <v>31426.559999999998</v>
      </c>
      <c r="K1645" s="54">
        <f t="shared" si="908"/>
        <v>32180.797439999998</v>
      </c>
      <c r="L1645" s="54">
        <f t="shared" ref="L1645:L1649" si="909">K1645*1.023</f>
        <v>32920.955781119992</v>
      </c>
      <c r="M1645" s="54">
        <f t="shared" ref="M1645:M1649" si="910">L1645*1.022</f>
        <v>33645.216808304634</v>
      </c>
      <c r="N1645" s="54">
        <f t="shared" ref="N1645:N1649" si="911">M1645*1.023</f>
        <v>34419.056794895638</v>
      </c>
      <c r="O1645" s="54">
        <f t="shared" ref="O1645:P1649" si="912">N1645*1.025</f>
        <v>35279.533214768024</v>
      </c>
      <c r="P1645" s="54">
        <f t="shared" si="912"/>
        <v>36161.521545137221</v>
      </c>
      <c r="Q1645" s="54">
        <f t="shared" ref="Q1645:R1649" si="913">P1645*1.024</f>
        <v>37029.398062220513</v>
      </c>
      <c r="R1645" s="54">
        <f t="shared" si="913"/>
        <v>37918.103615713808</v>
      </c>
    </row>
    <row r="1646" spans="1:18" x14ac:dyDescent="0.25">
      <c r="A1646" s="43" t="s">
        <v>1035</v>
      </c>
      <c r="C1646" s="54">
        <v>16522</v>
      </c>
      <c r="D1646" s="54">
        <v>20809</v>
      </c>
      <c r="E1646" s="50">
        <f>31628-13409.07</f>
        <v>18218.93</v>
      </c>
      <c r="F1646" s="43">
        <v>18107</v>
      </c>
      <c r="G1646" s="43">
        <v>18160</v>
      </c>
      <c r="H1646" s="43">
        <v>22500</v>
      </c>
      <c r="I1646" s="54">
        <f t="shared" si="907"/>
        <v>23017.499999999996</v>
      </c>
      <c r="J1646" s="54">
        <f t="shared" si="908"/>
        <v>23569.919999999998</v>
      </c>
      <c r="K1646" s="54">
        <f t="shared" si="908"/>
        <v>24135.59808</v>
      </c>
      <c r="L1646" s="54">
        <f t="shared" si="909"/>
        <v>24690.716835839998</v>
      </c>
      <c r="M1646" s="54">
        <f t="shared" si="910"/>
        <v>25233.912606228478</v>
      </c>
      <c r="N1646" s="54">
        <f t="shared" si="911"/>
        <v>25814.29259617173</v>
      </c>
      <c r="O1646" s="54">
        <f t="shared" si="912"/>
        <v>26459.64991107602</v>
      </c>
      <c r="P1646" s="54">
        <f t="shared" si="912"/>
        <v>27121.141158852919</v>
      </c>
      <c r="Q1646" s="54">
        <f t="shared" si="913"/>
        <v>27772.048546665388</v>
      </c>
      <c r="R1646" s="54">
        <f t="shared" si="913"/>
        <v>28438.577711785358</v>
      </c>
    </row>
    <row r="1647" spans="1:18" x14ac:dyDescent="0.25">
      <c r="A1647" s="43" t="s">
        <v>1036</v>
      </c>
      <c r="C1647" s="54">
        <v>58763</v>
      </c>
      <c r="D1647" s="54">
        <v>50385</v>
      </c>
      <c r="E1647" s="52">
        <v>35916</v>
      </c>
      <c r="F1647" s="43">
        <v>38040</v>
      </c>
      <c r="G1647" s="43">
        <v>50315</v>
      </c>
      <c r="H1647" s="43">
        <v>47000</v>
      </c>
      <c r="I1647" s="54">
        <f t="shared" si="907"/>
        <v>48080.999999999993</v>
      </c>
      <c r="J1647" s="54">
        <f t="shared" si="908"/>
        <v>49234.943999999996</v>
      </c>
      <c r="K1647" s="54">
        <f t="shared" si="908"/>
        <v>50416.582655999999</v>
      </c>
      <c r="L1647" s="54">
        <f t="shared" si="909"/>
        <v>51576.164057087997</v>
      </c>
      <c r="M1647" s="54">
        <f t="shared" si="910"/>
        <v>52710.839666343934</v>
      </c>
      <c r="N1647" s="54">
        <f t="shared" si="911"/>
        <v>53923.188978669838</v>
      </c>
      <c r="O1647" s="54">
        <f t="shared" si="912"/>
        <v>55271.268703136579</v>
      </c>
      <c r="P1647" s="54">
        <f t="shared" si="912"/>
        <v>56653.050420714986</v>
      </c>
      <c r="Q1647" s="54">
        <f t="shared" si="913"/>
        <v>58012.72363081215</v>
      </c>
      <c r="R1647" s="54">
        <f t="shared" si="913"/>
        <v>59405.028997951646</v>
      </c>
    </row>
    <row r="1648" spans="1:18" x14ac:dyDescent="0.25">
      <c r="A1648" s="43" t="s">
        <v>1037</v>
      </c>
      <c r="C1648" s="54">
        <v>972</v>
      </c>
      <c r="D1648" s="54">
        <v>1154</v>
      </c>
      <c r="E1648" s="43">
        <v>782</v>
      </c>
      <c r="F1648" s="43">
        <v>3997</v>
      </c>
      <c r="G1648" s="43">
        <v>1530</v>
      </c>
      <c r="H1648" s="43">
        <v>1900</v>
      </c>
      <c r="I1648" s="54">
        <f t="shared" si="907"/>
        <v>1943.6999999999998</v>
      </c>
      <c r="J1648" s="54">
        <f t="shared" si="908"/>
        <v>1990.3487999999998</v>
      </c>
      <c r="K1648" s="54">
        <f t="shared" si="908"/>
        <v>2038.1171711999998</v>
      </c>
      <c r="L1648" s="54">
        <f t="shared" si="909"/>
        <v>2084.9938661375995</v>
      </c>
      <c r="M1648" s="54">
        <f t="shared" si="910"/>
        <v>2130.8637311926268</v>
      </c>
      <c r="N1648" s="54">
        <f t="shared" si="911"/>
        <v>2179.873597010057</v>
      </c>
      <c r="O1648" s="54">
        <f t="shared" si="912"/>
        <v>2234.3704369353081</v>
      </c>
      <c r="P1648" s="54">
        <f t="shared" si="912"/>
        <v>2290.2296978586905</v>
      </c>
      <c r="Q1648" s="54">
        <f t="shared" si="913"/>
        <v>2345.195210607299</v>
      </c>
      <c r="R1648" s="54">
        <f t="shared" si="913"/>
        <v>2401.4798956618743</v>
      </c>
    </row>
    <row r="1649" spans="1:18" x14ac:dyDescent="0.25">
      <c r="A1649" s="43" t="s">
        <v>1038</v>
      </c>
      <c r="C1649" s="54">
        <v>26095</v>
      </c>
      <c r="D1649" s="54">
        <v>33835</v>
      </c>
      <c r="E1649">
        <f>7920+5440</f>
        <v>13360</v>
      </c>
      <c r="F1649" s="43">
        <v>0</v>
      </c>
      <c r="G1649" s="43">
        <v>5950</v>
      </c>
      <c r="H1649" s="43">
        <v>30000</v>
      </c>
      <c r="I1649" s="54">
        <f t="shared" si="907"/>
        <v>30689.999999999996</v>
      </c>
      <c r="J1649" s="54">
        <f t="shared" si="908"/>
        <v>31426.559999999998</v>
      </c>
      <c r="K1649" s="54">
        <f t="shared" si="908"/>
        <v>32180.797439999998</v>
      </c>
      <c r="L1649" s="54">
        <f t="shared" si="909"/>
        <v>32920.955781119992</v>
      </c>
      <c r="M1649" s="54">
        <f t="shared" si="910"/>
        <v>33645.216808304634</v>
      </c>
      <c r="N1649" s="54">
        <f t="shared" si="911"/>
        <v>34419.056794895638</v>
      </c>
      <c r="O1649" s="54">
        <f t="shared" si="912"/>
        <v>35279.533214768024</v>
      </c>
      <c r="P1649" s="54">
        <f t="shared" si="912"/>
        <v>36161.521545137221</v>
      </c>
      <c r="Q1649" s="54">
        <f t="shared" si="913"/>
        <v>37029.398062220513</v>
      </c>
      <c r="R1649" s="54">
        <f t="shared" si="913"/>
        <v>37918.103615713808</v>
      </c>
    </row>
    <row r="1650" spans="1:18" x14ac:dyDescent="0.25">
      <c r="A1650" s="52" t="s">
        <v>1039</v>
      </c>
      <c r="C1650" s="54"/>
      <c r="D1650" s="54"/>
      <c r="E1650" s="50">
        <v>0</v>
      </c>
      <c r="I1650" s="54"/>
      <c r="J1650" s="54"/>
      <c r="K1650" s="54"/>
      <c r="L1650" s="54"/>
      <c r="M1650" s="54"/>
      <c r="N1650" s="54"/>
      <c r="O1650" s="54"/>
      <c r="P1650" s="54"/>
      <c r="Q1650" s="54"/>
      <c r="R1650" s="54"/>
    </row>
    <row r="1651" spans="1:18" x14ac:dyDescent="0.25">
      <c r="A1651" s="52" t="s">
        <v>1040</v>
      </c>
      <c r="C1651" s="54">
        <v>0</v>
      </c>
      <c r="D1651" s="54"/>
      <c r="E1651" s="54"/>
      <c r="F1651" s="54"/>
      <c r="G1651" s="54"/>
      <c r="H1651" s="54"/>
      <c r="I1651" s="54"/>
      <c r="J1651" s="54"/>
      <c r="K1651" s="54"/>
      <c r="L1651" s="54"/>
      <c r="M1651" s="54"/>
      <c r="N1651" s="54"/>
      <c r="O1651" s="54"/>
      <c r="P1651" s="54"/>
      <c r="Q1651" s="54"/>
      <c r="R1651" s="54"/>
    </row>
    <row r="1652" spans="1:18" x14ac:dyDescent="0.25">
      <c r="A1652" s="52" t="s">
        <v>1041</v>
      </c>
      <c r="B1652" s="53"/>
      <c r="C1652" s="54">
        <v>3000</v>
      </c>
      <c r="D1652" s="50"/>
      <c r="E1652" s="50">
        <v>0</v>
      </c>
      <c r="F1652" s="50">
        <v>0</v>
      </c>
      <c r="G1652" s="50">
        <v>0</v>
      </c>
      <c r="H1652" s="50">
        <v>1100</v>
      </c>
      <c r="I1652" s="54">
        <f>H1652*1.059</f>
        <v>1164.8999999999999</v>
      </c>
      <c r="J1652" s="54">
        <f>I1652*1.05</f>
        <v>1223.145</v>
      </c>
      <c r="K1652" s="54">
        <f>J1652*1.05</f>
        <v>1284.30225</v>
      </c>
      <c r="L1652" s="54">
        <f t="shared" ref="L1652:R1653" si="914">K1652*1.05</f>
        <v>1348.5173625</v>
      </c>
      <c r="M1652" s="54">
        <f t="shared" si="914"/>
        <v>1415.9432306250001</v>
      </c>
      <c r="N1652" s="54">
        <f t="shared" si="914"/>
        <v>1486.7403921562502</v>
      </c>
      <c r="O1652" s="54">
        <f t="shared" si="914"/>
        <v>1561.0774117640628</v>
      </c>
      <c r="P1652" s="54">
        <f t="shared" si="914"/>
        <v>1639.131282352266</v>
      </c>
      <c r="Q1652" s="54">
        <f t="shared" si="914"/>
        <v>1721.0878464698794</v>
      </c>
      <c r="R1652" s="54">
        <f t="shared" si="914"/>
        <v>1807.1422387933735</v>
      </c>
    </row>
    <row r="1653" spans="1:18" s="43" customFormat="1" x14ac:dyDescent="0.25">
      <c r="A1653" s="52" t="s">
        <v>1042</v>
      </c>
      <c r="B1653" s="53"/>
      <c r="C1653" s="54">
        <v>0</v>
      </c>
      <c r="D1653" s="50">
        <v>2000</v>
      </c>
      <c r="E1653" s="43">
        <v>2000</v>
      </c>
      <c r="F1653" s="50">
        <v>2000</v>
      </c>
      <c r="G1653" s="50">
        <v>4000</v>
      </c>
      <c r="H1653" s="50">
        <v>4400</v>
      </c>
      <c r="I1653" s="50">
        <v>8480</v>
      </c>
      <c r="J1653" s="54">
        <f>I1653*1.05</f>
        <v>8904</v>
      </c>
      <c r="K1653" s="54">
        <f>J1653*1.05</f>
        <v>9349.2000000000007</v>
      </c>
      <c r="L1653" s="54">
        <f t="shared" si="914"/>
        <v>9816.6600000000017</v>
      </c>
      <c r="M1653" s="54">
        <f t="shared" si="914"/>
        <v>10307.493000000002</v>
      </c>
      <c r="N1653" s="54">
        <f t="shared" si="914"/>
        <v>10822.867650000002</v>
      </c>
      <c r="O1653" s="54">
        <f t="shared" si="914"/>
        <v>11364.011032500002</v>
      </c>
      <c r="P1653" s="54">
        <f t="shared" si="914"/>
        <v>11932.211584125003</v>
      </c>
      <c r="Q1653" s="54">
        <f t="shared" si="914"/>
        <v>12528.822163331253</v>
      </c>
      <c r="R1653" s="54">
        <f t="shared" si="914"/>
        <v>13155.263271497817</v>
      </c>
    </row>
    <row r="1654" spans="1:18" x14ac:dyDescent="0.25">
      <c r="A1654" s="52" t="s">
        <v>1043</v>
      </c>
      <c r="B1654" s="53"/>
      <c r="C1654" s="59">
        <v>13200</v>
      </c>
      <c r="D1654" s="54">
        <v>13200</v>
      </c>
      <c r="E1654">
        <v>13200</v>
      </c>
      <c r="F1654" s="54">
        <v>13200</v>
      </c>
      <c r="G1654" s="54">
        <v>13200</v>
      </c>
      <c r="H1654" s="54">
        <v>13200</v>
      </c>
      <c r="I1654" s="50">
        <v>14530</v>
      </c>
      <c r="J1654" s="54">
        <f t="shared" ref="J1654:K1655" si="915">I1654*1.024</f>
        <v>14878.720000000001</v>
      </c>
      <c r="K1654" s="54">
        <f t="shared" si="915"/>
        <v>15235.809280000001</v>
      </c>
      <c r="L1654" s="54">
        <f t="shared" ref="L1654:L1655" si="916">K1654*1.023</f>
        <v>15586.232893439999</v>
      </c>
      <c r="M1654" s="54">
        <f t="shared" ref="M1654:M1655" si="917">L1654*1.022</f>
        <v>15929.13001709568</v>
      </c>
      <c r="N1654" s="54">
        <f t="shared" ref="N1654:N1655" si="918">M1654*1.023</f>
        <v>16295.500007488879</v>
      </c>
      <c r="O1654" s="54">
        <f t="shared" ref="O1654:P1655" si="919">N1654*1.025</f>
        <v>16702.8875076761</v>
      </c>
      <c r="P1654" s="54">
        <f t="shared" si="919"/>
        <v>17120.459695368001</v>
      </c>
      <c r="Q1654" s="54">
        <f t="shared" ref="Q1654:R1655" si="920">P1654*1.024</f>
        <v>17531.350728056834</v>
      </c>
      <c r="R1654" s="54">
        <f t="shared" si="920"/>
        <v>17952.103145530196</v>
      </c>
    </row>
    <row r="1655" spans="1:18" x14ac:dyDescent="0.25">
      <c r="A1655" s="52" t="s">
        <v>1044</v>
      </c>
      <c r="B1655" s="53"/>
      <c r="C1655" s="59">
        <v>16894</v>
      </c>
      <c r="D1655" s="50">
        <v>17501</v>
      </c>
      <c r="E1655" s="54">
        <v>12491</v>
      </c>
      <c r="F1655" s="54">
        <v>22078</v>
      </c>
      <c r="G1655" s="50">
        <v>57247</v>
      </c>
      <c r="H1655" s="50">
        <f>21000+6000</f>
        <v>27000</v>
      </c>
      <c r="I1655" s="54">
        <f t="shared" ref="I1655" si="921">H1655*1.023</f>
        <v>27620.999999999996</v>
      </c>
      <c r="J1655" s="54">
        <f t="shared" si="915"/>
        <v>28283.903999999999</v>
      </c>
      <c r="K1655" s="54">
        <f t="shared" si="915"/>
        <v>28962.717696</v>
      </c>
      <c r="L1655" s="54">
        <f t="shared" si="916"/>
        <v>29628.860203007996</v>
      </c>
      <c r="M1655" s="54">
        <f t="shared" si="917"/>
        <v>30280.695127474173</v>
      </c>
      <c r="N1655" s="54">
        <f t="shared" si="918"/>
        <v>30977.151115406075</v>
      </c>
      <c r="O1655" s="54">
        <f t="shared" si="919"/>
        <v>31751.579893291226</v>
      </c>
      <c r="P1655" s="54">
        <f t="shared" si="919"/>
        <v>32545.369390623502</v>
      </c>
      <c r="Q1655" s="54">
        <f t="shared" si="920"/>
        <v>33326.45825599847</v>
      </c>
      <c r="R1655" s="54">
        <f t="shared" si="920"/>
        <v>34126.293254142431</v>
      </c>
    </row>
    <row r="1656" spans="1:18" x14ac:dyDescent="0.25">
      <c r="A1656" s="52" t="s">
        <v>1045</v>
      </c>
      <c r="B1656" s="53"/>
      <c r="C1656" s="59"/>
      <c r="D1656" s="50"/>
      <c r="E1656" s="54"/>
      <c r="F1656" s="54"/>
      <c r="G1656" s="50"/>
      <c r="H1656" s="50"/>
      <c r="I1656" s="54"/>
      <c r="J1656" s="54"/>
      <c r="K1656" s="54"/>
      <c r="L1656" s="54"/>
      <c r="M1656" s="54"/>
      <c r="N1656" s="54"/>
      <c r="O1656" s="54"/>
      <c r="P1656" s="54"/>
      <c r="Q1656" s="54"/>
      <c r="R1656" s="54"/>
    </row>
    <row r="1657" spans="1:18" x14ac:dyDescent="0.25">
      <c r="A1657" s="52" t="s">
        <v>1046</v>
      </c>
      <c r="B1657" s="53"/>
      <c r="C1657" s="59"/>
      <c r="D1657" s="50">
        <v>0</v>
      </c>
      <c r="E1657">
        <v>20340</v>
      </c>
      <c r="F1657" s="50"/>
      <c r="G1657" s="50"/>
      <c r="H1657" s="50"/>
      <c r="I1657" s="54">
        <v>30000</v>
      </c>
      <c r="J1657" s="54">
        <f t="shared" ref="J1657:K1657" si="922">I1657*1.024</f>
        <v>30720</v>
      </c>
      <c r="K1657" s="54">
        <f t="shared" si="922"/>
        <v>31457.279999999999</v>
      </c>
      <c r="L1657" s="54">
        <f t="shared" ref="L1657" si="923">K1657*1.023</f>
        <v>32180.797439999995</v>
      </c>
      <c r="M1657" s="54">
        <f t="shared" ref="M1657" si="924">L1657*1.022</f>
        <v>32888.774983679992</v>
      </c>
      <c r="N1657" s="54">
        <f t="shared" ref="N1657" si="925">M1657*1.023</f>
        <v>33645.216808304627</v>
      </c>
      <c r="O1657" s="54">
        <f t="shared" ref="O1657:P1657" si="926">N1657*1.025</f>
        <v>34486.347228512241</v>
      </c>
      <c r="P1657" s="54">
        <f t="shared" si="926"/>
        <v>35348.505909225045</v>
      </c>
      <c r="Q1657" s="54">
        <f t="shared" ref="Q1657:R1657" si="927">P1657*1.024</f>
        <v>36196.870051046448</v>
      </c>
      <c r="R1657" s="54">
        <f t="shared" si="927"/>
        <v>37065.594932271561</v>
      </c>
    </row>
    <row r="1658" spans="1:18" x14ac:dyDescent="0.25">
      <c r="A1658" s="59" t="s">
        <v>1047</v>
      </c>
      <c r="B1658" s="53"/>
      <c r="C1658" s="59"/>
      <c r="D1658" s="50">
        <v>62856</v>
      </c>
      <c r="E1658">
        <v>44510</v>
      </c>
      <c r="F1658" s="50"/>
      <c r="G1658" s="50"/>
      <c r="H1658" s="50"/>
      <c r="I1658" s="54"/>
      <c r="J1658" s="54"/>
      <c r="K1658" s="54"/>
      <c r="L1658" s="54"/>
      <c r="M1658" s="54"/>
      <c r="N1658" s="54"/>
      <c r="O1658" s="54"/>
      <c r="P1658" s="54"/>
      <c r="Q1658" s="54"/>
      <c r="R1658" s="54"/>
    </row>
    <row r="1659" spans="1:18" x14ac:dyDescent="0.25">
      <c r="A1659" s="52" t="s">
        <v>1048</v>
      </c>
      <c r="B1659" s="53"/>
      <c r="C1659" s="59"/>
      <c r="D1659" s="50"/>
      <c r="E1659">
        <f>36180+11795</f>
        <v>47975</v>
      </c>
      <c r="F1659" s="50"/>
      <c r="G1659" s="50"/>
      <c r="H1659" s="50"/>
      <c r="I1659" s="54"/>
      <c r="J1659" s="54"/>
      <c r="K1659" s="54"/>
      <c r="L1659" s="54"/>
      <c r="M1659" s="54"/>
      <c r="N1659" s="54"/>
      <c r="O1659" s="54"/>
      <c r="P1659" s="54"/>
      <c r="Q1659" s="54"/>
      <c r="R1659" s="54"/>
    </row>
    <row r="1660" spans="1:18" x14ac:dyDescent="0.25">
      <c r="A1660" s="52" t="s">
        <v>1049</v>
      </c>
      <c r="B1660" s="53"/>
      <c r="C1660" s="59"/>
      <c r="D1660" s="50"/>
      <c r="E1660">
        <v>0</v>
      </c>
      <c r="F1660" s="50">
        <v>0</v>
      </c>
      <c r="G1660" s="50">
        <v>40081</v>
      </c>
      <c r="H1660" s="50">
        <v>40000</v>
      </c>
      <c r="I1660" s="54"/>
      <c r="J1660" s="54"/>
      <c r="K1660" s="54"/>
      <c r="L1660" s="54"/>
      <c r="M1660" s="54"/>
      <c r="N1660" s="54"/>
      <c r="O1660" s="54"/>
      <c r="P1660" s="54"/>
      <c r="Q1660" s="54"/>
      <c r="R1660" s="54"/>
    </row>
    <row r="1661" spans="1:18" x14ac:dyDescent="0.25">
      <c r="A1661" s="52" t="s">
        <v>1050</v>
      </c>
      <c r="B1661" s="53"/>
      <c r="C1661" s="50">
        <v>0</v>
      </c>
      <c r="D1661" s="54">
        <f>C1661*1.024</f>
        <v>0</v>
      </c>
      <c r="E1661" s="54">
        <f>D1661*1.024</f>
        <v>0</v>
      </c>
      <c r="F1661" s="54">
        <v>0</v>
      </c>
      <c r="G1661" s="54">
        <v>0</v>
      </c>
      <c r="H1661" s="54">
        <v>0</v>
      </c>
      <c r="I1661" s="54">
        <v>0</v>
      </c>
      <c r="J1661" s="54">
        <v>0</v>
      </c>
      <c r="K1661" s="54">
        <v>0</v>
      </c>
      <c r="L1661" s="54">
        <v>0</v>
      </c>
      <c r="M1661" s="54">
        <v>0</v>
      </c>
      <c r="N1661" s="54">
        <v>0</v>
      </c>
      <c r="O1661" s="54">
        <v>0</v>
      </c>
      <c r="P1661" s="54">
        <v>0</v>
      </c>
      <c r="Q1661" s="54">
        <f>P1661*1.028</f>
        <v>0</v>
      </c>
      <c r="R1661" s="54">
        <f>Q1661*1.028</f>
        <v>0</v>
      </c>
    </row>
    <row r="1662" spans="1:18" x14ac:dyDescent="0.25">
      <c r="A1662" s="52" t="s">
        <v>1051</v>
      </c>
      <c r="B1662" s="53"/>
      <c r="C1662" s="50"/>
      <c r="D1662" s="50"/>
      <c r="E1662" s="50"/>
      <c r="F1662" s="50"/>
      <c r="G1662" s="50"/>
      <c r="H1662" s="50"/>
      <c r="I1662" s="50"/>
      <c r="J1662" s="50"/>
      <c r="K1662" s="50"/>
      <c r="L1662" s="50"/>
      <c r="M1662" s="50"/>
      <c r="N1662" s="50"/>
      <c r="O1662" s="50"/>
      <c r="P1662" s="50"/>
      <c r="Q1662" s="50"/>
      <c r="R1662" s="50"/>
    </row>
    <row r="1663" spans="1:18" x14ac:dyDescent="0.25">
      <c r="A1663" s="52" t="s">
        <v>1052</v>
      </c>
      <c r="B1663" s="53"/>
      <c r="C1663" s="54">
        <v>29777</v>
      </c>
      <c r="D1663" s="54">
        <v>27158</v>
      </c>
      <c r="E1663">
        <v>28596</v>
      </c>
      <c r="F1663" s="43">
        <v>33040</v>
      </c>
      <c r="G1663" s="43">
        <v>37917</v>
      </c>
      <c r="H1663" s="43">
        <v>39100</v>
      </c>
      <c r="I1663" s="54">
        <f t="shared" ref="I1663:I1664" si="928">H1663*1.023</f>
        <v>39999.299999999996</v>
      </c>
      <c r="J1663" s="54">
        <f t="shared" ref="J1663:K1664" si="929">I1663*1.024</f>
        <v>40959.283199999998</v>
      </c>
      <c r="K1663" s="54">
        <f t="shared" si="929"/>
        <v>41942.305996800002</v>
      </c>
      <c r="L1663" s="54">
        <f t="shared" ref="L1663:L1664" si="930">K1663*1.023</f>
        <v>42906.979034726399</v>
      </c>
      <c r="M1663" s="54">
        <f t="shared" ref="M1663:M1664" si="931">L1663*1.022</f>
        <v>43850.932573490383</v>
      </c>
      <c r="N1663" s="54">
        <f t="shared" ref="N1663:N1664" si="932">M1663*1.023</f>
        <v>44859.50402268066</v>
      </c>
      <c r="O1663" s="54">
        <f t="shared" ref="O1663:P1664" si="933">N1663*1.025</f>
        <v>45980.991623247675</v>
      </c>
      <c r="P1663" s="54">
        <f t="shared" si="933"/>
        <v>47130.51641382886</v>
      </c>
      <c r="Q1663" s="54">
        <f t="shared" ref="Q1663:R1664" si="934">P1663*1.024</f>
        <v>48261.648807760757</v>
      </c>
      <c r="R1663" s="54">
        <f t="shared" si="934"/>
        <v>49419.928379147015</v>
      </c>
    </row>
    <row r="1664" spans="1:18" x14ac:dyDescent="0.25">
      <c r="A1664" s="52" t="s">
        <v>1053</v>
      </c>
      <c r="B1664" s="53"/>
      <c r="C1664" s="54">
        <v>18437</v>
      </c>
      <c r="D1664" s="54">
        <v>18937</v>
      </c>
      <c r="E1664">
        <f>20154+45</f>
        <v>20199</v>
      </c>
      <c r="F1664" s="54">
        <v>20823</v>
      </c>
      <c r="G1664" s="54">
        <v>18136</v>
      </c>
      <c r="H1664" s="54">
        <v>22200</v>
      </c>
      <c r="I1664" s="54">
        <f t="shared" si="928"/>
        <v>22710.6</v>
      </c>
      <c r="J1664" s="54">
        <f t="shared" si="929"/>
        <v>23255.654399999999</v>
      </c>
      <c r="K1664" s="54">
        <f t="shared" si="929"/>
        <v>23813.790105600001</v>
      </c>
      <c r="L1664" s="54">
        <f t="shared" si="930"/>
        <v>24361.507278028799</v>
      </c>
      <c r="M1664" s="54">
        <f t="shared" si="931"/>
        <v>24897.460438145434</v>
      </c>
      <c r="N1664" s="54">
        <f t="shared" si="932"/>
        <v>25470.102028222776</v>
      </c>
      <c r="O1664" s="54">
        <f t="shared" si="933"/>
        <v>26106.854578928345</v>
      </c>
      <c r="P1664" s="54">
        <f t="shared" si="933"/>
        <v>26759.525943401553</v>
      </c>
      <c r="Q1664" s="54">
        <f t="shared" si="934"/>
        <v>27401.75456604319</v>
      </c>
      <c r="R1664" s="54">
        <f t="shared" si="934"/>
        <v>28059.396675628228</v>
      </c>
    </row>
    <row r="1665" spans="1:18" x14ac:dyDescent="0.25">
      <c r="A1665" s="43" t="s">
        <v>1054</v>
      </c>
      <c r="B1665" s="53"/>
      <c r="C1665" s="59">
        <v>0</v>
      </c>
      <c r="D1665" s="54"/>
      <c r="E1665" s="54"/>
      <c r="F1665" s="54"/>
      <c r="G1665" s="54"/>
      <c r="H1665" s="54"/>
      <c r="I1665" s="54"/>
      <c r="J1665" s="54"/>
      <c r="K1665" s="54"/>
      <c r="L1665" s="54"/>
      <c r="M1665" s="54"/>
      <c r="N1665" s="54"/>
      <c r="O1665" s="54"/>
      <c r="P1665" s="54"/>
      <c r="Q1665" s="54"/>
      <c r="R1665" s="54"/>
    </row>
    <row r="1666" spans="1:18" x14ac:dyDescent="0.25">
      <c r="A1666" s="43" t="s">
        <v>1055</v>
      </c>
      <c r="B1666" s="53"/>
      <c r="C1666" s="59"/>
      <c r="D1666" s="54"/>
      <c r="E1666" s="54"/>
      <c r="F1666" s="54"/>
      <c r="G1666" s="54"/>
      <c r="H1666" s="54"/>
      <c r="I1666" s="54"/>
      <c r="J1666" s="54"/>
      <c r="K1666" s="54"/>
      <c r="L1666" s="54"/>
      <c r="M1666" s="54"/>
      <c r="N1666" s="54"/>
      <c r="O1666" s="54"/>
      <c r="P1666" s="54"/>
      <c r="Q1666" s="54"/>
      <c r="R1666" s="54"/>
    </row>
    <row r="1667" spans="1:18" x14ac:dyDescent="0.25">
      <c r="A1667" s="52" t="s">
        <v>1056</v>
      </c>
      <c r="B1667" s="53"/>
      <c r="C1667" s="59">
        <v>10830</v>
      </c>
      <c r="D1667" s="54">
        <v>19528</v>
      </c>
      <c r="E1667">
        <v>201290</v>
      </c>
      <c r="F1667" s="43">
        <v>309461</v>
      </c>
      <c r="G1667" s="43">
        <v>53809</v>
      </c>
      <c r="H1667" s="43">
        <v>20000</v>
      </c>
      <c r="I1667" s="54">
        <f t="shared" ref="I1667" si="935">H1667*1.023</f>
        <v>20460</v>
      </c>
      <c r="J1667" s="54">
        <f t="shared" ref="J1667:K1667" si="936">I1667*1.024</f>
        <v>20951.04</v>
      </c>
      <c r="K1667" s="54">
        <f t="shared" si="936"/>
        <v>21453.864960000003</v>
      </c>
      <c r="L1667" s="54">
        <f t="shared" ref="L1667" si="937">K1667*1.023</f>
        <v>21947.303854080001</v>
      </c>
      <c r="M1667" s="54">
        <f t="shared" ref="M1667" si="938">L1667*1.022</f>
        <v>22430.144538869761</v>
      </c>
      <c r="N1667" s="54">
        <f t="shared" ref="N1667" si="939">M1667*1.023</f>
        <v>22946.037863263762</v>
      </c>
      <c r="O1667" s="54">
        <f t="shared" ref="O1667:P1667" si="940">N1667*1.025</f>
        <v>23519.688809845353</v>
      </c>
      <c r="P1667" s="54">
        <f t="shared" si="940"/>
        <v>24107.681030091484</v>
      </c>
      <c r="Q1667" s="54">
        <f t="shared" ref="Q1667:R1667" si="941">P1667*1.024</f>
        <v>24686.26537481368</v>
      </c>
      <c r="R1667" s="54">
        <f t="shared" si="941"/>
        <v>25278.735743809208</v>
      </c>
    </row>
    <row r="1668" spans="1:18" x14ac:dyDescent="0.25">
      <c r="A1668" s="52" t="s">
        <v>1057</v>
      </c>
      <c r="B1668" s="53"/>
      <c r="C1668" s="50"/>
      <c r="D1668" s="54"/>
      <c r="E1668">
        <v>0</v>
      </c>
      <c r="F1668" s="54"/>
      <c r="G1668" s="54"/>
      <c r="H1668" s="54"/>
      <c r="I1668" s="54"/>
      <c r="J1668" s="54"/>
      <c r="K1668" s="54"/>
      <c r="L1668" s="54"/>
      <c r="M1668" s="54"/>
      <c r="N1668" s="54"/>
      <c r="O1668" s="54"/>
      <c r="P1668" s="54"/>
      <c r="Q1668" s="54"/>
      <c r="R1668" s="54"/>
    </row>
    <row r="1669" spans="1:18" x14ac:dyDescent="0.25">
      <c r="A1669" s="52" t="s">
        <v>1058</v>
      </c>
      <c r="B1669" s="53"/>
      <c r="C1669" s="59">
        <v>40487</v>
      </c>
      <c r="D1669" s="50">
        <v>39110</v>
      </c>
      <c r="E1669" s="54">
        <v>40090</v>
      </c>
      <c r="F1669" s="50">
        <v>41090</v>
      </c>
      <c r="G1669" s="50">
        <v>42120</v>
      </c>
      <c r="H1669" s="50">
        <v>43150</v>
      </c>
      <c r="I1669" s="54">
        <f t="shared" ref="I1669:I1674" si="942">H1669*1.023</f>
        <v>44142.45</v>
      </c>
      <c r="J1669" s="54">
        <f t="shared" ref="J1669:K1674" si="943">I1669*1.024</f>
        <v>45201.868799999997</v>
      </c>
      <c r="K1669" s="54">
        <f t="shared" si="943"/>
        <v>46286.7136512</v>
      </c>
      <c r="L1669" s="54">
        <f t="shared" ref="L1669:L1674" si="944">K1669*1.023</f>
        <v>47351.308065177596</v>
      </c>
      <c r="M1669" s="54">
        <f t="shared" ref="M1669:M1674" si="945">L1669*1.022</f>
        <v>48393.036842611502</v>
      </c>
      <c r="N1669" s="54">
        <f t="shared" ref="N1669:N1674" si="946">M1669*1.023</f>
        <v>49506.076689991562</v>
      </c>
      <c r="O1669" s="54">
        <f t="shared" ref="O1669:P1674" si="947">N1669*1.025</f>
        <v>50743.728607241348</v>
      </c>
      <c r="P1669" s="54">
        <f t="shared" si="947"/>
        <v>52012.321822422375</v>
      </c>
      <c r="Q1669" s="54">
        <f t="shared" ref="Q1669:R1674" si="948">P1669*1.024</f>
        <v>53260.617546160516</v>
      </c>
      <c r="R1669" s="54">
        <f t="shared" si="948"/>
        <v>54538.87236726837</v>
      </c>
    </row>
    <row r="1670" spans="1:18" x14ac:dyDescent="0.25">
      <c r="A1670" s="52" t="s">
        <v>1059</v>
      </c>
      <c r="B1670" s="53"/>
      <c r="C1670" s="68">
        <v>124033</v>
      </c>
      <c r="D1670" s="50">
        <v>125510</v>
      </c>
      <c r="E1670" s="54">
        <v>128660</v>
      </c>
      <c r="F1670" s="50">
        <v>131880</v>
      </c>
      <c r="G1670" s="50">
        <v>135170</v>
      </c>
      <c r="H1670" s="50">
        <v>138530</v>
      </c>
      <c r="I1670" s="54">
        <f t="shared" si="942"/>
        <v>141716.18999999997</v>
      </c>
      <c r="J1670" s="54">
        <f t="shared" si="943"/>
        <v>145117.37855999998</v>
      </c>
      <c r="K1670" s="54">
        <f t="shared" si="943"/>
        <v>148600.19564543999</v>
      </c>
      <c r="L1670" s="54">
        <f t="shared" si="944"/>
        <v>152018.0001452851</v>
      </c>
      <c r="M1670" s="54">
        <f t="shared" si="945"/>
        <v>155362.39614848138</v>
      </c>
      <c r="N1670" s="54">
        <f t="shared" si="946"/>
        <v>158935.73125989645</v>
      </c>
      <c r="O1670" s="54">
        <f t="shared" si="947"/>
        <v>162909.12454139386</v>
      </c>
      <c r="P1670" s="54">
        <f t="shared" si="947"/>
        <v>166981.85265492869</v>
      </c>
      <c r="Q1670" s="54">
        <f t="shared" si="948"/>
        <v>170989.41711864699</v>
      </c>
      <c r="R1670" s="54">
        <f t="shared" si="948"/>
        <v>175093.16312949453</v>
      </c>
    </row>
    <row r="1671" spans="1:18" x14ac:dyDescent="0.25">
      <c r="A1671" s="52" t="s">
        <v>1060</v>
      </c>
      <c r="B1671" s="53"/>
      <c r="C1671" s="54">
        <f>36842+1704</f>
        <v>38546</v>
      </c>
      <c r="D1671" s="50">
        <v>44730</v>
      </c>
      <c r="E1671" s="54">
        <f>15856-630.46</f>
        <v>15225.54</v>
      </c>
      <c r="F1671" s="50">
        <v>18024</v>
      </c>
      <c r="G1671" s="50">
        <v>36202</v>
      </c>
      <c r="H1671" s="50">
        <v>40000</v>
      </c>
      <c r="I1671" s="54">
        <f t="shared" si="942"/>
        <v>40920</v>
      </c>
      <c r="J1671" s="54">
        <f t="shared" si="943"/>
        <v>41902.080000000002</v>
      </c>
      <c r="K1671" s="54">
        <f t="shared" si="943"/>
        <v>42907.729920000005</v>
      </c>
      <c r="L1671" s="54">
        <f t="shared" si="944"/>
        <v>43894.607708160001</v>
      </c>
      <c r="M1671" s="54">
        <f t="shared" si="945"/>
        <v>44860.289077739522</v>
      </c>
      <c r="N1671" s="54">
        <f t="shared" si="946"/>
        <v>45892.075726527524</v>
      </c>
      <c r="O1671" s="54">
        <f t="shared" si="947"/>
        <v>47039.377619690706</v>
      </c>
      <c r="P1671" s="54">
        <f t="shared" si="947"/>
        <v>48215.362060182968</v>
      </c>
      <c r="Q1671" s="54">
        <f t="shared" si="948"/>
        <v>49372.53074962736</v>
      </c>
      <c r="R1671" s="54">
        <f t="shared" si="948"/>
        <v>50557.471487618415</v>
      </c>
    </row>
    <row r="1672" spans="1:18" x14ac:dyDescent="0.25">
      <c r="A1672" s="52" t="s">
        <v>1061</v>
      </c>
      <c r="B1672" s="53"/>
      <c r="C1672" s="59">
        <v>0</v>
      </c>
      <c r="D1672" s="54">
        <v>0</v>
      </c>
      <c r="E1672">
        <v>0</v>
      </c>
      <c r="F1672" s="50">
        <v>0</v>
      </c>
      <c r="G1672" s="50">
        <v>0</v>
      </c>
      <c r="H1672" s="50">
        <v>2000</v>
      </c>
      <c r="I1672" s="54">
        <f t="shared" si="942"/>
        <v>2045.9999999999998</v>
      </c>
      <c r="J1672" s="54">
        <f t="shared" si="943"/>
        <v>2095.1039999999998</v>
      </c>
      <c r="K1672" s="54">
        <f t="shared" si="943"/>
        <v>2145.3864960000001</v>
      </c>
      <c r="L1672" s="54">
        <f t="shared" si="944"/>
        <v>2194.7303854080001</v>
      </c>
      <c r="M1672" s="54">
        <f t="shared" si="945"/>
        <v>2243.0144538869763</v>
      </c>
      <c r="N1672" s="54">
        <f t="shared" si="946"/>
        <v>2294.6037863263764</v>
      </c>
      <c r="O1672" s="54">
        <f t="shared" si="947"/>
        <v>2351.9688809845356</v>
      </c>
      <c r="P1672" s="54">
        <f t="shared" si="947"/>
        <v>2410.7681030091489</v>
      </c>
      <c r="Q1672" s="54">
        <f t="shared" si="948"/>
        <v>2468.6265374813684</v>
      </c>
      <c r="R1672" s="54">
        <f t="shared" si="948"/>
        <v>2527.8735743809211</v>
      </c>
    </row>
    <row r="1673" spans="1:18" x14ac:dyDescent="0.25">
      <c r="A1673" s="52" t="s">
        <v>1062</v>
      </c>
      <c r="B1673" s="53"/>
      <c r="C1673" s="59">
        <v>0</v>
      </c>
      <c r="D1673" s="50">
        <v>5710</v>
      </c>
      <c r="E1673">
        <v>1861</v>
      </c>
      <c r="F1673" s="50">
        <v>0</v>
      </c>
      <c r="G1673" s="50">
        <v>8326</v>
      </c>
      <c r="H1673" s="50">
        <v>14000</v>
      </c>
      <c r="I1673" s="54">
        <f t="shared" si="942"/>
        <v>14321.999999999998</v>
      </c>
      <c r="J1673" s="54">
        <f t="shared" si="943"/>
        <v>14665.727999999999</v>
      </c>
      <c r="K1673" s="54">
        <f t="shared" si="943"/>
        <v>15017.705472</v>
      </c>
      <c r="L1673" s="54">
        <f t="shared" si="944"/>
        <v>15363.112697855999</v>
      </c>
      <c r="M1673" s="54">
        <f t="shared" si="945"/>
        <v>15701.101177208831</v>
      </c>
      <c r="N1673" s="54">
        <f t="shared" si="946"/>
        <v>16062.226504284634</v>
      </c>
      <c r="O1673" s="54">
        <f t="shared" si="947"/>
        <v>16463.78216689175</v>
      </c>
      <c r="P1673" s="54">
        <f t="shared" si="947"/>
        <v>16875.376721064044</v>
      </c>
      <c r="Q1673" s="54">
        <f t="shared" si="948"/>
        <v>17280.38576236958</v>
      </c>
      <c r="R1673" s="54">
        <f t="shared" si="948"/>
        <v>17695.11502066645</v>
      </c>
    </row>
    <row r="1674" spans="1:18" x14ac:dyDescent="0.25">
      <c r="A1674" s="52" t="s">
        <v>1063</v>
      </c>
      <c r="B1674" s="53"/>
      <c r="C1674" s="68">
        <v>0</v>
      </c>
      <c r="D1674" s="54">
        <v>2326</v>
      </c>
      <c r="E1674">
        <v>4123</v>
      </c>
      <c r="F1674" s="54">
        <v>9936</v>
      </c>
      <c r="G1674" s="54">
        <v>13837</v>
      </c>
      <c r="H1674" s="54">
        <v>12000</v>
      </c>
      <c r="I1674" s="50">
        <f t="shared" si="942"/>
        <v>12275.999999999998</v>
      </c>
      <c r="J1674" s="54">
        <f t="shared" si="943"/>
        <v>12570.623999999998</v>
      </c>
      <c r="K1674" s="54">
        <f t="shared" si="943"/>
        <v>12872.318975999999</v>
      </c>
      <c r="L1674" s="54">
        <f t="shared" si="944"/>
        <v>13168.382312447997</v>
      </c>
      <c r="M1674" s="54">
        <f t="shared" si="945"/>
        <v>13458.086723321852</v>
      </c>
      <c r="N1674" s="54">
        <f t="shared" si="946"/>
        <v>13767.622717958253</v>
      </c>
      <c r="O1674" s="54">
        <f t="shared" si="947"/>
        <v>14111.813285907208</v>
      </c>
      <c r="P1674" s="54">
        <f t="shared" si="947"/>
        <v>14464.608618054888</v>
      </c>
      <c r="Q1674" s="54">
        <f t="shared" si="948"/>
        <v>14811.759224888207</v>
      </c>
      <c r="R1674" s="54">
        <f t="shared" si="948"/>
        <v>15167.241446285523</v>
      </c>
    </row>
    <row r="1675" spans="1:18" x14ac:dyDescent="0.25">
      <c r="A1675" s="43" t="s">
        <v>1064</v>
      </c>
      <c r="C1675" s="50">
        <v>2000</v>
      </c>
      <c r="D1675" s="54">
        <v>2000</v>
      </c>
      <c r="E1675">
        <v>1000</v>
      </c>
      <c r="F1675" s="54">
        <v>1000</v>
      </c>
      <c r="G1675" s="54">
        <v>4000</v>
      </c>
      <c r="H1675" s="54">
        <v>4400</v>
      </c>
      <c r="I1675" s="50">
        <v>7400</v>
      </c>
      <c r="J1675" s="54">
        <f>I1675*1.05</f>
        <v>7770</v>
      </c>
      <c r="K1675" s="54">
        <f>J1675*1.05</f>
        <v>8158.5</v>
      </c>
      <c r="L1675" s="54">
        <f t="shared" ref="L1675:R1675" si="949">K1675*1.05</f>
        <v>8566.4250000000011</v>
      </c>
      <c r="M1675" s="54">
        <f t="shared" si="949"/>
        <v>8994.746250000002</v>
      </c>
      <c r="N1675" s="54">
        <f t="shared" si="949"/>
        <v>9444.4835625000032</v>
      </c>
      <c r="O1675" s="54">
        <f t="shared" si="949"/>
        <v>9916.7077406250046</v>
      </c>
      <c r="P1675" s="54">
        <f t="shared" si="949"/>
        <v>10412.543127656256</v>
      </c>
      <c r="Q1675" s="54">
        <f t="shared" si="949"/>
        <v>10933.17028403907</v>
      </c>
      <c r="R1675" s="54">
        <f t="shared" si="949"/>
        <v>11479.828798241024</v>
      </c>
    </row>
    <row r="1676" spans="1:18" x14ac:dyDescent="0.25">
      <c r="A1676" s="43" t="s">
        <v>1065</v>
      </c>
      <c r="C1676" s="50">
        <v>0</v>
      </c>
      <c r="D1676" s="50">
        <v>5000</v>
      </c>
      <c r="E1676">
        <v>0</v>
      </c>
      <c r="F1676" s="50">
        <v>0</v>
      </c>
      <c r="G1676" s="50">
        <v>0</v>
      </c>
      <c r="H1676" s="50">
        <v>0</v>
      </c>
      <c r="I1676" s="50">
        <v>0</v>
      </c>
      <c r="J1676" s="50">
        <v>0</v>
      </c>
      <c r="K1676" s="50">
        <v>0</v>
      </c>
      <c r="L1676" s="50">
        <v>0</v>
      </c>
      <c r="M1676" s="50">
        <v>0</v>
      </c>
      <c r="N1676" s="50">
        <v>0</v>
      </c>
      <c r="O1676" s="50">
        <v>0</v>
      </c>
      <c r="P1676" s="50">
        <v>0</v>
      </c>
      <c r="Q1676" s="50">
        <v>0</v>
      </c>
      <c r="R1676" s="50">
        <v>0</v>
      </c>
    </row>
    <row r="1677" spans="1:18" x14ac:dyDescent="0.25">
      <c r="A1677" s="43" t="s">
        <v>1066</v>
      </c>
      <c r="C1677" s="59">
        <v>15974</v>
      </c>
      <c r="D1677" s="54">
        <v>16707</v>
      </c>
      <c r="E1677">
        <v>23700</v>
      </c>
      <c r="F1677" s="54">
        <v>23637</v>
      </c>
      <c r="G1677" s="54">
        <v>25137</v>
      </c>
      <c r="H1677" s="54">
        <v>26000</v>
      </c>
      <c r="I1677" s="50">
        <f t="shared" ref="I1677" si="950">H1677*1.023</f>
        <v>26597.999999999996</v>
      </c>
      <c r="J1677" s="54">
        <f t="shared" ref="J1677:K1677" si="951">I1677*1.024</f>
        <v>27236.351999999995</v>
      </c>
      <c r="K1677" s="54">
        <f t="shared" si="951"/>
        <v>27890.024447999996</v>
      </c>
      <c r="L1677" s="54">
        <f t="shared" ref="L1677" si="952">K1677*1.023</f>
        <v>28531.495010303996</v>
      </c>
      <c r="M1677" s="54">
        <f t="shared" ref="M1677" si="953">L1677*1.022</f>
        <v>29159.187900530684</v>
      </c>
      <c r="N1677" s="54">
        <f t="shared" ref="N1677" si="954">M1677*1.023</f>
        <v>29829.849222242887</v>
      </c>
      <c r="O1677" s="54">
        <f t="shared" ref="O1677:P1677" si="955">N1677*1.025</f>
        <v>30575.595452798956</v>
      </c>
      <c r="P1677" s="54">
        <f t="shared" si="955"/>
        <v>31339.985339118928</v>
      </c>
      <c r="Q1677" s="54">
        <f t="shared" ref="Q1677:R1677" si="956">P1677*1.024</f>
        <v>32092.144987257783</v>
      </c>
      <c r="R1677" s="54">
        <f t="shared" si="956"/>
        <v>32862.356466951969</v>
      </c>
    </row>
    <row r="1678" spans="1:18" x14ac:dyDescent="0.25">
      <c r="A1678" s="43" t="s">
        <v>1067</v>
      </c>
      <c r="C1678" s="68">
        <f>-8454</f>
        <v>-8454</v>
      </c>
      <c r="D1678" s="50">
        <v>0</v>
      </c>
      <c r="E1678">
        <v>0</v>
      </c>
      <c r="F1678" s="50"/>
      <c r="G1678" s="50">
        <v>0</v>
      </c>
      <c r="H1678" s="50"/>
      <c r="I1678" s="50"/>
      <c r="J1678" s="54"/>
      <c r="K1678" s="54"/>
      <c r="L1678" s="54"/>
      <c r="M1678" s="54"/>
      <c r="N1678" s="54"/>
      <c r="O1678" s="54"/>
      <c r="P1678" s="54"/>
      <c r="Q1678" s="54"/>
      <c r="R1678" s="54"/>
    </row>
    <row r="1679" spans="1:18" x14ac:dyDescent="0.25">
      <c r="A1679" s="43" t="s">
        <v>1068</v>
      </c>
      <c r="C1679" s="59">
        <v>24958</v>
      </c>
      <c r="D1679" s="54">
        <v>25532</v>
      </c>
      <c r="E1679">
        <v>26145</v>
      </c>
      <c r="F1679" s="54">
        <v>6693</v>
      </c>
      <c r="G1679" s="54">
        <v>48595</v>
      </c>
      <c r="H1679" s="54">
        <v>48600</v>
      </c>
      <c r="I1679" s="50">
        <v>53690</v>
      </c>
      <c r="J1679" s="54">
        <f t="shared" ref="J1679:K1680" si="957">I1679*1.024</f>
        <v>54978.559999999998</v>
      </c>
      <c r="K1679" s="54">
        <f t="shared" si="957"/>
        <v>56298.045440000002</v>
      </c>
      <c r="L1679" s="54">
        <f t="shared" ref="L1679:L1680" si="958">K1679*1.023</f>
        <v>57592.900485119993</v>
      </c>
      <c r="M1679" s="54">
        <f t="shared" ref="M1679:M1680" si="959">L1679*1.022</f>
        <v>58859.944295792637</v>
      </c>
      <c r="N1679" s="54">
        <f t="shared" ref="N1679:N1680" si="960">M1679*1.023</f>
        <v>60213.72301459586</v>
      </c>
      <c r="O1679" s="54">
        <f t="shared" ref="O1679:P1680" si="961">N1679*1.025</f>
        <v>61719.066089960754</v>
      </c>
      <c r="P1679" s="54">
        <f t="shared" si="961"/>
        <v>63262.042742209764</v>
      </c>
      <c r="Q1679" s="54">
        <f t="shared" ref="Q1679:R1680" si="962">P1679*1.024</f>
        <v>64780.331768022799</v>
      </c>
      <c r="R1679" s="54">
        <f t="shared" si="962"/>
        <v>66335.059730455352</v>
      </c>
    </row>
    <row r="1680" spans="1:18" x14ac:dyDescent="0.25">
      <c r="A1680" s="43" t="s">
        <v>1069</v>
      </c>
      <c r="C1680" s="50">
        <v>180</v>
      </c>
      <c r="D1680" s="54">
        <v>100</v>
      </c>
      <c r="E1680">
        <v>0</v>
      </c>
      <c r="F1680" s="54">
        <v>0</v>
      </c>
      <c r="G1680" s="54">
        <v>250</v>
      </c>
      <c r="H1680" s="54">
        <v>2000</v>
      </c>
      <c r="I1680" s="50">
        <f t="shared" ref="I1680" si="963">H1680*1.023</f>
        <v>2045.9999999999998</v>
      </c>
      <c r="J1680" s="54">
        <f t="shared" si="957"/>
        <v>2095.1039999999998</v>
      </c>
      <c r="K1680" s="54">
        <f t="shared" si="957"/>
        <v>2145.3864960000001</v>
      </c>
      <c r="L1680" s="54">
        <f t="shared" si="958"/>
        <v>2194.7303854080001</v>
      </c>
      <c r="M1680" s="54">
        <f t="shared" si="959"/>
        <v>2243.0144538869763</v>
      </c>
      <c r="N1680" s="54">
        <f t="shared" si="960"/>
        <v>2294.6037863263764</v>
      </c>
      <c r="O1680" s="54">
        <f t="shared" si="961"/>
        <v>2351.9688809845356</v>
      </c>
      <c r="P1680" s="54">
        <f t="shared" si="961"/>
        <v>2410.7681030091489</v>
      </c>
      <c r="Q1680" s="54">
        <f t="shared" si="962"/>
        <v>2468.6265374813684</v>
      </c>
      <c r="R1680" s="54">
        <f t="shared" si="962"/>
        <v>2527.8735743809211</v>
      </c>
    </row>
    <row r="1681" spans="1:18" x14ac:dyDescent="0.25">
      <c r="A1681" s="43" t="s">
        <v>1070</v>
      </c>
      <c r="C1681" s="59">
        <v>0</v>
      </c>
      <c r="D1681" s="50">
        <v>0</v>
      </c>
      <c r="E1681">
        <v>0</v>
      </c>
      <c r="F1681" s="50">
        <v>480</v>
      </c>
      <c r="G1681" s="50">
        <v>84912</v>
      </c>
      <c r="H1681" s="50"/>
      <c r="I1681" s="50"/>
      <c r="J1681" s="54">
        <v>91500</v>
      </c>
      <c r="K1681" s="50"/>
      <c r="L1681" s="50"/>
      <c r="M1681" s="50"/>
      <c r="N1681" s="50">
        <v>100000</v>
      </c>
      <c r="O1681" s="50"/>
      <c r="P1681" s="54"/>
      <c r="Q1681" s="54"/>
      <c r="R1681" s="54"/>
    </row>
    <row r="1682" spans="1:18" x14ac:dyDescent="0.25">
      <c r="A1682" s="52" t="s">
        <v>1071</v>
      </c>
      <c r="C1682" s="50">
        <v>3636</v>
      </c>
      <c r="D1682" s="50"/>
      <c r="E1682" s="50"/>
      <c r="F1682" s="50"/>
      <c r="G1682" s="50"/>
      <c r="H1682" s="50"/>
      <c r="I1682" s="50"/>
      <c r="J1682" s="50"/>
      <c r="K1682" s="50"/>
      <c r="L1682" s="50"/>
      <c r="M1682" s="50"/>
      <c r="N1682" s="50"/>
      <c r="O1682" s="50"/>
      <c r="P1682" s="50"/>
      <c r="Q1682" s="50"/>
      <c r="R1682" s="50"/>
    </row>
    <row r="1683" spans="1:18" x14ac:dyDescent="0.25">
      <c r="A1683" s="52" t="s">
        <v>1027</v>
      </c>
      <c r="C1683" s="50">
        <v>909</v>
      </c>
      <c r="D1683" s="50"/>
      <c r="E1683" s="50"/>
      <c r="F1683" s="50"/>
      <c r="G1683" s="50"/>
      <c r="H1683" s="50"/>
      <c r="I1683" s="50"/>
      <c r="J1683" s="50"/>
      <c r="K1683" s="50"/>
      <c r="L1683" s="50"/>
      <c r="M1683" s="50"/>
      <c r="N1683" s="50"/>
      <c r="O1683" s="50"/>
      <c r="P1683" s="50"/>
      <c r="Q1683" s="50"/>
      <c r="R1683" s="50"/>
    </row>
    <row r="1684" spans="1:18" x14ac:dyDescent="0.25">
      <c r="C1684" s="50"/>
      <c r="D1684" s="50"/>
      <c r="E1684" s="50"/>
      <c r="F1684" s="50"/>
      <c r="G1684" s="50"/>
      <c r="H1684" s="50"/>
      <c r="I1684" s="50"/>
      <c r="J1684" s="50"/>
      <c r="K1684" s="50"/>
      <c r="L1684" s="50"/>
      <c r="M1684" s="50"/>
      <c r="N1684" s="50"/>
      <c r="O1684" s="50"/>
      <c r="P1684" s="50"/>
      <c r="Q1684" s="50"/>
      <c r="R1684" s="50"/>
    </row>
    <row r="1685" spans="1:18" x14ac:dyDescent="0.25">
      <c r="A1685" s="41" t="s">
        <v>230</v>
      </c>
      <c r="B1685" s="44"/>
      <c r="C1685" s="51">
        <f t="shared" ref="C1685:Q1685" si="964">SUM(C1640:C1684)</f>
        <v>861055</v>
      </c>
      <c r="D1685" s="51">
        <f t="shared" si="964"/>
        <v>1022002</v>
      </c>
      <c r="E1685" s="51">
        <f t="shared" si="964"/>
        <v>1202209.47</v>
      </c>
      <c r="F1685" s="51">
        <f t="shared" si="964"/>
        <v>1190465</v>
      </c>
      <c r="G1685" s="51">
        <f t="shared" si="964"/>
        <v>1302652</v>
      </c>
      <c r="H1685" s="51">
        <f t="shared" si="964"/>
        <v>1273080</v>
      </c>
      <c r="I1685" s="51">
        <f t="shared" si="964"/>
        <v>1304409.8399999999</v>
      </c>
      <c r="J1685" s="51">
        <f t="shared" si="964"/>
        <v>1430630.1810600003</v>
      </c>
      <c r="K1685" s="51">
        <f t="shared" si="964"/>
        <v>1376597.6202979397</v>
      </c>
      <c r="L1685" s="51">
        <f t="shared" si="964"/>
        <v>1415277.6281759676</v>
      </c>
      <c r="M1685" s="51">
        <f t="shared" si="964"/>
        <v>1453706.5581045782</v>
      </c>
      <c r="N1685" s="51">
        <f t="shared" si="964"/>
        <v>1593111.4297320067</v>
      </c>
      <c r="O1685" s="51">
        <f t="shared" si="964"/>
        <v>1535911.7315253904</v>
      </c>
      <c r="P1685" s="51">
        <f t="shared" si="964"/>
        <v>1581492.9281470871</v>
      </c>
      <c r="Q1685" s="51">
        <f t="shared" si="964"/>
        <v>1628311.2323646026</v>
      </c>
      <c r="R1685" s="51">
        <f t="shared" ref="R1685" si="965">SUM(R1640:R1684)</f>
        <v>1675936.9396939399</v>
      </c>
    </row>
    <row r="1686" spans="1:18" x14ac:dyDescent="0.25">
      <c r="C1686" s="50"/>
      <c r="D1686" s="50"/>
      <c r="E1686" s="50"/>
      <c r="F1686" s="50"/>
      <c r="G1686" s="50"/>
      <c r="H1686" s="50"/>
      <c r="I1686" s="50"/>
      <c r="J1686" s="50"/>
      <c r="K1686" s="50"/>
      <c r="L1686" s="50"/>
      <c r="M1686" s="50"/>
      <c r="N1686" s="50"/>
      <c r="O1686" s="50"/>
      <c r="P1686" s="50"/>
      <c r="Q1686" s="50"/>
      <c r="R1686" s="50"/>
    </row>
    <row r="1687" spans="1:18" x14ac:dyDescent="0.25">
      <c r="A1687" s="41" t="s">
        <v>171</v>
      </c>
      <c r="C1687" s="50"/>
      <c r="D1687" s="50"/>
      <c r="E1687" s="50"/>
      <c r="F1687" s="50"/>
      <c r="G1687" s="50"/>
      <c r="H1687" s="50"/>
      <c r="I1687" s="50"/>
      <c r="J1687" s="50"/>
      <c r="K1687" s="50"/>
      <c r="L1687" s="50"/>
      <c r="M1687" s="50"/>
      <c r="N1687" s="50"/>
      <c r="O1687" s="50"/>
      <c r="P1687" s="50"/>
      <c r="Q1687" s="50"/>
      <c r="R1687" s="50"/>
    </row>
    <row r="1688" spans="1:18" x14ac:dyDescent="0.25">
      <c r="A1688" s="41"/>
      <c r="C1688" s="50"/>
      <c r="D1688" s="50"/>
      <c r="E1688" s="50"/>
      <c r="F1688" s="50"/>
      <c r="G1688" s="50"/>
      <c r="H1688" s="50"/>
      <c r="I1688" s="50"/>
      <c r="J1688" s="50"/>
      <c r="K1688" s="50"/>
      <c r="L1688" s="50"/>
      <c r="M1688" s="50"/>
      <c r="N1688" s="50"/>
      <c r="O1688" s="50"/>
      <c r="P1688" s="50"/>
      <c r="Q1688" s="50"/>
      <c r="R1688" s="50"/>
    </row>
    <row r="1689" spans="1:18" x14ac:dyDescent="0.25">
      <c r="A1689" s="52" t="s">
        <v>1072</v>
      </c>
      <c r="C1689" s="50">
        <v>0</v>
      </c>
      <c r="D1689" s="50">
        <v>0</v>
      </c>
      <c r="E1689" s="50">
        <v>0</v>
      </c>
      <c r="F1689" s="50">
        <v>0</v>
      </c>
      <c r="G1689" s="50">
        <v>0</v>
      </c>
      <c r="H1689" s="50">
        <v>0</v>
      </c>
      <c r="I1689" s="50">
        <v>0</v>
      </c>
      <c r="J1689" s="50">
        <v>0</v>
      </c>
      <c r="K1689" s="50">
        <v>0</v>
      </c>
      <c r="L1689" s="50">
        <v>0</v>
      </c>
      <c r="M1689" s="50">
        <v>0</v>
      </c>
      <c r="N1689" s="50">
        <v>0</v>
      </c>
      <c r="O1689" s="50">
        <v>0</v>
      </c>
      <c r="P1689" s="50">
        <v>0</v>
      </c>
      <c r="Q1689" s="50">
        <v>0</v>
      </c>
      <c r="R1689" s="50">
        <v>0</v>
      </c>
    </row>
    <row r="1690" spans="1:18" x14ac:dyDescent="0.25">
      <c r="A1690" s="52" t="s">
        <v>1073</v>
      </c>
      <c r="B1690" s="52"/>
      <c r="C1690" s="50"/>
      <c r="D1690" s="50">
        <v>51765</v>
      </c>
      <c r="E1690" s="50"/>
      <c r="F1690" s="50">
        <v>1529</v>
      </c>
      <c r="G1690" s="50">
        <v>7572</v>
      </c>
      <c r="H1690" s="50"/>
      <c r="I1690" s="50"/>
      <c r="J1690" s="50"/>
      <c r="K1690" s="50"/>
      <c r="L1690" s="50"/>
      <c r="M1690" s="50"/>
      <c r="N1690" s="50"/>
      <c r="O1690" s="50"/>
      <c r="P1690" s="50"/>
      <c r="Q1690" s="50"/>
      <c r="R1690" s="50"/>
    </row>
    <row r="1691" spans="1:18" x14ac:dyDescent="0.25">
      <c r="A1691" s="41"/>
      <c r="C1691" s="50"/>
      <c r="D1691" s="50"/>
      <c r="E1691" s="50"/>
      <c r="F1691" s="50"/>
      <c r="G1691" s="50"/>
      <c r="H1691" s="50"/>
      <c r="I1691" s="50"/>
      <c r="J1691" s="50"/>
      <c r="K1691" s="50"/>
      <c r="L1691" s="50"/>
      <c r="M1691" s="50"/>
      <c r="N1691" s="50"/>
      <c r="O1691" s="50"/>
      <c r="P1691" s="50"/>
      <c r="Q1691" s="50"/>
      <c r="R1691" s="50"/>
    </row>
    <row r="1692" spans="1:18" x14ac:dyDescent="0.25">
      <c r="A1692" s="41" t="s">
        <v>107</v>
      </c>
      <c r="C1692" s="51">
        <f t="shared" ref="C1692:R1692" si="966">SUM(C1689:C1691)</f>
        <v>0</v>
      </c>
      <c r="D1692" s="51">
        <f t="shared" si="966"/>
        <v>51765</v>
      </c>
      <c r="E1692" s="51">
        <f t="shared" si="966"/>
        <v>0</v>
      </c>
      <c r="F1692" s="51">
        <f t="shared" si="966"/>
        <v>1529</v>
      </c>
      <c r="G1692" s="51">
        <f t="shared" si="966"/>
        <v>7572</v>
      </c>
      <c r="H1692" s="51">
        <f t="shared" si="966"/>
        <v>0</v>
      </c>
      <c r="I1692" s="51">
        <f t="shared" si="966"/>
        <v>0</v>
      </c>
      <c r="J1692" s="51">
        <f t="shared" si="966"/>
        <v>0</v>
      </c>
      <c r="K1692" s="51">
        <f t="shared" si="966"/>
        <v>0</v>
      </c>
      <c r="L1692" s="51">
        <f t="shared" si="966"/>
        <v>0</v>
      </c>
      <c r="M1692" s="51">
        <f t="shared" si="966"/>
        <v>0</v>
      </c>
      <c r="N1692" s="51">
        <f t="shared" si="966"/>
        <v>0</v>
      </c>
      <c r="O1692" s="51">
        <f t="shared" si="966"/>
        <v>0</v>
      </c>
      <c r="P1692" s="51">
        <f t="shared" si="966"/>
        <v>0</v>
      </c>
      <c r="Q1692" s="51">
        <f t="shared" si="966"/>
        <v>0</v>
      </c>
      <c r="R1692" s="51">
        <f t="shared" si="966"/>
        <v>0</v>
      </c>
    </row>
    <row r="1693" spans="1:18" x14ac:dyDescent="0.25">
      <c r="C1693" s="50"/>
      <c r="D1693" s="50"/>
      <c r="E1693" s="50"/>
      <c r="F1693" s="50"/>
      <c r="G1693" s="50"/>
      <c r="H1693" s="50"/>
      <c r="I1693" s="50"/>
      <c r="J1693" s="50"/>
      <c r="K1693" s="50"/>
      <c r="L1693" s="50"/>
      <c r="M1693" s="50"/>
      <c r="N1693" s="50"/>
      <c r="O1693" s="50"/>
      <c r="P1693" s="50"/>
      <c r="Q1693" s="50"/>
      <c r="R1693" s="50"/>
    </row>
    <row r="1694" spans="1:18" x14ac:dyDescent="0.25">
      <c r="C1694" s="50"/>
      <c r="D1694" s="50"/>
      <c r="E1694" s="50"/>
      <c r="F1694" s="50"/>
      <c r="G1694" s="50"/>
      <c r="H1694" s="50"/>
      <c r="I1694" s="50"/>
      <c r="J1694" s="50"/>
      <c r="K1694" s="50"/>
      <c r="L1694" s="50"/>
      <c r="M1694" s="50"/>
      <c r="N1694" s="50"/>
      <c r="O1694" s="50"/>
      <c r="P1694" s="50"/>
      <c r="Q1694" s="50"/>
      <c r="R1694" s="50"/>
    </row>
    <row r="1695" spans="1:18" x14ac:dyDescent="0.25">
      <c r="A1695" s="41" t="s">
        <v>1074</v>
      </c>
      <c r="B1695" s="44"/>
      <c r="C1695" s="51">
        <f>C1685-C1635</f>
        <v>860055</v>
      </c>
      <c r="D1695" s="51">
        <f t="shared" ref="D1695:R1695" si="967">D1685-D1635+D1692</f>
        <v>1055335</v>
      </c>
      <c r="E1695" s="51">
        <f t="shared" si="967"/>
        <v>1202209.47</v>
      </c>
      <c r="F1695" s="51">
        <f t="shared" si="967"/>
        <v>1125539</v>
      </c>
      <c r="G1695" s="51">
        <f t="shared" si="967"/>
        <v>1238534</v>
      </c>
      <c r="H1695" s="51">
        <f t="shared" si="967"/>
        <v>1000580</v>
      </c>
      <c r="I1695" s="51">
        <f t="shared" si="967"/>
        <v>1304409.8399999999</v>
      </c>
      <c r="J1695" s="51">
        <f t="shared" si="967"/>
        <v>1430630.1810600003</v>
      </c>
      <c r="K1695" s="51">
        <f t="shared" si="967"/>
        <v>1376597.6202979397</v>
      </c>
      <c r="L1695" s="51">
        <f t="shared" si="967"/>
        <v>1415277.6281759676</v>
      </c>
      <c r="M1695" s="51">
        <f t="shared" si="967"/>
        <v>1453706.5581045782</v>
      </c>
      <c r="N1695" s="51">
        <f t="shared" si="967"/>
        <v>1593111.4297320067</v>
      </c>
      <c r="O1695" s="51">
        <f t="shared" si="967"/>
        <v>1535911.7315253904</v>
      </c>
      <c r="P1695" s="51">
        <f t="shared" si="967"/>
        <v>1581492.9281470871</v>
      </c>
      <c r="Q1695" s="51">
        <f t="shared" si="967"/>
        <v>1628311.2323646026</v>
      </c>
      <c r="R1695" s="51">
        <f t="shared" si="967"/>
        <v>1675936.9396939399</v>
      </c>
    </row>
    <row r="1696" spans="1:18" x14ac:dyDescent="0.25">
      <c r="C1696" s="50"/>
      <c r="D1696" s="50"/>
      <c r="E1696" s="50"/>
      <c r="F1696" s="50"/>
      <c r="G1696" s="50"/>
      <c r="H1696" s="50"/>
      <c r="I1696" s="50"/>
      <c r="J1696" s="50"/>
      <c r="K1696" s="50"/>
      <c r="L1696" s="50"/>
      <c r="M1696" s="50"/>
      <c r="N1696" s="50"/>
      <c r="O1696" s="50"/>
      <c r="P1696" s="50"/>
      <c r="Q1696" s="50"/>
      <c r="R1696" s="50"/>
    </row>
    <row r="1697" spans="1:18" x14ac:dyDescent="0.25">
      <c r="C1697" s="50"/>
      <c r="D1697" s="50"/>
      <c r="E1697" s="50"/>
      <c r="F1697" s="50"/>
      <c r="G1697" s="50"/>
      <c r="H1697" s="50"/>
      <c r="I1697" s="50"/>
      <c r="J1697" s="50"/>
      <c r="K1697" s="50"/>
      <c r="L1697" s="50"/>
      <c r="M1697" s="50"/>
      <c r="N1697" s="50"/>
      <c r="O1697" s="50"/>
      <c r="P1697" s="50"/>
      <c r="Q1697" s="50"/>
      <c r="R1697" s="50"/>
    </row>
    <row r="1698" spans="1:18" x14ac:dyDescent="0.25">
      <c r="A1698" s="41" t="s">
        <v>1075</v>
      </c>
      <c r="B1698" s="44"/>
      <c r="C1698" s="50"/>
      <c r="D1698" s="50"/>
      <c r="E1698" s="50"/>
      <c r="F1698" s="50"/>
      <c r="G1698" s="50"/>
      <c r="H1698" s="50"/>
      <c r="I1698" s="50"/>
      <c r="J1698" s="50"/>
      <c r="K1698" s="50"/>
      <c r="L1698" s="50"/>
      <c r="M1698" s="50"/>
      <c r="N1698" s="50"/>
      <c r="O1698" s="50"/>
      <c r="P1698" s="50"/>
      <c r="Q1698" s="50"/>
      <c r="R1698" s="50"/>
    </row>
    <row r="1699" spans="1:18" x14ac:dyDescent="0.25">
      <c r="C1699" s="50"/>
      <c r="D1699" s="50"/>
      <c r="E1699" s="50"/>
      <c r="F1699" s="50"/>
      <c r="G1699" s="50"/>
      <c r="H1699" s="50"/>
      <c r="I1699" s="50"/>
      <c r="J1699" s="50"/>
      <c r="K1699" s="50"/>
      <c r="L1699" s="50"/>
      <c r="M1699" s="50"/>
      <c r="N1699" s="50"/>
      <c r="O1699" s="50"/>
      <c r="P1699" s="50"/>
      <c r="Q1699" s="50"/>
      <c r="R1699" s="50"/>
    </row>
    <row r="1700" spans="1:18" x14ac:dyDescent="0.25">
      <c r="A1700" s="41" t="s">
        <v>202</v>
      </c>
      <c r="C1700" s="50"/>
      <c r="D1700" s="50"/>
      <c r="E1700" s="50"/>
      <c r="F1700" s="50"/>
      <c r="G1700" s="50"/>
      <c r="H1700" s="50"/>
      <c r="I1700" s="50"/>
      <c r="J1700" s="50"/>
      <c r="K1700" s="50"/>
      <c r="L1700" s="50"/>
      <c r="M1700" s="50"/>
      <c r="N1700" s="50"/>
      <c r="O1700" s="50"/>
      <c r="P1700" s="50"/>
      <c r="Q1700" s="50"/>
      <c r="R1700" s="50"/>
    </row>
    <row r="1701" spans="1:18" x14ac:dyDescent="0.25">
      <c r="A1701" s="59" t="s">
        <v>1076</v>
      </c>
      <c r="C1701" s="50"/>
      <c r="D1701" s="50"/>
      <c r="E1701" s="50"/>
      <c r="F1701" s="59">
        <v>294703</v>
      </c>
      <c r="G1701" s="50">
        <v>251</v>
      </c>
      <c r="H1701" s="50"/>
      <c r="I1701" s="50"/>
      <c r="J1701" s="50"/>
      <c r="K1701" s="50"/>
      <c r="L1701" s="50"/>
      <c r="M1701" s="50"/>
      <c r="N1701" s="50"/>
      <c r="O1701" s="50"/>
      <c r="P1701" s="50"/>
      <c r="Q1701" s="50"/>
      <c r="R1701" s="50"/>
    </row>
    <row r="1702" spans="1:18" x14ac:dyDescent="0.25">
      <c r="C1702" s="50"/>
      <c r="D1702" s="50"/>
      <c r="E1702" s="50"/>
      <c r="F1702" s="50"/>
      <c r="G1702" s="50"/>
      <c r="H1702" s="50"/>
      <c r="I1702" s="50"/>
      <c r="J1702" s="50"/>
      <c r="K1702" s="50"/>
      <c r="L1702" s="50"/>
      <c r="M1702" s="50"/>
      <c r="N1702" s="50"/>
      <c r="O1702" s="50"/>
      <c r="P1702" s="50"/>
      <c r="Q1702" s="50"/>
      <c r="R1702" s="50"/>
    </row>
    <row r="1703" spans="1:18" x14ac:dyDescent="0.25">
      <c r="A1703" s="41" t="s">
        <v>216</v>
      </c>
      <c r="C1703" s="50"/>
      <c r="D1703" s="50"/>
      <c r="E1703" s="50"/>
      <c r="F1703" s="51">
        <f>SUM(F1701:F1702)</f>
        <v>294703</v>
      </c>
      <c r="G1703" s="51">
        <f t="shared" ref="G1703" si="968">SUM(G1701:G1702)</f>
        <v>251</v>
      </c>
      <c r="H1703" s="50"/>
      <c r="I1703" s="50"/>
      <c r="J1703" s="50"/>
      <c r="K1703" s="50"/>
      <c r="L1703" s="50"/>
      <c r="M1703" s="50"/>
      <c r="N1703" s="50"/>
      <c r="O1703" s="50"/>
      <c r="P1703" s="50"/>
      <c r="Q1703" s="50"/>
      <c r="R1703" s="50"/>
    </row>
    <row r="1704" spans="1:18" x14ac:dyDescent="0.25">
      <c r="C1704" s="50"/>
      <c r="D1704" s="50"/>
      <c r="E1704" s="50"/>
      <c r="F1704" s="50"/>
      <c r="G1704" s="50"/>
      <c r="H1704" s="50"/>
      <c r="I1704" s="50"/>
      <c r="J1704" s="50"/>
      <c r="K1704" s="50"/>
      <c r="L1704" s="50"/>
      <c r="M1704" s="50"/>
      <c r="N1704" s="50"/>
      <c r="O1704" s="50"/>
      <c r="P1704" s="50"/>
      <c r="Q1704" s="50"/>
      <c r="R1704" s="50"/>
    </row>
    <row r="1705" spans="1:18" x14ac:dyDescent="0.25">
      <c r="A1705" s="41" t="s">
        <v>165</v>
      </c>
      <c r="B1705" s="44"/>
      <c r="C1705" s="50"/>
      <c r="D1705" s="50"/>
      <c r="E1705" s="50"/>
      <c r="F1705" s="50"/>
      <c r="G1705" s="50"/>
      <c r="H1705" s="50"/>
      <c r="I1705" s="50"/>
      <c r="J1705" s="50"/>
      <c r="K1705" s="50"/>
      <c r="L1705" s="50"/>
      <c r="M1705" s="50"/>
      <c r="N1705" s="50"/>
      <c r="O1705" s="50"/>
      <c r="P1705" s="50"/>
      <c r="Q1705" s="50"/>
      <c r="R1705" s="50"/>
    </row>
    <row r="1706" spans="1:18" x14ac:dyDescent="0.25">
      <c r="C1706" s="50"/>
      <c r="D1706" s="50"/>
      <c r="E1706" s="50"/>
      <c r="F1706" s="50"/>
      <c r="G1706" s="50"/>
      <c r="H1706" s="50"/>
      <c r="I1706" s="50"/>
      <c r="J1706" s="50"/>
      <c r="K1706" s="50"/>
      <c r="L1706" s="50"/>
      <c r="M1706" s="50"/>
      <c r="N1706" s="50"/>
      <c r="O1706" s="50"/>
      <c r="P1706" s="50"/>
      <c r="Q1706" s="50"/>
      <c r="R1706" s="50"/>
    </row>
    <row r="1707" spans="1:18" x14ac:dyDescent="0.25">
      <c r="A1707" s="43" t="s">
        <v>217</v>
      </c>
      <c r="C1707" s="54">
        <v>281671</v>
      </c>
      <c r="D1707" s="54">
        <v>288685</v>
      </c>
      <c r="E1707" s="43">
        <v>292766</v>
      </c>
      <c r="F1707" s="43">
        <v>280539</v>
      </c>
      <c r="G1707" s="43">
        <v>298942</v>
      </c>
      <c r="H1707" s="43">
        <v>324400</v>
      </c>
      <c r="I1707" s="50">
        <f>H1707*1.025</f>
        <v>332510</v>
      </c>
      <c r="J1707" s="50">
        <f>I1707*1.029</f>
        <v>342152.79</v>
      </c>
      <c r="K1707" s="54">
        <f>J1707*1.031</f>
        <v>352759.52648999996</v>
      </c>
      <c r="L1707" s="54">
        <f>K1707*1.033</f>
        <v>364400.59086416994</v>
      </c>
      <c r="M1707" s="54">
        <f>L1707*1.032</f>
        <v>376061.40977182338</v>
      </c>
      <c r="N1707" s="54">
        <f>M1707*1.03</f>
        <v>387343.25206497812</v>
      </c>
      <c r="O1707" s="54">
        <f>N1707*1.032</f>
        <v>399738.23613105743</v>
      </c>
      <c r="P1707" s="54">
        <f>O1707*1.034</f>
        <v>413329.33615951339</v>
      </c>
      <c r="Q1707" s="54">
        <f>P1707*1.034</f>
        <v>427382.53358893684</v>
      </c>
      <c r="R1707" s="54">
        <f>Q1707*1.034</f>
        <v>441913.53973096074</v>
      </c>
    </row>
    <row r="1708" spans="1:18" x14ac:dyDescent="0.25">
      <c r="A1708" s="43" t="s">
        <v>1077</v>
      </c>
      <c r="C1708" s="54">
        <v>0</v>
      </c>
      <c r="D1708" s="54">
        <v>0</v>
      </c>
      <c r="E1708" s="43">
        <v>17</v>
      </c>
      <c r="F1708" s="54">
        <v>0</v>
      </c>
      <c r="G1708" s="54">
        <v>90</v>
      </c>
      <c r="H1708" s="54">
        <v>100</v>
      </c>
      <c r="I1708" s="54">
        <f>H1708*1.023</f>
        <v>102.3</v>
      </c>
      <c r="J1708" s="54">
        <f>I1708*1.024</f>
        <v>104.7552</v>
      </c>
      <c r="K1708" s="54">
        <f>J1708*1.024</f>
        <v>107.26932480000001</v>
      </c>
      <c r="L1708" s="54">
        <f>K1708*1.023</f>
        <v>109.7365192704</v>
      </c>
      <c r="M1708" s="54">
        <f>L1708*1.022</f>
        <v>112.1507226943488</v>
      </c>
      <c r="N1708" s="54">
        <f>M1708*1.023</f>
        <v>114.73018931631881</v>
      </c>
      <c r="O1708" s="54">
        <f>N1708*1.025</f>
        <v>117.59844404922677</v>
      </c>
      <c r="P1708" s="54">
        <f>O1708*1.025</f>
        <v>120.53840515045744</v>
      </c>
      <c r="Q1708" s="54">
        <f>P1708*1.024</f>
        <v>123.43132687406842</v>
      </c>
      <c r="R1708" s="54">
        <f>Q1708*1.024</f>
        <v>126.39367871904606</v>
      </c>
    </row>
    <row r="1709" spans="1:18" x14ac:dyDescent="0.25">
      <c r="A1709" s="43" t="s">
        <v>220</v>
      </c>
      <c r="C1709" s="50">
        <v>31467</v>
      </c>
      <c r="D1709" s="54">
        <v>39376</v>
      </c>
      <c r="E1709" s="43">
        <v>40564</v>
      </c>
      <c r="F1709" s="54">
        <v>32799</v>
      </c>
      <c r="G1709" s="54">
        <v>40194</v>
      </c>
      <c r="H1709" s="54">
        <v>39300</v>
      </c>
      <c r="I1709" s="50">
        <f>H1709*1.025</f>
        <v>40282.5</v>
      </c>
      <c r="J1709" s="50">
        <f>I1709*1.029</f>
        <v>41450.692499999997</v>
      </c>
      <c r="K1709" s="54">
        <f>J1709*1.031</f>
        <v>42735.663967499997</v>
      </c>
      <c r="L1709" s="54">
        <f>K1709*1.033</f>
        <v>44145.940878427493</v>
      </c>
      <c r="M1709" s="54">
        <f>L1709*1.032</f>
        <v>45558.610986537176</v>
      </c>
      <c r="N1709" s="54">
        <f>M1709*1.03</f>
        <v>46925.369316133292</v>
      </c>
      <c r="O1709" s="54">
        <f>N1709*1.032</f>
        <v>48426.98113424956</v>
      </c>
      <c r="P1709" s="54">
        <f>O1709*1.034</f>
        <v>50073.498492814047</v>
      </c>
      <c r="Q1709" s="54">
        <f>P1709*1.034</f>
        <v>51775.997441569729</v>
      </c>
      <c r="R1709" s="54">
        <f>Q1709*1.034</f>
        <v>53536.3813545831</v>
      </c>
    </row>
    <row r="1710" spans="1:18" x14ac:dyDescent="0.25">
      <c r="A1710" s="52" t="s">
        <v>226</v>
      </c>
      <c r="B1710" s="53"/>
      <c r="C1710" s="54">
        <v>1336</v>
      </c>
      <c r="D1710" s="54">
        <v>837</v>
      </c>
      <c r="E1710" s="43">
        <v>1155</v>
      </c>
      <c r="F1710" s="54">
        <v>1260</v>
      </c>
      <c r="G1710" s="54">
        <v>1214</v>
      </c>
      <c r="H1710" s="54">
        <v>2000</v>
      </c>
      <c r="I1710" s="54">
        <f t="shared" ref="I1710:I1713" si="969">H1710*1.023</f>
        <v>2045.9999999999998</v>
      </c>
      <c r="J1710" s="54">
        <f t="shared" ref="J1710:K1713" si="970">I1710*1.024</f>
        <v>2095.1039999999998</v>
      </c>
      <c r="K1710" s="54">
        <f t="shared" si="970"/>
        <v>2145.3864960000001</v>
      </c>
      <c r="L1710" s="54">
        <f t="shared" ref="L1710:L1713" si="971">K1710*1.023</f>
        <v>2194.7303854080001</v>
      </c>
      <c r="M1710" s="54">
        <f t="shared" ref="M1710:M1713" si="972">L1710*1.022</f>
        <v>2243.0144538869763</v>
      </c>
      <c r="N1710" s="54">
        <f t="shared" ref="N1710:N1713" si="973">M1710*1.023</f>
        <v>2294.6037863263764</v>
      </c>
      <c r="O1710" s="54">
        <f t="shared" ref="O1710:P1713" si="974">N1710*1.025</f>
        <v>2351.9688809845356</v>
      </c>
      <c r="P1710" s="54">
        <f t="shared" si="974"/>
        <v>2410.7681030091489</v>
      </c>
      <c r="Q1710" s="54">
        <f t="shared" ref="Q1710:R1713" si="975">P1710*1.024</f>
        <v>2468.6265374813684</v>
      </c>
      <c r="R1710" s="54">
        <f t="shared" si="975"/>
        <v>2527.8735743809211</v>
      </c>
    </row>
    <row r="1711" spans="1:18" x14ac:dyDescent="0.25">
      <c r="A1711" s="52" t="s">
        <v>1078</v>
      </c>
      <c r="B1711" s="53"/>
      <c r="C1711" s="54">
        <v>13965</v>
      </c>
      <c r="D1711" s="54">
        <v>14037</v>
      </c>
      <c r="E1711" s="43">
        <v>13799</v>
      </c>
      <c r="F1711" s="54">
        <v>14548</v>
      </c>
      <c r="G1711" s="54">
        <v>13841</v>
      </c>
      <c r="H1711" s="54">
        <v>16000</v>
      </c>
      <c r="I1711" s="54">
        <f t="shared" si="969"/>
        <v>16367.999999999998</v>
      </c>
      <c r="J1711" s="54">
        <f t="shared" si="970"/>
        <v>16760.831999999999</v>
      </c>
      <c r="K1711" s="54">
        <f t="shared" si="970"/>
        <v>17163.091968000001</v>
      </c>
      <c r="L1711" s="54">
        <f t="shared" si="971"/>
        <v>17557.843083264001</v>
      </c>
      <c r="M1711" s="54">
        <f t="shared" si="972"/>
        <v>17944.11563109581</v>
      </c>
      <c r="N1711" s="54">
        <f t="shared" si="973"/>
        <v>18356.830290611011</v>
      </c>
      <c r="O1711" s="54">
        <f t="shared" si="974"/>
        <v>18815.751047876285</v>
      </c>
      <c r="P1711" s="54">
        <f t="shared" si="974"/>
        <v>19286.144824073192</v>
      </c>
      <c r="Q1711" s="54">
        <f t="shared" si="975"/>
        <v>19749.012299850947</v>
      </c>
      <c r="R1711" s="54">
        <f t="shared" si="975"/>
        <v>20222.988595047369</v>
      </c>
    </row>
    <row r="1712" spans="1:18" x14ac:dyDescent="0.25">
      <c r="A1712" s="52" t="s">
        <v>1079</v>
      </c>
      <c r="B1712" s="53"/>
      <c r="C1712" s="54">
        <v>111026</v>
      </c>
      <c r="D1712" s="54">
        <v>116831</v>
      </c>
      <c r="E1712" s="50">
        <v>130797</v>
      </c>
      <c r="F1712" s="52">
        <v>138208</v>
      </c>
      <c r="G1712" s="52">
        <v>149746</v>
      </c>
      <c r="H1712" s="52">
        <v>230000</v>
      </c>
      <c r="I1712" s="54">
        <f t="shared" si="969"/>
        <v>235289.99999999997</v>
      </c>
      <c r="J1712" s="54">
        <f t="shared" si="970"/>
        <v>240936.95999999996</v>
      </c>
      <c r="K1712" s="54">
        <f t="shared" si="970"/>
        <v>246719.44703999997</v>
      </c>
      <c r="L1712" s="54">
        <f t="shared" si="971"/>
        <v>252393.99432191995</v>
      </c>
      <c r="M1712" s="54">
        <f t="shared" si="972"/>
        <v>257946.66219700218</v>
      </c>
      <c r="N1712" s="54">
        <f t="shared" si="973"/>
        <v>263879.43542753323</v>
      </c>
      <c r="O1712" s="54">
        <f t="shared" si="974"/>
        <v>270476.42131322151</v>
      </c>
      <c r="P1712" s="54">
        <f t="shared" si="974"/>
        <v>277238.33184605202</v>
      </c>
      <c r="Q1712" s="54">
        <f t="shared" si="975"/>
        <v>283892.05181035725</v>
      </c>
      <c r="R1712" s="54">
        <f t="shared" si="975"/>
        <v>290705.46105380583</v>
      </c>
    </row>
    <row r="1713" spans="1:18" x14ac:dyDescent="0.25">
      <c r="A1713" s="52" t="s">
        <v>1080</v>
      </c>
      <c r="B1713" s="53"/>
      <c r="C1713" s="54"/>
      <c r="D1713" s="54"/>
      <c r="E1713" s="50"/>
      <c r="F1713" s="52"/>
      <c r="G1713" s="52"/>
      <c r="H1713" s="50">
        <v>10000</v>
      </c>
      <c r="I1713" s="54">
        <f t="shared" si="969"/>
        <v>10230</v>
      </c>
      <c r="J1713" s="54">
        <f t="shared" si="970"/>
        <v>10475.52</v>
      </c>
      <c r="K1713" s="54">
        <f t="shared" si="970"/>
        <v>10726.932480000001</v>
      </c>
      <c r="L1713" s="54">
        <f t="shared" si="971"/>
        <v>10973.65192704</v>
      </c>
      <c r="M1713" s="54">
        <f t="shared" si="972"/>
        <v>11215.072269434881</v>
      </c>
      <c r="N1713" s="54">
        <f t="shared" si="973"/>
        <v>11473.018931631881</v>
      </c>
      <c r="O1713" s="54">
        <f t="shared" si="974"/>
        <v>11759.844404922676</v>
      </c>
      <c r="P1713" s="54">
        <f t="shared" si="974"/>
        <v>12053.840515045742</v>
      </c>
      <c r="Q1713" s="54">
        <f t="shared" si="975"/>
        <v>12343.13268740684</v>
      </c>
      <c r="R1713" s="54">
        <f t="shared" si="975"/>
        <v>12639.367871904604</v>
      </c>
    </row>
    <row r="1714" spans="1:18" x14ac:dyDescent="0.25">
      <c r="A1714" s="52" t="s">
        <v>1081</v>
      </c>
      <c r="B1714" s="53"/>
      <c r="C1714" s="54"/>
      <c r="D1714" s="54"/>
      <c r="E1714" s="50"/>
      <c r="F1714" s="52"/>
      <c r="G1714" s="52"/>
      <c r="H1714" s="50">
        <v>45000</v>
      </c>
      <c r="I1714" s="50">
        <f>H1714*1.025</f>
        <v>46124.999999999993</v>
      </c>
      <c r="J1714" s="50">
        <f>I1714*1.029</f>
        <v>47462.624999999985</v>
      </c>
      <c r="K1714" s="54">
        <f>J1714*1.031</f>
        <v>48933.966374999982</v>
      </c>
      <c r="L1714" s="54">
        <f>K1714*1.033</f>
        <v>50548.78726537498</v>
      </c>
      <c r="M1714" s="54">
        <f>L1714*1.032</f>
        <v>52166.348457866981</v>
      </c>
      <c r="N1714" s="54">
        <f>M1714*1.03</f>
        <v>53731.338911602994</v>
      </c>
      <c r="O1714" s="54">
        <f>N1714*1.032</f>
        <v>55450.741756774289</v>
      </c>
      <c r="P1714" s="54">
        <f>O1714*1.034</f>
        <v>57336.066976504619</v>
      </c>
      <c r="Q1714" s="54">
        <f>P1714*1.034</f>
        <v>59285.493253705776</v>
      </c>
      <c r="R1714" s="54">
        <f>Q1714*1.034</f>
        <v>61301.200024331774</v>
      </c>
    </row>
    <row r="1715" spans="1:18" s="43" customFormat="1" x14ac:dyDescent="0.25">
      <c r="A1715" s="59" t="s">
        <v>1076</v>
      </c>
      <c r="B1715" s="53"/>
      <c r="C1715" s="50"/>
      <c r="D1715" s="50"/>
      <c r="E1715" s="50"/>
      <c r="F1715" s="122">
        <v>294703</v>
      </c>
      <c r="G1715" s="52"/>
      <c r="H1715" s="50"/>
      <c r="I1715" s="50"/>
      <c r="J1715" s="50"/>
      <c r="K1715" s="50"/>
      <c r="L1715" s="50"/>
      <c r="M1715" s="50"/>
      <c r="N1715" s="50"/>
      <c r="O1715" s="50"/>
      <c r="P1715" s="50"/>
      <c r="Q1715" s="50"/>
      <c r="R1715" s="50"/>
    </row>
    <row r="1716" spans="1:18" x14ac:dyDescent="0.25">
      <c r="C1716" s="50"/>
      <c r="D1716" s="50"/>
      <c r="E1716" s="50"/>
      <c r="F1716" s="50"/>
      <c r="G1716" s="50"/>
      <c r="H1716" s="50"/>
      <c r="I1716" s="50"/>
      <c r="J1716" s="50"/>
      <c r="K1716" s="50"/>
      <c r="L1716" s="50"/>
      <c r="M1716" s="50"/>
      <c r="N1716" s="50"/>
      <c r="O1716" s="50"/>
      <c r="P1716" s="50"/>
      <c r="Q1716" s="50"/>
      <c r="R1716" s="50"/>
    </row>
    <row r="1717" spans="1:18" x14ac:dyDescent="0.25">
      <c r="A1717" s="41" t="s">
        <v>230</v>
      </c>
      <c r="B1717" s="44"/>
      <c r="C1717" s="51">
        <f t="shared" ref="C1717" si="976">SUM(C1707:C1716)</f>
        <v>439465</v>
      </c>
      <c r="D1717" s="51">
        <f t="shared" ref="D1717:E1717" si="977">SUM(D1707:D1716)</f>
        <v>459766</v>
      </c>
      <c r="E1717" s="51">
        <f t="shared" si="977"/>
        <v>479098</v>
      </c>
      <c r="F1717" s="51">
        <f>SUM(F1707:F1716)</f>
        <v>762057</v>
      </c>
      <c r="G1717" s="51">
        <f>SUM(G1707:G1716)</f>
        <v>504027</v>
      </c>
      <c r="H1717" s="51">
        <f t="shared" ref="H1717:R1717" si="978">SUM(H1707:H1716)</f>
        <v>666800</v>
      </c>
      <c r="I1717" s="51">
        <f t="shared" si="978"/>
        <v>682953.79999999993</v>
      </c>
      <c r="J1717" s="51">
        <f t="shared" si="978"/>
        <v>701439.27869999991</v>
      </c>
      <c r="K1717" s="51">
        <f t="shared" si="978"/>
        <v>721291.28414129978</v>
      </c>
      <c r="L1717" s="51">
        <f t="shared" si="978"/>
        <v>742325.27524487476</v>
      </c>
      <c r="M1717" s="51">
        <f t="shared" si="978"/>
        <v>763247.38449034176</v>
      </c>
      <c r="N1717" s="51">
        <f t="shared" si="978"/>
        <v>784118.57891813328</v>
      </c>
      <c r="O1717" s="51">
        <f t="shared" si="978"/>
        <v>807137.54311313538</v>
      </c>
      <c r="P1717" s="51">
        <f t="shared" si="978"/>
        <v>831848.52532216266</v>
      </c>
      <c r="Q1717" s="51">
        <f t="shared" si="978"/>
        <v>857020.27894618292</v>
      </c>
      <c r="R1717" s="51">
        <f t="shared" si="978"/>
        <v>882973.20588373346</v>
      </c>
    </row>
    <row r="1718" spans="1:18" x14ac:dyDescent="0.25">
      <c r="C1718" s="50"/>
      <c r="D1718" s="50"/>
      <c r="E1718" s="50"/>
      <c r="F1718" s="50"/>
      <c r="G1718" s="50"/>
      <c r="H1718" s="50"/>
      <c r="I1718" s="50"/>
      <c r="J1718" s="50"/>
      <c r="K1718" s="50"/>
      <c r="L1718" s="50"/>
      <c r="M1718" s="50"/>
      <c r="N1718" s="50"/>
      <c r="O1718" s="50"/>
      <c r="P1718" s="50"/>
      <c r="Q1718" s="50"/>
      <c r="R1718" s="50"/>
    </row>
    <row r="1719" spans="1:18" x14ac:dyDescent="0.25">
      <c r="A1719" s="41" t="s">
        <v>171</v>
      </c>
      <c r="B1719" s="44"/>
      <c r="C1719" s="50"/>
      <c r="D1719" s="50"/>
      <c r="E1719" s="50"/>
      <c r="F1719" s="50"/>
      <c r="G1719" s="50"/>
      <c r="H1719" s="50"/>
      <c r="I1719" s="50"/>
      <c r="J1719" s="50"/>
      <c r="K1719" s="50"/>
      <c r="L1719" s="50"/>
      <c r="M1719" s="50"/>
      <c r="N1719" s="50"/>
      <c r="O1719" s="50"/>
      <c r="P1719" s="50"/>
      <c r="Q1719" s="50"/>
      <c r="R1719" s="50"/>
    </row>
    <row r="1720" spans="1:18" x14ac:dyDescent="0.25">
      <c r="C1720" s="50"/>
      <c r="D1720" s="50"/>
      <c r="E1720" s="50"/>
      <c r="F1720" s="50"/>
      <c r="G1720" s="50"/>
      <c r="H1720" s="50"/>
      <c r="I1720" s="50"/>
      <c r="J1720" s="50"/>
      <c r="K1720" s="50"/>
      <c r="L1720" s="50"/>
      <c r="M1720" s="50"/>
      <c r="N1720" s="50"/>
      <c r="O1720" s="50"/>
      <c r="P1720" s="50"/>
      <c r="Q1720" s="50"/>
      <c r="R1720" s="50"/>
    </row>
    <row r="1721" spans="1:18" x14ac:dyDescent="0.25">
      <c r="A1721" s="43" t="s">
        <v>1082</v>
      </c>
      <c r="C1721" s="50"/>
      <c r="D1721" s="50"/>
      <c r="E1721" s="50"/>
      <c r="F1721" s="50"/>
      <c r="G1721" s="50"/>
      <c r="H1721" s="50"/>
      <c r="I1721" s="50"/>
      <c r="J1721" s="50"/>
      <c r="K1721" s="50"/>
      <c r="L1721" s="50"/>
      <c r="M1721" s="50"/>
      <c r="N1721" s="50"/>
      <c r="O1721" s="50"/>
      <c r="P1721" s="50"/>
      <c r="Q1721" s="50"/>
      <c r="R1721" s="50"/>
    </row>
    <row r="1722" spans="1:18" x14ac:dyDescent="0.25">
      <c r="A1722" s="43" t="s">
        <v>1083</v>
      </c>
      <c r="C1722" s="54">
        <v>30104</v>
      </c>
      <c r="D1722" s="50">
        <v>30357</v>
      </c>
      <c r="E1722" s="50">
        <v>6902</v>
      </c>
      <c r="F1722" s="50">
        <v>7390</v>
      </c>
      <c r="G1722" s="50">
        <v>40562</v>
      </c>
      <c r="H1722" s="50">
        <v>70000</v>
      </c>
      <c r="I1722" s="50">
        <v>47000</v>
      </c>
      <c r="J1722" s="50">
        <v>25000</v>
      </c>
      <c r="K1722" s="50">
        <v>70000</v>
      </c>
      <c r="L1722" s="50">
        <v>64000</v>
      </c>
      <c r="M1722" s="50">
        <v>25000</v>
      </c>
      <c r="N1722" s="50">
        <v>45000</v>
      </c>
      <c r="O1722" s="50">
        <v>25000</v>
      </c>
      <c r="P1722" s="50">
        <v>25000</v>
      </c>
      <c r="Q1722" s="50">
        <v>25000</v>
      </c>
      <c r="R1722" s="50">
        <v>25000</v>
      </c>
    </row>
    <row r="1723" spans="1:18" x14ac:dyDescent="0.25">
      <c r="A1723" s="43" t="s">
        <v>1084</v>
      </c>
      <c r="C1723" s="54">
        <v>29233</v>
      </c>
      <c r="D1723" s="50">
        <v>13340</v>
      </c>
      <c r="E1723" s="43">
        <v>16749</v>
      </c>
      <c r="F1723" s="50">
        <v>6600</v>
      </c>
      <c r="G1723" s="50">
        <v>47663.5</v>
      </c>
      <c r="H1723" s="50">
        <v>30000</v>
      </c>
      <c r="I1723" s="50"/>
      <c r="J1723" s="50">
        <v>30000</v>
      </c>
      <c r="K1723" s="50">
        <v>30000</v>
      </c>
      <c r="L1723" s="50">
        <v>30000</v>
      </c>
      <c r="M1723" s="50">
        <v>30000</v>
      </c>
      <c r="N1723" s="50">
        <v>45000</v>
      </c>
      <c r="O1723" s="50">
        <v>30000</v>
      </c>
      <c r="P1723" s="50">
        <v>30000</v>
      </c>
      <c r="Q1723" s="50">
        <v>30000</v>
      </c>
      <c r="R1723" s="50">
        <v>30000</v>
      </c>
    </row>
    <row r="1724" spans="1:18" x14ac:dyDescent="0.25">
      <c r="A1724" s="43" t="s">
        <v>1085</v>
      </c>
      <c r="C1724" s="54"/>
      <c r="D1724" s="50"/>
      <c r="F1724" s="50"/>
      <c r="G1724" s="50"/>
      <c r="H1724" s="50"/>
      <c r="I1724" s="50">
        <v>45000</v>
      </c>
      <c r="J1724" s="50"/>
      <c r="K1724" s="50"/>
      <c r="L1724" s="50"/>
      <c r="M1724" s="50"/>
      <c r="N1724" s="50"/>
      <c r="O1724" s="50"/>
      <c r="P1724" s="50"/>
      <c r="Q1724" s="50"/>
      <c r="R1724" s="50"/>
    </row>
    <row r="1725" spans="1:18" x14ac:dyDescent="0.25">
      <c r="A1725" s="52" t="s">
        <v>1086</v>
      </c>
      <c r="C1725" s="54"/>
      <c r="D1725" s="50"/>
      <c r="F1725" s="50"/>
      <c r="G1725" s="50"/>
      <c r="H1725" s="50"/>
      <c r="I1725" s="50"/>
      <c r="J1725" s="50"/>
      <c r="K1725" s="50"/>
      <c r="L1725" s="50"/>
      <c r="M1725" s="50"/>
      <c r="N1725" s="50"/>
      <c r="O1725" s="50"/>
      <c r="P1725" s="50"/>
      <c r="Q1725" s="50"/>
      <c r="R1725" s="50"/>
    </row>
    <row r="1726" spans="1:18" x14ac:dyDescent="0.25">
      <c r="A1726" s="43" t="s">
        <v>1087</v>
      </c>
      <c r="B1726" s="53"/>
      <c r="C1726" s="68"/>
      <c r="D1726" s="50"/>
      <c r="E1726" s="43">
        <v>0</v>
      </c>
      <c r="F1726" s="50"/>
      <c r="G1726" s="50"/>
      <c r="H1726" s="50"/>
      <c r="I1726" s="50"/>
      <c r="J1726" s="50"/>
      <c r="K1726" s="50"/>
      <c r="L1726" s="50"/>
      <c r="M1726" s="50"/>
      <c r="N1726" s="50"/>
      <c r="O1726" s="50"/>
      <c r="P1726" s="50"/>
      <c r="Q1726" s="50"/>
      <c r="R1726" s="50"/>
    </row>
    <row r="1727" spans="1:18" x14ac:dyDescent="0.25">
      <c r="A1727" s="43" t="s">
        <v>1088</v>
      </c>
      <c r="B1727" s="53"/>
      <c r="C1727" s="54">
        <v>24830</v>
      </c>
      <c r="D1727" s="50">
        <v>0</v>
      </c>
      <c r="E1727" s="43">
        <v>0</v>
      </c>
      <c r="F1727" s="50">
        <v>0</v>
      </c>
      <c r="G1727" s="50">
        <v>0</v>
      </c>
      <c r="H1727" s="50">
        <v>65000</v>
      </c>
      <c r="I1727" s="50">
        <v>0</v>
      </c>
      <c r="J1727" s="50">
        <v>0</v>
      </c>
      <c r="K1727" s="50">
        <v>0</v>
      </c>
      <c r="L1727" s="50">
        <v>0</v>
      </c>
      <c r="M1727" s="50">
        <v>0</v>
      </c>
      <c r="N1727" s="50">
        <v>0</v>
      </c>
      <c r="O1727" s="50">
        <v>0</v>
      </c>
      <c r="P1727" s="50">
        <v>0</v>
      </c>
      <c r="Q1727" s="50">
        <v>0</v>
      </c>
      <c r="R1727" s="50">
        <v>0</v>
      </c>
    </row>
    <row r="1728" spans="1:18" x14ac:dyDescent="0.25">
      <c r="A1728" s="43" t="s">
        <v>1089</v>
      </c>
      <c r="B1728" s="53"/>
      <c r="C1728" s="68"/>
      <c r="D1728" s="50">
        <v>0</v>
      </c>
      <c r="E1728" s="43">
        <v>0</v>
      </c>
      <c r="F1728" s="50">
        <v>0</v>
      </c>
      <c r="G1728" s="50">
        <v>0</v>
      </c>
      <c r="H1728" s="50">
        <v>0</v>
      </c>
      <c r="I1728" s="50">
        <v>0</v>
      </c>
      <c r="J1728" s="50">
        <v>0</v>
      </c>
      <c r="K1728" s="50">
        <v>0</v>
      </c>
      <c r="L1728" s="50">
        <v>0</v>
      </c>
      <c r="M1728" s="50">
        <v>0</v>
      </c>
      <c r="N1728" s="50">
        <v>0</v>
      </c>
      <c r="O1728" s="50">
        <v>0</v>
      </c>
      <c r="P1728" s="50">
        <v>0</v>
      </c>
      <c r="Q1728" s="50">
        <v>0</v>
      </c>
      <c r="R1728" s="50">
        <v>0</v>
      </c>
    </row>
    <row r="1729" spans="1:18" x14ac:dyDescent="0.25">
      <c r="A1729" s="52" t="s">
        <v>1090</v>
      </c>
      <c r="B1729" s="53"/>
      <c r="C1729" s="59"/>
      <c r="D1729" s="50">
        <v>4975</v>
      </c>
      <c r="E1729" s="43">
        <v>0</v>
      </c>
      <c r="F1729" s="50"/>
      <c r="G1729" s="50"/>
      <c r="H1729" s="50">
        <v>56000</v>
      </c>
      <c r="I1729" s="50">
        <v>0</v>
      </c>
      <c r="J1729" s="50"/>
      <c r="K1729" s="50"/>
      <c r="L1729" s="50"/>
      <c r="M1729" s="50"/>
      <c r="N1729" s="50"/>
      <c r="O1729" s="50"/>
      <c r="P1729" s="50"/>
      <c r="Q1729" s="50"/>
      <c r="R1729" s="50"/>
    </row>
    <row r="1730" spans="1:18" x14ac:dyDescent="0.25">
      <c r="A1730" s="52" t="s">
        <v>1091</v>
      </c>
      <c r="B1730" s="53"/>
      <c r="C1730" s="59"/>
      <c r="D1730" s="50"/>
      <c r="F1730" s="50"/>
      <c r="G1730" s="50"/>
      <c r="H1730" s="50">
        <v>300000</v>
      </c>
      <c r="I1730" s="50">
        <v>0</v>
      </c>
      <c r="J1730" s="50"/>
      <c r="K1730" s="50"/>
      <c r="L1730" s="50"/>
      <c r="M1730" s="50"/>
      <c r="N1730" s="50"/>
      <c r="O1730" s="50"/>
      <c r="P1730" s="50"/>
      <c r="Q1730" s="50"/>
      <c r="R1730" s="50"/>
    </row>
    <row r="1731" spans="1:18" x14ac:dyDescent="0.25">
      <c r="A1731" s="43" t="s">
        <v>1092</v>
      </c>
      <c r="B1731" s="53"/>
      <c r="C1731" s="50"/>
      <c r="D1731" s="50"/>
      <c r="E1731" s="43">
        <v>16281</v>
      </c>
      <c r="F1731" s="50"/>
      <c r="G1731" s="50"/>
      <c r="H1731" s="50"/>
      <c r="I1731" s="50"/>
      <c r="J1731" s="50"/>
      <c r="K1731" s="50"/>
      <c r="L1731" s="50"/>
      <c r="M1731" s="50"/>
      <c r="N1731" s="50"/>
      <c r="O1731" s="50"/>
      <c r="P1731" s="50"/>
      <c r="Q1731" s="50"/>
      <c r="R1731" s="50"/>
    </row>
    <row r="1732" spans="1:18" x14ac:dyDescent="0.25">
      <c r="A1732" s="43" t="s">
        <v>1093</v>
      </c>
      <c r="B1732" s="53"/>
      <c r="C1732" s="50"/>
      <c r="D1732" s="50">
        <v>0</v>
      </c>
      <c r="E1732" s="43">
        <v>0</v>
      </c>
      <c r="F1732" s="50"/>
      <c r="G1732" s="50"/>
      <c r="H1732" s="50"/>
      <c r="I1732" s="50"/>
      <c r="J1732" s="50"/>
      <c r="K1732" s="50"/>
      <c r="L1732" s="50"/>
      <c r="M1732" s="50"/>
      <c r="N1732" s="50"/>
      <c r="O1732" s="50"/>
      <c r="P1732" s="50"/>
      <c r="Q1732" s="50"/>
      <c r="R1732" s="50"/>
    </row>
    <row r="1733" spans="1:18" x14ac:dyDescent="0.25">
      <c r="A1733" s="43" t="s">
        <v>1094</v>
      </c>
      <c r="B1733" s="53"/>
      <c r="C1733" s="50">
        <v>0</v>
      </c>
      <c r="D1733" s="50">
        <v>18800</v>
      </c>
      <c r="E1733" s="43">
        <v>0</v>
      </c>
      <c r="F1733" s="50"/>
      <c r="G1733" s="50"/>
      <c r="H1733" s="50"/>
      <c r="I1733" s="50"/>
      <c r="J1733" s="50"/>
      <c r="K1733" s="50"/>
      <c r="L1733" s="50"/>
      <c r="M1733" s="50"/>
      <c r="N1733" s="50"/>
      <c r="O1733" s="50"/>
      <c r="P1733" s="50"/>
      <c r="Q1733" s="50"/>
      <c r="R1733" s="50"/>
    </row>
    <row r="1734" spans="1:18" x14ac:dyDescent="0.25">
      <c r="A1734" s="43" t="s">
        <v>1095</v>
      </c>
      <c r="B1734" s="53"/>
      <c r="C1734" s="50"/>
      <c r="D1734" s="50"/>
      <c r="E1734" s="43">
        <v>0</v>
      </c>
      <c r="F1734" s="50"/>
      <c r="G1734" s="50"/>
      <c r="H1734" s="50"/>
      <c r="I1734" s="50"/>
      <c r="J1734" s="50"/>
      <c r="K1734" s="50"/>
      <c r="L1734" s="50"/>
      <c r="M1734" s="50"/>
      <c r="N1734" s="50"/>
      <c r="O1734" s="50"/>
      <c r="P1734" s="50"/>
      <c r="Q1734" s="50"/>
      <c r="R1734" s="50"/>
    </row>
    <row r="1735" spans="1:18" x14ac:dyDescent="0.25">
      <c r="A1735" s="43" t="s">
        <v>1096</v>
      </c>
      <c r="B1735" s="53"/>
      <c r="C1735" s="50">
        <v>50404</v>
      </c>
      <c r="D1735" s="50">
        <v>0</v>
      </c>
      <c r="E1735" s="43">
        <v>1500</v>
      </c>
      <c r="F1735" s="50"/>
      <c r="G1735" s="50"/>
      <c r="H1735" s="50"/>
      <c r="I1735" s="50"/>
      <c r="J1735" s="50"/>
      <c r="K1735" s="50"/>
      <c r="L1735" s="50"/>
      <c r="M1735" s="50"/>
      <c r="N1735" s="50"/>
      <c r="O1735" s="50"/>
      <c r="P1735" s="50"/>
      <c r="Q1735" s="50"/>
      <c r="R1735" s="50"/>
    </row>
    <row r="1736" spans="1:18" x14ac:dyDescent="0.25">
      <c r="A1736" s="109" t="s">
        <v>1097</v>
      </c>
      <c r="B1736" s="53"/>
      <c r="C1736" s="50"/>
      <c r="D1736" s="50"/>
      <c r="F1736" s="50"/>
      <c r="G1736" s="50">
        <v>0</v>
      </c>
      <c r="H1736" s="50">
        <v>60000</v>
      </c>
      <c r="I1736" s="50"/>
      <c r="J1736" s="50"/>
      <c r="K1736" s="50"/>
      <c r="L1736" s="50"/>
      <c r="M1736" s="50"/>
      <c r="N1736" s="50"/>
      <c r="O1736" s="50"/>
      <c r="P1736" s="50"/>
      <c r="Q1736" s="50"/>
      <c r="R1736" s="50"/>
    </row>
    <row r="1737" spans="1:18" x14ac:dyDescent="0.25">
      <c r="C1737" s="50"/>
      <c r="D1737" s="50"/>
      <c r="E1737" s="50"/>
      <c r="F1737" s="50"/>
      <c r="G1737" s="50"/>
      <c r="H1737" s="50"/>
      <c r="I1737" s="50"/>
      <c r="J1737" s="50"/>
      <c r="K1737" s="50"/>
      <c r="L1737" s="50"/>
      <c r="M1737" s="50"/>
      <c r="N1737" s="50"/>
      <c r="O1737" s="50"/>
      <c r="P1737" s="50"/>
      <c r="Q1737" s="50"/>
      <c r="R1737" s="50"/>
    </row>
    <row r="1738" spans="1:18" x14ac:dyDescent="0.25">
      <c r="A1738" s="41" t="s">
        <v>107</v>
      </c>
      <c r="B1738" s="44"/>
      <c r="C1738" s="51">
        <f t="shared" ref="C1738:R1738" si="979">SUM(C1721:C1737)</f>
        <v>134571</v>
      </c>
      <c r="D1738" s="51">
        <f t="shared" si="979"/>
        <v>67472</v>
      </c>
      <c r="E1738" s="51">
        <f t="shared" si="979"/>
        <v>41432</v>
      </c>
      <c r="F1738" s="51">
        <f t="shared" si="979"/>
        <v>13990</v>
      </c>
      <c r="G1738" s="51">
        <f>SUM(G1721:G1737)</f>
        <v>88225.5</v>
      </c>
      <c r="H1738" s="51">
        <f t="shared" si="979"/>
        <v>581000</v>
      </c>
      <c r="I1738" s="51">
        <f t="shared" si="979"/>
        <v>92000</v>
      </c>
      <c r="J1738" s="51">
        <f t="shared" si="979"/>
        <v>55000</v>
      </c>
      <c r="K1738" s="51">
        <f t="shared" si="979"/>
        <v>100000</v>
      </c>
      <c r="L1738" s="51">
        <f t="shared" si="979"/>
        <v>94000</v>
      </c>
      <c r="M1738" s="51">
        <f t="shared" si="979"/>
        <v>55000</v>
      </c>
      <c r="N1738" s="51">
        <f t="shared" si="979"/>
        <v>90000</v>
      </c>
      <c r="O1738" s="51">
        <f t="shared" si="979"/>
        <v>55000</v>
      </c>
      <c r="P1738" s="51">
        <f t="shared" si="979"/>
        <v>55000</v>
      </c>
      <c r="Q1738" s="51">
        <f t="shared" si="979"/>
        <v>55000</v>
      </c>
      <c r="R1738" s="51">
        <f t="shared" si="979"/>
        <v>55000</v>
      </c>
    </row>
    <row r="1739" spans="1:18" x14ac:dyDescent="0.25">
      <c r="C1739" s="50"/>
      <c r="D1739" s="50"/>
      <c r="E1739" s="50"/>
      <c r="F1739" s="50"/>
      <c r="G1739" s="50"/>
      <c r="H1739" s="50"/>
      <c r="I1739" s="50"/>
      <c r="J1739" s="50"/>
      <c r="K1739" s="50"/>
      <c r="L1739" s="50"/>
      <c r="M1739" s="50"/>
      <c r="N1739" s="50"/>
      <c r="O1739" s="50"/>
      <c r="P1739" s="50"/>
      <c r="Q1739" s="50"/>
      <c r="R1739" s="50"/>
    </row>
    <row r="1740" spans="1:18" x14ac:dyDescent="0.25">
      <c r="A1740" s="41" t="s">
        <v>1098</v>
      </c>
      <c r="B1740" s="44"/>
      <c r="C1740" s="51">
        <f>C1738+C1717</f>
        <v>574036</v>
      </c>
      <c r="D1740" s="51">
        <f>D1738+D1717</f>
        <v>527238</v>
      </c>
      <c r="E1740" s="51">
        <f>E1738+E1717</f>
        <v>520530</v>
      </c>
      <c r="F1740" s="51">
        <f>F1738+F1717-F1703</f>
        <v>481344</v>
      </c>
      <c r="G1740" s="51">
        <f>G1738+G1717-G1703</f>
        <v>592001.5</v>
      </c>
      <c r="H1740" s="51">
        <f t="shared" ref="H1740:R1740" si="980">H1738+H1717</f>
        <v>1247800</v>
      </c>
      <c r="I1740" s="51">
        <f t="shared" si="980"/>
        <v>774953.79999999993</v>
      </c>
      <c r="J1740" s="51">
        <f t="shared" si="980"/>
        <v>756439.27869999991</v>
      </c>
      <c r="K1740" s="51">
        <f t="shared" si="980"/>
        <v>821291.28414129978</v>
      </c>
      <c r="L1740" s="51">
        <f t="shared" si="980"/>
        <v>836325.27524487476</v>
      </c>
      <c r="M1740" s="51">
        <f t="shared" si="980"/>
        <v>818247.38449034176</v>
      </c>
      <c r="N1740" s="51">
        <f t="shared" si="980"/>
        <v>874118.57891813328</v>
      </c>
      <c r="O1740" s="51">
        <f t="shared" si="980"/>
        <v>862137.54311313538</v>
      </c>
      <c r="P1740" s="51">
        <f t="shared" si="980"/>
        <v>886848.52532216266</v>
      </c>
      <c r="Q1740" s="51">
        <f t="shared" si="980"/>
        <v>912020.27894618292</v>
      </c>
      <c r="R1740" s="51">
        <f t="shared" si="980"/>
        <v>937973.20588373346</v>
      </c>
    </row>
    <row r="1741" spans="1:18" x14ac:dyDescent="0.25">
      <c r="C1741" s="50"/>
      <c r="D1741" s="50"/>
      <c r="E1741" s="50"/>
      <c r="F1741" s="50"/>
      <c r="G1741" s="50"/>
      <c r="H1741" s="50"/>
      <c r="I1741" s="50"/>
      <c r="J1741" s="50"/>
      <c r="K1741" s="50"/>
      <c r="L1741" s="50"/>
      <c r="M1741" s="50"/>
      <c r="N1741" s="50"/>
      <c r="O1741" s="50"/>
      <c r="P1741" s="50"/>
      <c r="Q1741" s="50"/>
      <c r="R1741" s="50"/>
    </row>
    <row r="1742" spans="1:18" x14ac:dyDescent="0.25">
      <c r="C1742" s="50"/>
      <c r="D1742" s="50"/>
      <c r="E1742" s="50"/>
      <c r="F1742" s="50"/>
      <c r="G1742" s="50"/>
      <c r="H1742" s="50"/>
      <c r="I1742" s="50"/>
      <c r="J1742" s="50"/>
      <c r="K1742" s="50"/>
      <c r="L1742" s="50"/>
      <c r="M1742" s="50"/>
      <c r="N1742" s="50"/>
      <c r="O1742" s="50"/>
      <c r="P1742" s="50"/>
      <c r="Q1742" s="50"/>
      <c r="R1742" s="50"/>
    </row>
    <row r="1743" spans="1:18" x14ac:dyDescent="0.25">
      <c r="A1743" s="41" t="s">
        <v>1099</v>
      </c>
      <c r="B1743" s="44"/>
      <c r="C1743" s="50"/>
      <c r="D1743" s="50"/>
      <c r="E1743" s="50"/>
      <c r="F1743" s="50"/>
      <c r="G1743" s="50"/>
      <c r="H1743" s="50"/>
      <c r="I1743" s="50"/>
      <c r="J1743" s="50"/>
      <c r="K1743" s="50"/>
      <c r="L1743" s="50"/>
      <c r="M1743" s="50"/>
      <c r="N1743" s="50"/>
      <c r="O1743" s="50"/>
      <c r="P1743" s="50"/>
      <c r="Q1743" s="50"/>
      <c r="R1743" s="50"/>
    </row>
    <row r="1744" spans="1:18" x14ac:dyDescent="0.25">
      <c r="A1744" s="41"/>
      <c r="B1744" s="44"/>
      <c r="C1744" s="50"/>
      <c r="D1744" s="50"/>
      <c r="E1744" s="50"/>
      <c r="F1744" s="50"/>
      <c r="G1744" s="50"/>
      <c r="H1744" s="50"/>
      <c r="I1744" s="50"/>
      <c r="J1744" s="50"/>
      <c r="K1744" s="50"/>
      <c r="L1744" s="50"/>
      <c r="M1744" s="50"/>
      <c r="N1744" s="50"/>
      <c r="O1744" s="50"/>
      <c r="P1744" s="50"/>
      <c r="Q1744" s="50"/>
      <c r="R1744" s="50"/>
    </row>
    <row r="1745" spans="1:18" x14ac:dyDescent="0.25">
      <c r="A1745" s="41" t="s">
        <v>202</v>
      </c>
      <c r="B1745" s="44"/>
      <c r="C1745" s="50"/>
      <c r="D1745" s="50"/>
      <c r="E1745" s="50"/>
      <c r="F1745" s="50"/>
      <c r="G1745" s="50"/>
      <c r="H1745" s="50"/>
      <c r="I1745" s="50"/>
      <c r="J1745" s="50"/>
      <c r="K1745" s="50"/>
      <c r="L1745" s="50"/>
      <c r="M1745" s="50"/>
      <c r="N1745" s="50"/>
      <c r="O1745" s="50"/>
      <c r="P1745" s="50"/>
      <c r="Q1745" s="50"/>
      <c r="R1745" s="50"/>
    </row>
    <row r="1746" spans="1:18" x14ac:dyDescent="0.25">
      <c r="A1746" s="41"/>
      <c r="B1746" s="44"/>
      <c r="C1746" s="50"/>
      <c r="D1746" s="50"/>
      <c r="E1746" s="50"/>
      <c r="F1746" s="50"/>
      <c r="G1746" s="50"/>
      <c r="H1746" s="50"/>
      <c r="I1746" s="50"/>
      <c r="J1746" s="50"/>
      <c r="K1746" s="50"/>
      <c r="L1746" s="50"/>
      <c r="M1746" s="50"/>
      <c r="N1746" s="50"/>
      <c r="O1746" s="50"/>
      <c r="P1746" s="50"/>
      <c r="Q1746" s="50"/>
      <c r="R1746" s="50"/>
    </row>
    <row r="1747" spans="1:18" x14ac:dyDescent="0.25">
      <c r="A1747" s="52" t="s">
        <v>1100</v>
      </c>
      <c r="B1747" s="53"/>
      <c r="C1747" s="54">
        <v>15930</v>
      </c>
      <c r="D1747" s="54">
        <v>18037</v>
      </c>
      <c r="E1747" s="43">
        <v>16866</v>
      </c>
      <c r="F1747" s="54">
        <v>26694</v>
      </c>
      <c r="G1747" s="54">
        <v>15240</v>
      </c>
      <c r="H1747" s="54">
        <v>15500</v>
      </c>
      <c r="I1747" s="54">
        <f t="shared" ref="I1747" si="981">H1747*1.023</f>
        <v>15856.499999999998</v>
      </c>
      <c r="J1747" s="54">
        <f t="shared" ref="J1747:K1747" si="982">I1747*1.024</f>
        <v>16237.055999999999</v>
      </c>
      <c r="K1747" s="54">
        <f t="shared" si="982"/>
        <v>16626.745343999999</v>
      </c>
      <c r="L1747" s="54">
        <f t="shared" ref="L1747" si="983">K1747*1.023</f>
        <v>17009.160486911998</v>
      </c>
      <c r="M1747" s="54">
        <f t="shared" ref="M1747" si="984">L1747*1.022</f>
        <v>17383.362017624062</v>
      </c>
      <c r="N1747" s="54">
        <f t="shared" ref="N1747" si="985">M1747*1.023</f>
        <v>17783.179344029413</v>
      </c>
      <c r="O1747" s="54">
        <f t="shared" ref="O1747:P1747" si="986">N1747*1.025</f>
        <v>18227.758827630147</v>
      </c>
      <c r="P1747" s="54">
        <f t="shared" si="986"/>
        <v>18683.452798320897</v>
      </c>
      <c r="Q1747" s="54">
        <f t="shared" ref="Q1747:R1747" si="987">P1747*1.024</f>
        <v>19131.855665480598</v>
      </c>
      <c r="R1747" s="54">
        <f t="shared" si="987"/>
        <v>19591.020201452131</v>
      </c>
    </row>
    <row r="1748" spans="1:18" x14ac:dyDescent="0.25">
      <c r="A1748" s="52" t="s">
        <v>1101</v>
      </c>
      <c r="B1748" s="53"/>
      <c r="C1748" s="54">
        <v>9279</v>
      </c>
      <c r="D1748" s="54"/>
      <c r="E1748" s="54"/>
      <c r="F1748" s="54">
        <v>12107</v>
      </c>
      <c r="G1748" s="54"/>
      <c r="H1748" s="54"/>
      <c r="I1748" s="54"/>
      <c r="J1748" s="54"/>
      <c r="K1748" s="54"/>
      <c r="L1748" s="54"/>
      <c r="M1748" s="54"/>
      <c r="N1748" s="54"/>
      <c r="O1748" s="54"/>
      <c r="P1748" s="54"/>
      <c r="Q1748" s="54"/>
      <c r="R1748" s="54"/>
    </row>
    <row r="1749" spans="1:18" x14ac:dyDescent="0.25">
      <c r="A1749" s="41"/>
      <c r="B1749" s="44"/>
      <c r="C1749" s="50"/>
      <c r="D1749" s="50"/>
      <c r="E1749" s="50"/>
      <c r="F1749" s="50"/>
      <c r="G1749" s="50"/>
      <c r="H1749" s="50"/>
      <c r="I1749" s="50"/>
      <c r="J1749" s="50"/>
      <c r="K1749" s="50"/>
      <c r="L1749" s="50"/>
      <c r="M1749" s="50"/>
      <c r="N1749" s="50"/>
      <c r="O1749" s="50"/>
      <c r="P1749" s="50"/>
      <c r="Q1749" s="50"/>
      <c r="R1749" s="50"/>
    </row>
    <row r="1750" spans="1:18" x14ac:dyDescent="0.25">
      <c r="A1750" s="41" t="s">
        <v>216</v>
      </c>
      <c r="B1750" s="44"/>
      <c r="C1750" s="51">
        <f t="shared" ref="C1750" si="988">SUM(C1747:C1749)</f>
        <v>25209</v>
      </c>
      <c r="D1750" s="51">
        <f t="shared" ref="D1750:R1750" si="989">SUM(D1747:D1749)</f>
        <v>18037</v>
      </c>
      <c r="E1750" s="51">
        <f t="shared" si="989"/>
        <v>16866</v>
      </c>
      <c r="F1750" s="51">
        <f t="shared" si="989"/>
        <v>38801</v>
      </c>
      <c r="G1750" s="51">
        <f t="shared" si="989"/>
        <v>15240</v>
      </c>
      <c r="H1750" s="51">
        <f t="shared" si="989"/>
        <v>15500</v>
      </c>
      <c r="I1750" s="51">
        <f t="shared" si="989"/>
        <v>15856.499999999998</v>
      </c>
      <c r="J1750" s="51">
        <f t="shared" si="989"/>
        <v>16237.055999999999</v>
      </c>
      <c r="K1750" s="51">
        <f t="shared" si="989"/>
        <v>16626.745343999999</v>
      </c>
      <c r="L1750" s="51">
        <f t="shared" si="989"/>
        <v>17009.160486911998</v>
      </c>
      <c r="M1750" s="51">
        <f t="shared" si="989"/>
        <v>17383.362017624062</v>
      </c>
      <c r="N1750" s="51">
        <f t="shared" si="989"/>
        <v>17783.179344029413</v>
      </c>
      <c r="O1750" s="51">
        <f t="shared" si="989"/>
        <v>18227.758827630147</v>
      </c>
      <c r="P1750" s="51">
        <f t="shared" si="989"/>
        <v>18683.452798320897</v>
      </c>
      <c r="Q1750" s="51">
        <f t="shared" si="989"/>
        <v>19131.855665480598</v>
      </c>
      <c r="R1750" s="51">
        <f t="shared" si="989"/>
        <v>19591.020201452131</v>
      </c>
    </row>
    <row r="1751" spans="1:18" x14ac:dyDescent="0.25">
      <c r="A1751" s="41"/>
      <c r="B1751" s="44"/>
      <c r="C1751" s="50"/>
      <c r="D1751" s="50"/>
      <c r="E1751" s="50"/>
      <c r="F1751" s="50"/>
      <c r="G1751" s="50"/>
      <c r="H1751" s="50"/>
      <c r="I1751" s="50"/>
      <c r="J1751" s="50"/>
      <c r="K1751" s="50"/>
      <c r="L1751" s="50"/>
      <c r="M1751" s="50"/>
      <c r="N1751" s="50"/>
      <c r="O1751" s="50"/>
      <c r="P1751" s="50"/>
      <c r="Q1751" s="50"/>
      <c r="R1751" s="50"/>
    </row>
    <row r="1752" spans="1:18" x14ac:dyDescent="0.25">
      <c r="A1752" s="41" t="s">
        <v>165</v>
      </c>
      <c r="B1752" s="44"/>
      <c r="C1752" s="50"/>
      <c r="D1752" s="50"/>
      <c r="E1752" s="50"/>
      <c r="F1752" s="50"/>
      <c r="G1752" s="50"/>
      <c r="H1752" s="50"/>
      <c r="I1752" s="50"/>
      <c r="J1752" s="50"/>
      <c r="K1752" s="50"/>
      <c r="L1752" s="50"/>
      <c r="M1752" s="50"/>
      <c r="N1752" s="50"/>
      <c r="O1752" s="50"/>
      <c r="P1752" s="50"/>
      <c r="Q1752" s="50"/>
      <c r="R1752" s="50"/>
    </row>
    <row r="1753" spans="1:18" x14ac:dyDescent="0.25">
      <c r="A1753" s="41"/>
      <c r="B1753" s="44"/>
      <c r="C1753" s="50"/>
      <c r="D1753" s="50"/>
      <c r="E1753" s="50"/>
      <c r="F1753" s="50"/>
      <c r="G1753" s="50"/>
      <c r="H1753" s="50"/>
      <c r="I1753" s="50"/>
      <c r="J1753" s="50"/>
      <c r="K1753" s="50"/>
      <c r="L1753" s="50"/>
      <c r="M1753" s="50"/>
      <c r="N1753" s="50"/>
      <c r="O1753" s="50"/>
      <c r="P1753" s="50"/>
      <c r="Q1753" s="50"/>
      <c r="R1753" s="50"/>
    </row>
    <row r="1754" spans="1:18" x14ac:dyDescent="0.25">
      <c r="A1754" s="43" t="s">
        <v>217</v>
      </c>
      <c r="C1754" s="54">
        <f>148169+25</f>
        <v>148194</v>
      </c>
      <c r="D1754" s="54">
        <f>166266+93</f>
        <v>166359</v>
      </c>
      <c r="E1754" s="43">
        <v>158870</v>
      </c>
      <c r="F1754" s="52">
        <v>181971</v>
      </c>
      <c r="G1754" s="52">
        <v>192691</v>
      </c>
      <c r="H1754" s="52">
        <v>189300</v>
      </c>
      <c r="I1754" s="50">
        <f>H1754*1.025</f>
        <v>194032.49999999997</v>
      </c>
      <c r="J1754" s="50">
        <f>I1754*1.029</f>
        <v>199659.44249999995</v>
      </c>
      <c r="K1754" s="54">
        <f>J1754*1.031</f>
        <v>205848.88521749992</v>
      </c>
      <c r="L1754" s="54">
        <f>K1754*1.033</f>
        <v>212641.89842967741</v>
      </c>
      <c r="M1754" s="54">
        <f>L1754*1.032</f>
        <v>219446.43917942711</v>
      </c>
      <c r="N1754" s="54">
        <f>M1754*1.03</f>
        <v>226029.83235480991</v>
      </c>
      <c r="O1754" s="54">
        <f>N1754*1.032</f>
        <v>233262.78699016385</v>
      </c>
      <c r="P1754" s="54">
        <f t="shared" ref="P1754:R1755" si="990">O1754*1.034</f>
        <v>241193.72174782943</v>
      </c>
      <c r="Q1754" s="54">
        <f t="shared" si="990"/>
        <v>249394.30828725564</v>
      </c>
      <c r="R1754" s="54">
        <f t="shared" si="990"/>
        <v>257873.71476902234</v>
      </c>
    </row>
    <row r="1755" spans="1:18" x14ac:dyDescent="0.25">
      <c r="A1755" s="43" t="s">
        <v>220</v>
      </c>
      <c r="C1755" s="50">
        <v>17408</v>
      </c>
      <c r="D1755" s="54">
        <v>24136</v>
      </c>
      <c r="E1755" s="43">
        <v>24567</v>
      </c>
      <c r="F1755" s="54">
        <v>18077</v>
      </c>
      <c r="G1755" s="54">
        <v>28568</v>
      </c>
      <c r="H1755" s="54">
        <v>22700</v>
      </c>
      <c r="I1755" s="50">
        <f>H1755*1.025</f>
        <v>23267.499999999996</v>
      </c>
      <c r="J1755" s="50">
        <f>I1755*1.029</f>
        <v>23942.257499999996</v>
      </c>
      <c r="K1755" s="54">
        <f>J1755*1.031</f>
        <v>24684.467482499993</v>
      </c>
      <c r="L1755" s="54">
        <f>K1755*1.033</f>
        <v>25499.054909422492</v>
      </c>
      <c r="M1755" s="54">
        <f>L1755*1.032</f>
        <v>26315.024666524012</v>
      </c>
      <c r="N1755" s="54">
        <f>M1755*1.03</f>
        <v>27104.475406519734</v>
      </c>
      <c r="O1755" s="54">
        <f>N1755*1.032</f>
        <v>27971.818619528367</v>
      </c>
      <c r="P1755" s="54">
        <f t="shared" si="990"/>
        <v>28922.860452592333</v>
      </c>
      <c r="Q1755" s="54">
        <f t="shared" si="990"/>
        <v>29906.237707980472</v>
      </c>
      <c r="R1755" s="54">
        <f t="shared" si="990"/>
        <v>30923.049790051809</v>
      </c>
    </row>
    <row r="1756" spans="1:18" x14ac:dyDescent="0.25">
      <c r="A1756" s="52" t="s">
        <v>1102</v>
      </c>
      <c r="B1756" s="53"/>
      <c r="C1756" s="54">
        <v>19370</v>
      </c>
      <c r="D1756" s="54">
        <v>13251</v>
      </c>
      <c r="E1756" s="43">
        <v>5779</v>
      </c>
      <c r="F1756" s="54">
        <v>20768</v>
      </c>
      <c r="G1756" s="54">
        <v>5059</v>
      </c>
      <c r="H1756" s="54">
        <v>15500</v>
      </c>
      <c r="I1756" s="54">
        <f t="shared" ref="I1756:I1757" si="991">H1756*1.023</f>
        <v>15856.499999999998</v>
      </c>
      <c r="J1756" s="54">
        <f t="shared" ref="J1756:K1757" si="992">I1756*1.024</f>
        <v>16237.055999999999</v>
      </c>
      <c r="K1756" s="54">
        <f t="shared" si="992"/>
        <v>16626.745343999999</v>
      </c>
      <c r="L1756" s="54">
        <f t="shared" ref="L1756:L1757" si="993">K1756*1.023</f>
        <v>17009.160486911998</v>
      </c>
      <c r="M1756" s="54">
        <f t="shared" ref="M1756:M1757" si="994">L1756*1.022</f>
        <v>17383.362017624062</v>
      </c>
      <c r="N1756" s="54">
        <f t="shared" ref="N1756:N1757" si="995">M1756*1.023</f>
        <v>17783.179344029413</v>
      </c>
      <c r="O1756" s="54">
        <f t="shared" ref="O1756:P1757" si="996">N1756*1.025</f>
        <v>18227.758827630147</v>
      </c>
      <c r="P1756" s="54">
        <f t="shared" si="996"/>
        <v>18683.452798320897</v>
      </c>
      <c r="Q1756" s="54">
        <f t="shared" ref="Q1756:R1757" si="997">P1756*1.024</f>
        <v>19131.855665480598</v>
      </c>
      <c r="R1756" s="54">
        <f t="shared" si="997"/>
        <v>19591.020201452131</v>
      </c>
    </row>
    <row r="1757" spans="1:18" x14ac:dyDescent="0.25">
      <c r="A1757" s="43" t="s">
        <v>1103</v>
      </c>
      <c r="C1757" s="54">
        <f>46409+5</f>
        <v>46414</v>
      </c>
      <c r="D1757" s="54">
        <v>40115</v>
      </c>
      <c r="E1757" s="43">
        <v>57607</v>
      </c>
      <c r="F1757" s="54">
        <v>35319</v>
      </c>
      <c r="G1757" s="50">
        <v>43897</v>
      </c>
      <c r="H1757" s="50">
        <f>53000-1000-2000</f>
        <v>50000</v>
      </c>
      <c r="I1757" s="54">
        <f t="shared" si="991"/>
        <v>51149.999999999993</v>
      </c>
      <c r="J1757" s="54">
        <f t="shared" si="992"/>
        <v>52377.599999999991</v>
      </c>
      <c r="K1757" s="54">
        <f t="shared" si="992"/>
        <v>53634.662399999994</v>
      </c>
      <c r="L1757" s="54">
        <f t="shared" si="993"/>
        <v>54868.259635199989</v>
      </c>
      <c r="M1757" s="54">
        <f t="shared" si="994"/>
        <v>56075.361347174388</v>
      </c>
      <c r="N1757" s="54">
        <f t="shared" si="995"/>
        <v>57365.094658159396</v>
      </c>
      <c r="O1757" s="54">
        <f t="shared" si="996"/>
        <v>58799.222024613373</v>
      </c>
      <c r="P1757" s="54">
        <f t="shared" si="996"/>
        <v>60269.202575228701</v>
      </c>
      <c r="Q1757" s="54">
        <f t="shared" si="997"/>
        <v>61715.663437034193</v>
      </c>
      <c r="R1757" s="54">
        <f t="shared" si="997"/>
        <v>63196.839359523015</v>
      </c>
    </row>
    <row r="1758" spans="1:18" x14ac:dyDescent="0.25">
      <c r="A1758" s="43" t="s">
        <v>1104</v>
      </c>
      <c r="C1758" s="54">
        <v>3484</v>
      </c>
      <c r="D1758" s="54">
        <v>4380</v>
      </c>
      <c r="E1758" s="43">
        <v>15158</v>
      </c>
      <c r="F1758" s="54">
        <v>9363</v>
      </c>
      <c r="G1758" s="54">
        <v>2493</v>
      </c>
      <c r="H1758" s="54">
        <v>20000</v>
      </c>
      <c r="I1758" s="50">
        <f>H1758*1.025</f>
        <v>20500</v>
      </c>
      <c r="J1758" s="50">
        <f>I1758*1.029</f>
        <v>21094.5</v>
      </c>
      <c r="K1758" s="54">
        <f>J1758*1.031</f>
        <v>21748.429499999998</v>
      </c>
      <c r="L1758" s="54">
        <f>K1758*1.033</f>
        <v>22466.127673499996</v>
      </c>
      <c r="M1758" s="54">
        <f>L1758*1.032</f>
        <v>23185.043759051998</v>
      </c>
      <c r="N1758" s="54">
        <f>M1758*1.03</f>
        <v>23880.595071823558</v>
      </c>
      <c r="O1758" s="54">
        <f>N1758*1.032</f>
        <v>24644.774114121912</v>
      </c>
      <c r="P1758" s="54">
        <f>O1758*1.034</f>
        <v>25482.696434002057</v>
      </c>
      <c r="Q1758" s="54">
        <f>P1758*1.034</f>
        <v>26349.108112758127</v>
      </c>
      <c r="R1758" s="54">
        <f>Q1758*1.034</f>
        <v>27244.977788591903</v>
      </c>
    </row>
    <row r="1759" spans="1:18" x14ac:dyDescent="0.25">
      <c r="A1759" s="43" t="s">
        <v>1105</v>
      </c>
      <c r="C1759" s="54">
        <v>0</v>
      </c>
      <c r="D1759" s="54">
        <f>C1759*1.038</f>
        <v>0</v>
      </c>
      <c r="E1759" s="43">
        <f>1188-1188</f>
        <v>0</v>
      </c>
      <c r="F1759" s="54">
        <v>0</v>
      </c>
      <c r="G1759" s="54">
        <v>0</v>
      </c>
      <c r="H1759" s="54">
        <v>0</v>
      </c>
      <c r="I1759" s="54">
        <v>0</v>
      </c>
      <c r="J1759" s="54">
        <v>0</v>
      </c>
      <c r="K1759" s="54">
        <v>0</v>
      </c>
      <c r="L1759" s="54">
        <v>0</v>
      </c>
      <c r="M1759" s="54">
        <v>0</v>
      </c>
      <c r="N1759" s="54">
        <v>0</v>
      </c>
      <c r="O1759" s="54">
        <v>0</v>
      </c>
      <c r="P1759" s="54">
        <v>0</v>
      </c>
      <c r="Q1759" s="54">
        <f>P1759*1.042</f>
        <v>0</v>
      </c>
      <c r="R1759" s="54">
        <f>Q1759*1.042</f>
        <v>0</v>
      </c>
    </row>
    <row r="1760" spans="1:18" x14ac:dyDescent="0.25">
      <c r="A1760" s="43" t="s">
        <v>1106</v>
      </c>
      <c r="C1760" s="54">
        <v>802</v>
      </c>
      <c r="D1760" s="54">
        <v>5928</v>
      </c>
      <c r="E1760" s="43">
        <v>11330</v>
      </c>
      <c r="F1760" s="54">
        <v>7480</v>
      </c>
      <c r="G1760" s="54">
        <v>0</v>
      </c>
      <c r="H1760" s="54">
        <v>11000</v>
      </c>
      <c r="I1760" s="54">
        <f t="shared" ref="I1760:I1761" si="998">H1760*1.023</f>
        <v>11252.999999999998</v>
      </c>
      <c r="J1760" s="54">
        <f t="shared" ref="J1760:K1761" si="999">I1760*1.024</f>
        <v>11523.071999999998</v>
      </c>
      <c r="K1760" s="54">
        <f t="shared" si="999"/>
        <v>11799.625727999999</v>
      </c>
      <c r="L1760" s="54">
        <f t="shared" ref="L1760:L1761" si="1000">K1760*1.023</f>
        <v>12071.017119743998</v>
      </c>
      <c r="M1760" s="54">
        <f t="shared" ref="M1760:M1761" si="1001">L1760*1.022</f>
        <v>12336.579496378366</v>
      </c>
      <c r="N1760" s="54">
        <f t="shared" ref="N1760:N1761" si="1002">M1760*1.023</f>
        <v>12620.320824795068</v>
      </c>
      <c r="O1760" s="54">
        <f t="shared" ref="O1760:P1761" si="1003">N1760*1.025</f>
        <v>12935.828845414944</v>
      </c>
      <c r="P1760" s="54">
        <f t="shared" si="1003"/>
        <v>13259.224566550316</v>
      </c>
      <c r="Q1760" s="54">
        <f t="shared" ref="Q1760:R1761" si="1004">P1760*1.024</f>
        <v>13577.445956147523</v>
      </c>
      <c r="R1760" s="54">
        <f t="shared" si="1004"/>
        <v>13903.304659095063</v>
      </c>
    </row>
    <row r="1761" spans="1:18" x14ac:dyDescent="0.25">
      <c r="A1761" s="52" t="s">
        <v>226</v>
      </c>
      <c r="B1761" s="53"/>
      <c r="C1761" s="54">
        <v>0</v>
      </c>
      <c r="D1761" s="54">
        <v>44</v>
      </c>
      <c r="E1761" s="43">
        <v>0</v>
      </c>
      <c r="F1761" s="54">
        <v>8</v>
      </c>
      <c r="G1761" s="54">
        <v>705</v>
      </c>
      <c r="H1761" s="54">
        <v>800</v>
      </c>
      <c r="I1761" s="54">
        <f t="shared" si="998"/>
        <v>818.4</v>
      </c>
      <c r="J1761" s="54">
        <f t="shared" si="999"/>
        <v>838.04160000000002</v>
      </c>
      <c r="K1761" s="54">
        <f t="shared" si="999"/>
        <v>858.15459840000005</v>
      </c>
      <c r="L1761" s="54">
        <f t="shared" si="1000"/>
        <v>877.89215416319996</v>
      </c>
      <c r="M1761" s="54">
        <f t="shared" si="1001"/>
        <v>897.20578155479041</v>
      </c>
      <c r="N1761" s="54">
        <f t="shared" si="1002"/>
        <v>917.84151453055051</v>
      </c>
      <c r="O1761" s="54">
        <f t="shared" si="1003"/>
        <v>940.78755239381417</v>
      </c>
      <c r="P1761" s="54">
        <f t="shared" si="1003"/>
        <v>964.30724120365949</v>
      </c>
      <c r="Q1761" s="54">
        <f t="shared" si="1004"/>
        <v>987.45061499254734</v>
      </c>
      <c r="R1761" s="54">
        <f t="shared" si="1004"/>
        <v>1011.1494297523685</v>
      </c>
    </row>
    <row r="1762" spans="1:18" x14ac:dyDescent="0.25">
      <c r="A1762" s="52" t="s">
        <v>1107</v>
      </c>
      <c r="B1762" s="53"/>
      <c r="C1762" s="59"/>
      <c r="D1762" s="50"/>
      <c r="E1762" s="43">
        <v>0</v>
      </c>
      <c r="F1762" s="50"/>
      <c r="G1762" s="50"/>
      <c r="H1762" s="50"/>
      <c r="I1762" s="50"/>
      <c r="J1762" s="50"/>
      <c r="K1762" s="50"/>
      <c r="L1762" s="50"/>
      <c r="M1762" s="50"/>
      <c r="N1762" s="50"/>
      <c r="O1762" s="50"/>
      <c r="P1762" s="50"/>
      <c r="Q1762" s="50"/>
      <c r="R1762" s="50"/>
    </row>
    <row r="1763" spans="1:18" x14ac:dyDescent="0.25">
      <c r="A1763" s="43" t="s">
        <v>1108</v>
      </c>
      <c r="C1763" s="50">
        <v>20496</v>
      </c>
      <c r="D1763" s="54">
        <v>19472</v>
      </c>
      <c r="E1763" s="43">
        <v>21424</v>
      </c>
      <c r="F1763" s="54">
        <v>18084</v>
      </c>
      <c r="G1763" s="54">
        <v>94614</v>
      </c>
      <c r="H1763" s="54">
        <v>46700</v>
      </c>
      <c r="I1763" s="50">
        <f>H1763*1.025</f>
        <v>47867.499999999993</v>
      </c>
      <c r="J1763" s="50">
        <f>I1763*1.029</f>
        <v>49255.657499999987</v>
      </c>
      <c r="K1763" s="54">
        <f>J1763*1.031</f>
        <v>50782.582882499984</v>
      </c>
      <c r="L1763" s="54">
        <f>K1763*1.033</f>
        <v>52458.408117622479</v>
      </c>
      <c r="M1763" s="54">
        <f>L1763*1.032</f>
        <v>54137.077177386403</v>
      </c>
      <c r="N1763" s="54">
        <f>M1763*1.03</f>
        <v>55761.189492707999</v>
      </c>
      <c r="O1763" s="54">
        <f>N1763*1.032</f>
        <v>57545.547556474659</v>
      </c>
      <c r="P1763" s="54">
        <f t="shared" ref="P1763:R1766" si="1005">O1763*1.034</f>
        <v>59502.096173394799</v>
      </c>
      <c r="Q1763" s="54">
        <f t="shared" si="1005"/>
        <v>61525.167443290222</v>
      </c>
      <c r="R1763" s="54">
        <f t="shared" si="1005"/>
        <v>63617.023136362091</v>
      </c>
    </row>
    <row r="1764" spans="1:18" x14ac:dyDescent="0.25">
      <c r="A1764" s="43" t="s">
        <v>1109</v>
      </c>
      <c r="B1764" s="53"/>
      <c r="C1764" s="50">
        <v>506919</v>
      </c>
      <c r="D1764" s="54">
        <v>536218</v>
      </c>
      <c r="E1764" s="50">
        <f>565560-282.75+62.73</f>
        <v>565339.98</v>
      </c>
      <c r="F1764" s="50">
        <v>511389</v>
      </c>
      <c r="G1764" s="50">
        <v>505577</v>
      </c>
      <c r="H1764" s="50">
        <v>584300</v>
      </c>
      <c r="I1764" s="50">
        <f>H1764*1.025</f>
        <v>598907.5</v>
      </c>
      <c r="J1764" s="50">
        <f>I1764*1.029</f>
        <v>616275.8175</v>
      </c>
      <c r="K1764" s="54">
        <f>J1764*(1.031+0.053)</f>
        <v>668042.98616999993</v>
      </c>
      <c r="L1764" s="54">
        <f>K1764*(1.033+0.05)</f>
        <v>723490.55402210995</v>
      </c>
      <c r="M1764" s="54">
        <f>L1764*(1.032+0.048)</f>
        <v>781369.79834387882</v>
      </c>
      <c r="N1764" s="54">
        <f>M1764*(1.03+0.045)</f>
        <v>839972.53321966971</v>
      </c>
      <c r="O1764" s="54">
        <f>N1764*(1.032+0.043)</f>
        <v>902970.47321114491</v>
      </c>
      <c r="P1764" s="54">
        <f t="shared" si="1005"/>
        <v>933671.46930032386</v>
      </c>
      <c r="Q1764" s="54">
        <f t="shared" si="1005"/>
        <v>965416.2992565349</v>
      </c>
      <c r="R1764" s="54">
        <f t="shared" si="1005"/>
        <v>998240.45343125716</v>
      </c>
    </row>
    <row r="1765" spans="1:18" x14ac:dyDescent="0.25">
      <c r="A1765" s="43" t="s">
        <v>1110</v>
      </c>
      <c r="C1765" s="50">
        <v>39811</v>
      </c>
      <c r="D1765" s="54">
        <v>55549</v>
      </c>
      <c r="E1765" s="50">
        <f>40753+678.08</f>
        <v>41431.08</v>
      </c>
      <c r="F1765" s="54">
        <v>51401</v>
      </c>
      <c r="G1765" s="54">
        <v>54991</v>
      </c>
      <c r="H1765" s="54">
        <v>52600</v>
      </c>
      <c r="I1765" s="50">
        <f t="shared" ref="I1765:I1766" si="1006">H1765*1.025</f>
        <v>53914.999999999993</v>
      </c>
      <c r="J1765" s="50">
        <f t="shared" ref="J1765:J1766" si="1007">I1765*1.029</f>
        <v>55478.534999999989</v>
      </c>
      <c r="K1765" s="54">
        <f t="shared" ref="K1765:K1766" si="1008">J1765*1.031</f>
        <v>57198.369584999986</v>
      </c>
      <c r="L1765" s="54">
        <f t="shared" ref="L1765:L1766" si="1009">K1765*1.033</f>
        <v>59085.915781304982</v>
      </c>
      <c r="M1765" s="54">
        <f t="shared" ref="M1765:M1766" si="1010">L1765*1.032</f>
        <v>60976.665086306741</v>
      </c>
      <c r="N1765" s="54">
        <f t="shared" ref="N1765:N1766" si="1011">M1765*1.03</f>
        <v>62805.965038895942</v>
      </c>
      <c r="O1765" s="54">
        <f t="shared" ref="O1765:O1766" si="1012">N1765*1.032</f>
        <v>64815.755920140611</v>
      </c>
      <c r="P1765" s="54">
        <f t="shared" si="1005"/>
        <v>67019.49162142539</v>
      </c>
      <c r="Q1765" s="54">
        <f t="shared" si="1005"/>
        <v>69298.154336553853</v>
      </c>
      <c r="R1765" s="54">
        <f t="shared" si="1005"/>
        <v>71654.291583996688</v>
      </c>
    </row>
    <row r="1766" spans="1:18" x14ac:dyDescent="0.25">
      <c r="A1766" s="43" t="s">
        <v>1111</v>
      </c>
      <c r="C1766" s="50">
        <v>49572</v>
      </c>
      <c r="D1766" s="50">
        <v>56614</v>
      </c>
      <c r="E1766" s="43">
        <v>88262</v>
      </c>
      <c r="F1766" s="50">
        <v>88855</v>
      </c>
      <c r="G1766" s="67">
        <v>81997</v>
      </c>
      <c r="H1766" s="50">
        <v>104700</v>
      </c>
      <c r="I1766" s="50">
        <f t="shared" si="1006"/>
        <v>107317.49999999999</v>
      </c>
      <c r="J1766" s="50">
        <f t="shared" si="1007"/>
        <v>110429.70749999997</v>
      </c>
      <c r="K1766" s="54">
        <f t="shared" si="1008"/>
        <v>113853.02843249997</v>
      </c>
      <c r="L1766" s="54">
        <f t="shared" si="1009"/>
        <v>117610.17837077245</v>
      </c>
      <c r="M1766" s="54">
        <f t="shared" si="1010"/>
        <v>121373.70407863718</v>
      </c>
      <c r="N1766" s="54">
        <f t="shared" si="1011"/>
        <v>125014.9152009963</v>
      </c>
      <c r="O1766" s="54">
        <f t="shared" si="1012"/>
        <v>129015.39248742818</v>
      </c>
      <c r="P1766" s="54">
        <f t="shared" si="1005"/>
        <v>133401.91583200076</v>
      </c>
      <c r="Q1766" s="54">
        <f t="shared" si="1005"/>
        <v>137937.58097028878</v>
      </c>
      <c r="R1766" s="54">
        <f t="shared" si="1005"/>
        <v>142627.4587232786</v>
      </c>
    </row>
    <row r="1767" spans="1:18" x14ac:dyDescent="0.25">
      <c r="A1767" s="43" t="s">
        <v>1112</v>
      </c>
      <c r="C1767" s="54">
        <v>54650</v>
      </c>
      <c r="D1767" s="54">
        <v>56236</v>
      </c>
      <c r="E1767" s="43">
        <v>54463</v>
      </c>
      <c r="F1767" s="54">
        <v>37229</v>
      </c>
      <c r="G1767" s="54">
        <v>43454</v>
      </c>
      <c r="H1767" s="54">
        <v>37200</v>
      </c>
      <c r="I1767" s="54">
        <f t="shared" ref="I1767" si="1013">H1767*1.023</f>
        <v>38055.599999999999</v>
      </c>
      <c r="J1767" s="54">
        <f t="shared" ref="J1767:K1767" si="1014">I1767*1.024</f>
        <v>38968.934399999998</v>
      </c>
      <c r="K1767" s="54">
        <f t="shared" si="1014"/>
        <v>39904.188825600002</v>
      </c>
      <c r="L1767" s="54">
        <f t="shared" ref="L1767" si="1015">K1767*1.023</f>
        <v>40821.985168588799</v>
      </c>
      <c r="M1767" s="54">
        <f t="shared" ref="M1767" si="1016">L1767*1.022</f>
        <v>41720.068842297755</v>
      </c>
      <c r="N1767" s="54">
        <f t="shared" ref="N1767" si="1017">M1767*1.023</f>
        <v>42679.630425670599</v>
      </c>
      <c r="O1767" s="54">
        <f t="shared" ref="O1767:P1767" si="1018">N1767*1.025</f>
        <v>43746.621186312361</v>
      </c>
      <c r="P1767" s="54">
        <f t="shared" si="1018"/>
        <v>44840.286715970164</v>
      </c>
      <c r="Q1767" s="54">
        <f t="shared" ref="Q1767:R1767" si="1019">P1767*1.024</f>
        <v>45916.45359715345</v>
      </c>
      <c r="R1767" s="54">
        <f t="shared" si="1019"/>
        <v>47018.448483485132</v>
      </c>
    </row>
    <row r="1768" spans="1:18" x14ac:dyDescent="0.25">
      <c r="A1768" s="43" t="s">
        <v>1113</v>
      </c>
      <c r="C1768" s="54">
        <f>47225-716</f>
        <v>46509</v>
      </c>
      <c r="D1768" s="54">
        <v>46964</v>
      </c>
      <c r="E1768" s="43">
        <f>38561+2314+1899</f>
        <v>42774</v>
      </c>
      <c r="F1768" s="54">
        <f>36212+28</f>
        <v>36240</v>
      </c>
      <c r="G1768" s="50">
        <v>50399</v>
      </c>
      <c r="H1768" s="50">
        <f>47500+1500</f>
        <v>49000</v>
      </c>
      <c r="I1768" s="50">
        <f t="shared" ref="I1768:I1769" si="1020">H1768*1.025</f>
        <v>50224.999999999993</v>
      </c>
      <c r="J1768" s="50">
        <f t="shared" ref="J1768:J1769" si="1021">I1768*1.029</f>
        <v>51681.524999999987</v>
      </c>
      <c r="K1768" s="54">
        <f t="shared" ref="K1768:K1769" si="1022">J1768*1.031</f>
        <v>53283.652274999986</v>
      </c>
      <c r="L1768" s="54">
        <f t="shared" ref="L1768:L1769" si="1023">K1768*1.033</f>
        <v>55042.012800074983</v>
      </c>
      <c r="M1768" s="54">
        <f t="shared" ref="M1768:M1769" si="1024">L1768*1.032</f>
        <v>56803.357209677386</v>
      </c>
      <c r="N1768" s="54">
        <f t="shared" ref="N1768:N1769" si="1025">M1768*1.03</f>
        <v>58507.457925967712</v>
      </c>
      <c r="O1768" s="54">
        <f t="shared" ref="O1768:O1769" si="1026">N1768*1.032</f>
        <v>60379.696579598683</v>
      </c>
      <c r="P1768" s="54">
        <f t="shared" ref="P1768:R1769" si="1027">O1768*1.034</f>
        <v>62432.606263305039</v>
      </c>
      <c r="Q1768" s="54">
        <f t="shared" si="1027"/>
        <v>64555.314876257413</v>
      </c>
      <c r="R1768" s="54">
        <f t="shared" si="1027"/>
        <v>66750.195582050161</v>
      </c>
    </row>
    <row r="1769" spans="1:18" x14ac:dyDescent="0.25">
      <c r="A1769" s="43" t="s">
        <v>1114</v>
      </c>
      <c r="C1769" s="54">
        <v>4945</v>
      </c>
      <c r="D1769" s="54">
        <v>7933</v>
      </c>
      <c r="E1769" s="43">
        <v>11341</v>
      </c>
      <c r="F1769" s="54">
        <v>10610</v>
      </c>
      <c r="G1769" s="54">
        <v>2633</v>
      </c>
      <c r="H1769" s="54">
        <v>3000</v>
      </c>
      <c r="I1769" s="50">
        <f t="shared" si="1020"/>
        <v>3074.9999999999995</v>
      </c>
      <c r="J1769" s="50">
        <f t="shared" si="1021"/>
        <v>3164.1749999999993</v>
      </c>
      <c r="K1769" s="54">
        <f t="shared" si="1022"/>
        <v>3262.2644249999989</v>
      </c>
      <c r="L1769" s="54">
        <f t="shared" si="1023"/>
        <v>3369.9191510249984</v>
      </c>
      <c r="M1769" s="54">
        <f t="shared" si="1024"/>
        <v>3477.7565638577985</v>
      </c>
      <c r="N1769" s="54">
        <f t="shared" si="1025"/>
        <v>3582.0892607735327</v>
      </c>
      <c r="O1769" s="54">
        <f t="shared" si="1026"/>
        <v>3696.7161171182856</v>
      </c>
      <c r="P1769" s="54">
        <f t="shared" si="1027"/>
        <v>3822.4044651003073</v>
      </c>
      <c r="Q1769" s="54">
        <f t="shared" si="1027"/>
        <v>3952.3662169137178</v>
      </c>
      <c r="R1769" s="54">
        <f t="shared" si="1027"/>
        <v>4086.7466682887843</v>
      </c>
    </row>
    <row r="1770" spans="1:18" x14ac:dyDescent="0.25">
      <c r="A1770" s="43" t="s">
        <v>1115</v>
      </c>
      <c r="C1770" s="54"/>
      <c r="D1770" s="54"/>
      <c r="F1770" s="54"/>
      <c r="G1770" s="54"/>
      <c r="H1770" s="54"/>
      <c r="I1770" s="50"/>
      <c r="J1770" s="50"/>
      <c r="K1770" s="54"/>
      <c r="L1770" s="54"/>
      <c r="M1770" s="54"/>
      <c r="N1770" s="54"/>
      <c r="O1770" s="54"/>
      <c r="P1770" s="54"/>
      <c r="Q1770" s="54"/>
      <c r="R1770" s="54"/>
    </row>
    <row r="1771" spans="1:18" x14ac:dyDescent="0.25">
      <c r="A1771" s="43" t="s">
        <v>1116</v>
      </c>
      <c r="C1771" s="54">
        <v>600</v>
      </c>
      <c r="D1771" s="54">
        <v>240</v>
      </c>
      <c r="E1771" s="43">
        <v>240</v>
      </c>
      <c r="F1771" s="54">
        <v>720</v>
      </c>
      <c r="G1771" s="50">
        <v>450</v>
      </c>
      <c r="H1771" s="50">
        <v>900</v>
      </c>
      <c r="I1771" s="54">
        <f t="shared" ref="I1771" si="1028">H1771*1.023</f>
        <v>920.69999999999993</v>
      </c>
      <c r="J1771" s="54">
        <f t="shared" ref="J1771:K1771" si="1029">I1771*1.024</f>
        <v>942.79679999999996</v>
      </c>
      <c r="K1771" s="54">
        <f t="shared" si="1029"/>
        <v>965.42392319999999</v>
      </c>
      <c r="L1771" s="54">
        <f t="shared" ref="L1771" si="1030">K1771*1.023</f>
        <v>987.62867343359994</v>
      </c>
      <c r="M1771" s="54">
        <f t="shared" ref="M1771" si="1031">L1771*1.022</f>
        <v>1009.3565042491391</v>
      </c>
      <c r="N1771" s="54">
        <f t="shared" ref="N1771" si="1032">M1771*1.023</f>
        <v>1032.5717038468692</v>
      </c>
      <c r="O1771" s="54">
        <f t="shared" ref="O1771:P1771" si="1033">N1771*1.025</f>
        <v>1058.3859964430408</v>
      </c>
      <c r="P1771" s="54">
        <f t="shared" si="1033"/>
        <v>1084.8456463541168</v>
      </c>
      <c r="Q1771" s="54">
        <f t="shared" ref="Q1771:R1771" si="1034">P1771*1.024</f>
        <v>1110.8819418666155</v>
      </c>
      <c r="R1771" s="54">
        <f t="shared" si="1034"/>
        <v>1137.5431084714144</v>
      </c>
    </row>
    <row r="1772" spans="1:18" x14ac:dyDescent="0.25">
      <c r="A1772" s="52" t="s">
        <v>1101</v>
      </c>
      <c r="C1772" s="54">
        <v>9332</v>
      </c>
      <c r="D1772" s="54">
        <v>0</v>
      </c>
      <c r="E1772" s="43">
        <v>0</v>
      </c>
      <c r="F1772" s="54">
        <v>12107</v>
      </c>
      <c r="G1772" s="54"/>
      <c r="H1772" s="54"/>
      <c r="I1772" s="54"/>
      <c r="J1772" s="54"/>
      <c r="K1772" s="54"/>
      <c r="L1772" s="54"/>
      <c r="M1772" s="54"/>
      <c r="N1772" s="54"/>
      <c r="O1772" s="54"/>
      <c r="P1772" s="54"/>
      <c r="Q1772" s="54"/>
      <c r="R1772" s="54"/>
    </row>
    <row r="1773" spans="1:18" x14ac:dyDescent="0.25">
      <c r="A1773" s="41"/>
      <c r="B1773" s="44"/>
      <c r="C1773" s="51"/>
      <c r="D1773" s="51"/>
      <c r="E1773" s="51"/>
      <c r="F1773" s="51"/>
      <c r="G1773" s="51"/>
      <c r="H1773" s="51"/>
      <c r="I1773" s="51"/>
      <c r="J1773" s="51"/>
      <c r="K1773" s="51"/>
      <c r="L1773" s="51"/>
      <c r="M1773" s="51"/>
      <c r="N1773" s="51"/>
      <c r="O1773" s="51"/>
      <c r="P1773" s="51"/>
      <c r="Q1773" s="51"/>
      <c r="R1773" s="51"/>
    </row>
    <row r="1774" spans="1:18" x14ac:dyDescent="0.25">
      <c r="A1774" s="41" t="s">
        <v>230</v>
      </c>
      <c r="B1774" s="44"/>
      <c r="C1774" s="51">
        <f>SUM(C1754:C1773)</f>
        <v>968506</v>
      </c>
      <c r="D1774" s="51">
        <f>SUM(D1754:D1773)</f>
        <v>1033439</v>
      </c>
      <c r="E1774" s="51">
        <f>SUM(E1754:E1773)</f>
        <v>1098586.06</v>
      </c>
      <c r="F1774" s="51">
        <f>SUM(F1754:F1773)</f>
        <v>1039621</v>
      </c>
      <c r="G1774" s="51">
        <f t="shared" ref="G1774:R1774" si="1035">SUM(G1754:G1773)</f>
        <v>1107528</v>
      </c>
      <c r="H1774" s="51">
        <f t="shared" si="1035"/>
        <v>1187700</v>
      </c>
      <c r="I1774" s="51">
        <f t="shared" si="1035"/>
        <v>1217161.7</v>
      </c>
      <c r="J1774" s="51">
        <f t="shared" si="1035"/>
        <v>1251869.1182999997</v>
      </c>
      <c r="K1774" s="51">
        <f t="shared" si="1035"/>
        <v>1322493.4667891997</v>
      </c>
      <c r="L1774" s="51">
        <f t="shared" si="1035"/>
        <v>1398300.012493551</v>
      </c>
      <c r="M1774" s="51">
        <f t="shared" si="1035"/>
        <v>1476506.8000540256</v>
      </c>
      <c r="N1774" s="51">
        <f t="shared" si="1035"/>
        <v>1555057.691443196</v>
      </c>
      <c r="O1774" s="51">
        <f t="shared" si="1035"/>
        <v>1640011.5660285268</v>
      </c>
      <c r="P1774" s="51">
        <f t="shared" si="1035"/>
        <v>1694550.5818336019</v>
      </c>
      <c r="Q1774" s="51">
        <f t="shared" si="1035"/>
        <v>1750774.2884205082</v>
      </c>
      <c r="R1774" s="51">
        <f t="shared" si="1035"/>
        <v>1808876.2167146783</v>
      </c>
    </row>
    <row r="1775" spans="1:18" x14ac:dyDescent="0.25">
      <c r="C1775" s="50"/>
      <c r="D1775" s="50"/>
      <c r="E1775" s="50"/>
      <c r="F1775" s="50"/>
      <c r="G1775" s="50"/>
      <c r="H1775" s="50"/>
      <c r="I1775" s="50"/>
      <c r="J1775" s="50"/>
      <c r="K1775" s="50"/>
      <c r="L1775" s="50"/>
      <c r="M1775" s="50"/>
      <c r="N1775" s="50"/>
      <c r="O1775" s="50"/>
      <c r="P1775" s="50"/>
      <c r="Q1775" s="50"/>
      <c r="R1775" s="50"/>
    </row>
    <row r="1776" spans="1:18" x14ac:dyDescent="0.25">
      <c r="A1776" s="41" t="s">
        <v>1117</v>
      </c>
      <c r="B1776" s="44"/>
      <c r="C1776" s="51">
        <f>C1774-C1750</f>
        <v>943297</v>
      </c>
      <c r="D1776" s="51">
        <f>D1774-D1750</f>
        <v>1015402</v>
      </c>
      <c r="E1776" s="51">
        <f>E1774-E1750</f>
        <v>1081720.06</v>
      </c>
      <c r="F1776" s="51">
        <f>F1774-F1750</f>
        <v>1000820</v>
      </c>
      <c r="G1776" s="51">
        <f t="shared" ref="G1776:R1776" si="1036">G1774-G1750</f>
        <v>1092288</v>
      </c>
      <c r="H1776" s="51">
        <f t="shared" si="1036"/>
        <v>1172200</v>
      </c>
      <c r="I1776" s="51">
        <f t="shared" si="1036"/>
        <v>1201305.2</v>
      </c>
      <c r="J1776" s="51">
        <f t="shared" si="1036"/>
        <v>1235632.0622999996</v>
      </c>
      <c r="K1776" s="51">
        <f t="shared" si="1036"/>
        <v>1305866.7214451998</v>
      </c>
      <c r="L1776" s="51">
        <f t="shared" si="1036"/>
        <v>1381290.8520066391</v>
      </c>
      <c r="M1776" s="51">
        <f t="shared" si="1036"/>
        <v>1459123.4380364015</v>
      </c>
      <c r="N1776" s="51">
        <f t="shared" si="1036"/>
        <v>1537274.5120991666</v>
      </c>
      <c r="O1776" s="51">
        <f t="shared" si="1036"/>
        <v>1621783.8072008966</v>
      </c>
      <c r="P1776" s="51">
        <f t="shared" si="1036"/>
        <v>1675867.129035281</v>
      </c>
      <c r="Q1776" s="51">
        <f t="shared" si="1036"/>
        <v>1731642.4327550277</v>
      </c>
      <c r="R1776" s="51">
        <f t="shared" si="1036"/>
        <v>1789285.1965132263</v>
      </c>
    </row>
    <row r="1777" spans="1:18" x14ac:dyDescent="0.25">
      <c r="C1777" s="50"/>
      <c r="D1777" s="50"/>
      <c r="E1777" s="50"/>
      <c r="F1777" s="50"/>
      <c r="G1777" s="50"/>
      <c r="H1777" s="50"/>
      <c r="I1777" s="50"/>
      <c r="J1777" s="50"/>
      <c r="K1777" s="50"/>
      <c r="L1777" s="50"/>
      <c r="M1777" s="50"/>
      <c r="N1777" s="50"/>
      <c r="O1777" s="50"/>
      <c r="P1777" s="50"/>
      <c r="Q1777" s="50"/>
      <c r="R1777" s="50"/>
    </row>
    <row r="1778" spans="1:18" x14ac:dyDescent="0.25">
      <c r="C1778" s="50"/>
      <c r="D1778" s="50"/>
      <c r="E1778" s="50"/>
      <c r="F1778" s="50"/>
      <c r="G1778" s="50"/>
      <c r="H1778" s="50"/>
      <c r="I1778" s="50"/>
      <c r="J1778" s="50"/>
      <c r="K1778" s="50"/>
      <c r="L1778" s="50"/>
      <c r="M1778" s="50"/>
      <c r="N1778" s="50"/>
      <c r="O1778" s="50"/>
      <c r="P1778" s="50"/>
      <c r="Q1778" s="50"/>
      <c r="R1778" s="50"/>
    </row>
    <row r="1779" spans="1:18" x14ac:dyDescent="0.25">
      <c r="A1779" s="41" t="s">
        <v>1118</v>
      </c>
      <c r="B1779" s="44"/>
      <c r="C1779" s="50"/>
      <c r="D1779" s="50"/>
      <c r="E1779" s="50"/>
      <c r="F1779" s="50"/>
      <c r="G1779" s="50"/>
      <c r="H1779" s="50"/>
      <c r="I1779" s="50"/>
      <c r="J1779" s="50"/>
      <c r="K1779" s="50"/>
      <c r="L1779" s="50"/>
      <c r="M1779" s="50"/>
      <c r="N1779" s="50"/>
      <c r="O1779" s="50"/>
      <c r="P1779" s="50"/>
      <c r="Q1779" s="50"/>
      <c r="R1779" s="50"/>
    </row>
    <row r="1780" spans="1:18" x14ac:dyDescent="0.25">
      <c r="C1780" s="50"/>
      <c r="D1780" s="50"/>
      <c r="E1780" s="50"/>
      <c r="F1780" s="50"/>
      <c r="G1780" s="50"/>
      <c r="H1780" s="50"/>
      <c r="I1780" s="50"/>
      <c r="J1780" s="50"/>
      <c r="K1780" s="50"/>
      <c r="L1780" s="50"/>
      <c r="M1780" s="50"/>
      <c r="N1780" s="50"/>
      <c r="O1780" s="50"/>
      <c r="P1780" s="50"/>
      <c r="Q1780" s="50"/>
      <c r="R1780" s="50"/>
    </row>
    <row r="1781" spans="1:18" x14ac:dyDescent="0.25">
      <c r="A1781" s="41" t="s">
        <v>165</v>
      </c>
      <c r="B1781" s="44"/>
      <c r="C1781" s="50"/>
      <c r="D1781" s="50"/>
      <c r="E1781" s="50"/>
      <c r="F1781" s="50"/>
      <c r="G1781" s="50"/>
      <c r="H1781" s="50"/>
      <c r="I1781" s="50"/>
      <c r="J1781" s="50"/>
      <c r="K1781" s="50"/>
      <c r="L1781" s="50"/>
      <c r="M1781" s="50"/>
      <c r="N1781" s="50"/>
      <c r="O1781" s="50"/>
      <c r="P1781" s="50"/>
      <c r="Q1781" s="50"/>
      <c r="R1781" s="50"/>
    </row>
    <row r="1782" spans="1:18" x14ac:dyDescent="0.25">
      <c r="C1782" s="50"/>
      <c r="D1782" s="50"/>
      <c r="E1782" s="50"/>
      <c r="F1782" s="50"/>
      <c r="G1782" s="50"/>
      <c r="H1782" s="50"/>
      <c r="I1782" s="50"/>
      <c r="J1782" s="50"/>
      <c r="K1782" s="50"/>
      <c r="L1782" s="50"/>
      <c r="M1782" s="50"/>
      <c r="N1782" s="50"/>
      <c r="O1782" s="50"/>
      <c r="P1782" s="50"/>
      <c r="Q1782" s="50"/>
      <c r="R1782" s="50"/>
    </row>
    <row r="1783" spans="1:18" x14ac:dyDescent="0.25">
      <c r="A1783" s="43" t="s">
        <v>217</v>
      </c>
      <c r="C1783" s="54">
        <v>114212</v>
      </c>
      <c r="D1783" s="54">
        <v>111999</v>
      </c>
      <c r="E1783" s="43">
        <v>113997</v>
      </c>
      <c r="F1783" s="43">
        <v>121983</v>
      </c>
      <c r="G1783" s="43">
        <v>122100</v>
      </c>
      <c r="H1783" s="43">
        <v>135600</v>
      </c>
      <c r="I1783" s="50">
        <f>H1783*1.025</f>
        <v>138990</v>
      </c>
      <c r="J1783" s="50">
        <f>I1783*1.029</f>
        <v>143020.71</v>
      </c>
      <c r="K1783" s="54">
        <f>J1783*1.031</f>
        <v>147454.35200999997</v>
      </c>
      <c r="L1783" s="54">
        <f>K1783*1.033</f>
        <v>152320.34562632997</v>
      </c>
      <c r="M1783" s="54">
        <f>L1783*1.032</f>
        <v>157194.59668637253</v>
      </c>
      <c r="N1783" s="54">
        <f>M1783*1.03</f>
        <v>161910.4345869637</v>
      </c>
      <c r="O1783" s="54">
        <f>N1783*1.032</f>
        <v>167091.56849374654</v>
      </c>
      <c r="P1783" s="54">
        <f>O1783*1.034</f>
        <v>172772.68182253392</v>
      </c>
      <c r="Q1783" s="54">
        <f>P1783*1.034</f>
        <v>178646.95300450007</v>
      </c>
      <c r="R1783" s="54">
        <f>Q1783*1.034</f>
        <v>184720.94940665309</v>
      </c>
    </row>
    <row r="1784" spans="1:18" x14ac:dyDescent="0.25">
      <c r="A1784" s="43" t="s">
        <v>219</v>
      </c>
      <c r="C1784" s="54">
        <v>5183</v>
      </c>
      <c r="D1784" s="54">
        <v>5364</v>
      </c>
      <c r="E1784" s="50">
        <v>4296</v>
      </c>
      <c r="F1784" s="68">
        <v>6141</v>
      </c>
      <c r="G1784" s="68">
        <v>4310</v>
      </c>
      <c r="H1784" s="67">
        <v>6000</v>
      </c>
      <c r="I1784" s="54">
        <f t="shared" ref="I1784" si="1037">H1784*1.023</f>
        <v>6137.9999999999991</v>
      </c>
      <c r="J1784" s="54">
        <f t="shared" ref="J1784:K1784" si="1038">I1784*1.024</f>
        <v>6285.311999999999</v>
      </c>
      <c r="K1784" s="54">
        <f t="shared" si="1038"/>
        <v>6436.1594879999993</v>
      </c>
      <c r="L1784" s="54">
        <f t="shared" ref="L1784" si="1039">K1784*1.023</f>
        <v>6584.1911562239984</v>
      </c>
      <c r="M1784" s="54">
        <f t="shared" ref="M1784" si="1040">L1784*1.022</f>
        <v>6729.0433616609262</v>
      </c>
      <c r="N1784" s="54">
        <f t="shared" ref="N1784" si="1041">M1784*1.023</f>
        <v>6883.8113589791265</v>
      </c>
      <c r="O1784" s="54">
        <f t="shared" ref="O1784:P1784" si="1042">N1784*1.025</f>
        <v>7055.9066429536042</v>
      </c>
      <c r="P1784" s="54">
        <f t="shared" si="1042"/>
        <v>7232.3043090274441</v>
      </c>
      <c r="Q1784" s="54">
        <f t="shared" ref="Q1784:R1784" si="1043">P1784*1.024</f>
        <v>7405.8796124441033</v>
      </c>
      <c r="R1784" s="54">
        <f t="shared" si="1043"/>
        <v>7583.6207231427616</v>
      </c>
    </row>
    <row r="1785" spans="1:18" x14ac:dyDescent="0.25">
      <c r="A1785" s="43" t="s">
        <v>220</v>
      </c>
      <c r="C1785" s="50">
        <v>14591</v>
      </c>
      <c r="D1785" s="54">
        <v>15825</v>
      </c>
      <c r="E1785" s="43">
        <v>17367</v>
      </c>
      <c r="F1785" s="54">
        <v>15623</v>
      </c>
      <c r="G1785" s="54">
        <v>15485</v>
      </c>
      <c r="H1785" s="54">
        <v>17900</v>
      </c>
      <c r="I1785" s="50">
        <f>H1785*1.025</f>
        <v>18347.5</v>
      </c>
      <c r="J1785" s="50">
        <f>I1785*1.029</f>
        <v>18879.577499999999</v>
      </c>
      <c r="K1785" s="54">
        <f>J1785*1.031</f>
        <v>19464.844402499999</v>
      </c>
      <c r="L1785" s="54">
        <f>K1785*1.033</f>
        <v>20107.184267782497</v>
      </c>
      <c r="M1785" s="54">
        <f>L1785*1.032</f>
        <v>20750.614164351537</v>
      </c>
      <c r="N1785" s="54">
        <f>M1785*1.03</f>
        <v>21373.132589282082</v>
      </c>
      <c r="O1785" s="54">
        <f>N1785*1.032</f>
        <v>22057.072832139111</v>
      </c>
      <c r="P1785" s="54">
        <f>O1785*1.034</f>
        <v>22807.01330843184</v>
      </c>
      <c r="Q1785" s="54">
        <f>P1785*1.034</f>
        <v>23582.451760918524</v>
      </c>
      <c r="R1785" s="54">
        <f>Q1785*1.034</f>
        <v>24384.255120789756</v>
      </c>
    </row>
    <row r="1786" spans="1:18" x14ac:dyDescent="0.25">
      <c r="A1786" s="43" t="s">
        <v>1032</v>
      </c>
      <c r="C1786" s="57">
        <v>7317</v>
      </c>
      <c r="D1786" s="218">
        <v>7334</v>
      </c>
      <c r="E1786" s="60">
        <v>6356</v>
      </c>
      <c r="F1786" s="218">
        <v>6096</v>
      </c>
      <c r="G1786" s="180">
        <v>6660</v>
      </c>
      <c r="H1786" s="98">
        <v>6900</v>
      </c>
      <c r="I1786" s="180">
        <v>6900</v>
      </c>
      <c r="J1786" s="180">
        <v>6800</v>
      </c>
      <c r="K1786" s="180">
        <v>6800</v>
      </c>
      <c r="L1786" s="180">
        <v>6800</v>
      </c>
      <c r="M1786" s="180">
        <v>7300</v>
      </c>
      <c r="N1786" s="180">
        <v>7300</v>
      </c>
      <c r="O1786" s="180">
        <v>7300</v>
      </c>
      <c r="P1786" s="180">
        <v>7800</v>
      </c>
      <c r="Q1786" s="180">
        <v>7700</v>
      </c>
      <c r="R1786" s="180">
        <v>7700</v>
      </c>
    </row>
    <row r="1787" spans="1:18" x14ac:dyDescent="0.25">
      <c r="A1787" s="52" t="s">
        <v>1119</v>
      </c>
      <c r="B1787" s="53"/>
      <c r="C1787" s="54">
        <v>0</v>
      </c>
      <c r="D1787" s="54">
        <f>C1787*1.038</f>
        <v>0</v>
      </c>
      <c r="E1787" s="43">
        <v>0</v>
      </c>
      <c r="F1787" s="54">
        <v>0</v>
      </c>
      <c r="G1787" s="54">
        <v>0</v>
      </c>
      <c r="H1787" s="54">
        <v>0</v>
      </c>
      <c r="I1787" s="54">
        <v>0</v>
      </c>
      <c r="J1787" s="54">
        <v>0</v>
      </c>
      <c r="K1787" s="54">
        <v>0</v>
      </c>
      <c r="L1787" s="54">
        <v>0</v>
      </c>
      <c r="M1787" s="54">
        <v>0</v>
      </c>
      <c r="N1787" s="54">
        <v>0</v>
      </c>
      <c r="O1787" s="54">
        <v>0</v>
      </c>
      <c r="P1787" s="54">
        <v>0</v>
      </c>
      <c r="Q1787" s="54">
        <f>P1787*1.042</f>
        <v>0</v>
      </c>
      <c r="R1787" s="54">
        <f>Q1787*1.042</f>
        <v>0</v>
      </c>
    </row>
    <row r="1788" spans="1:18" x14ac:dyDescent="0.25">
      <c r="A1788" s="52" t="s">
        <v>226</v>
      </c>
      <c r="B1788" s="53"/>
      <c r="C1788" s="54">
        <v>3743</v>
      </c>
      <c r="D1788" s="54">
        <v>2813</v>
      </c>
      <c r="E1788" s="43">
        <v>2416</v>
      </c>
      <c r="F1788" s="54">
        <v>2779</v>
      </c>
      <c r="G1788" s="50">
        <v>3049</v>
      </c>
      <c r="H1788" s="54">
        <v>6000</v>
      </c>
      <c r="I1788" s="54">
        <f t="shared" ref="I1788:I1791" si="1044">H1788*1.023</f>
        <v>6137.9999999999991</v>
      </c>
      <c r="J1788" s="54">
        <f t="shared" ref="J1788:K1791" si="1045">I1788*1.024</f>
        <v>6285.311999999999</v>
      </c>
      <c r="K1788" s="54">
        <f t="shared" si="1045"/>
        <v>6436.1594879999993</v>
      </c>
      <c r="L1788" s="54">
        <f t="shared" ref="L1788:L1791" si="1046">K1788*1.023</f>
        <v>6584.1911562239984</v>
      </c>
      <c r="M1788" s="54">
        <f t="shared" ref="M1788:M1791" si="1047">L1788*1.022</f>
        <v>6729.0433616609262</v>
      </c>
      <c r="N1788" s="54">
        <f t="shared" ref="N1788:N1791" si="1048">M1788*1.023</f>
        <v>6883.8113589791265</v>
      </c>
      <c r="O1788" s="54">
        <f t="shared" ref="O1788:P1791" si="1049">N1788*1.025</f>
        <v>7055.9066429536042</v>
      </c>
      <c r="P1788" s="54">
        <f t="shared" si="1049"/>
        <v>7232.3043090274441</v>
      </c>
      <c r="Q1788" s="54">
        <f t="shared" ref="Q1788:R1791" si="1050">P1788*1.024</f>
        <v>7405.8796124441033</v>
      </c>
      <c r="R1788" s="54">
        <f t="shared" si="1050"/>
        <v>7583.6207231427616</v>
      </c>
    </row>
    <row r="1789" spans="1:18" x14ac:dyDescent="0.25">
      <c r="A1789" s="52" t="s">
        <v>1120</v>
      </c>
      <c r="B1789" s="53"/>
      <c r="C1789" s="54">
        <v>27200</v>
      </c>
      <c r="D1789" s="54">
        <v>27100</v>
      </c>
      <c r="E1789" s="43">
        <v>28500</v>
      </c>
      <c r="F1789" s="54">
        <v>59962</v>
      </c>
      <c r="G1789" s="50">
        <v>44000</v>
      </c>
      <c r="H1789" s="50">
        <v>45000</v>
      </c>
      <c r="I1789" s="54">
        <f t="shared" si="1044"/>
        <v>46034.999999999993</v>
      </c>
      <c r="J1789" s="54">
        <f t="shared" si="1045"/>
        <v>47139.839999999997</v>
      </c>
      <c r="K1789" s="54">
        <f t="shared" si="1045"/>
        <v>48271.19616</v>
      </c>
      <c r="L1789" s="54">
        <f t="shared" si="1046"/>
        <v>49381.433671679995</v>
      </c>
      <c r="M1789" s="54">
        <f t="shared" si="1047"/>
        <v>50467.825212456955</v>
      </c>
      <c r="N1789" s="54">
        <f t="shared" si="1048"/>
        <v>51628.58519234346</v>
      </c>
      <c r="O1789" s="54">
        <f t="shared" si="1049"/>
        <v>52919.299822152039</v>
      </c>
      <c r="P1789" s="54">
        <f t="shared" si="1049"/>
        <v>54242.282317705838</v>
      </c>
      <c r="Q1789" s="54">
        <f t="shared" si="1050"/>
        <v>55544.097093330776</v>
      </c>
      <c r="R1789" s="54">
        <f t="shared" si="1050"/>
        <v>56877.155423570715</v>
      </c>
    </row>
    <row r="1790" spans="1:18" x14ac:dyDescent="0.25">
      <c r="A1790" s="52" t="s">
        <v>1121</v>
      </c>
      <c r="B1790" s="53"/>
      <c r="C1790" s="54">
        <v>46345</v>
      </c>
      <c r="D1790" s="50">
        <v>46366</v>
      </c>
      <c r="E1790" s="43">
        <v>47424</v>
      </c>
      <c r="F1790" s="50">
        <v>53603</v>
      </c>
      <c r="G1790" s="50">
        <v>47376</v>
      </c>
      <c r="H1790" s="50">
        <v>53800</v>
      </c>
      <c r="I1790" s="50">
        <v>61690</v>
      </c>
      <c r="J1790" s="54">
        <f t="shared" si="1045"/>
        <v>63170.560000000005</v>
      </c>
      <c r="K1790" s="54">
        <f t="shared" si="1045"/>
        <v>64686.653440000009</v>
      </c>
      <c r="L1790" s="54">
        <f t="shared" si="1046"/>
        <v>66174.446469119997</v>
      </c>
      <c r="M1790" s="54">
        <f t="shared" si="1047"/>
        <v>67630.284291440636</v>
      </c>
      <c r="N1790" s="54">
        <f t="shared" si="1048"/>
        <v>69185.780830143762</v>
      </c>
      <c r="O1790" s="54">
        <f t="shared" si="1049"/>
        <v>70915.425350897349</v>
      </c>
      <c r="P1790" s="54">
        <f t="shared" si="1049"/>
        <v>72688.310984669777</v>
      </c>
      <c r="Q1790" s="54">
        <f t="shared" si="1050"/>
        <v>74432.830448301858</v>
      </c>
      <c r="R1790" s="54">
        <f t="shared" si="1050"/>
        <v>76219.218379061102</v>
      </c>
    </row>
    <row r="1791" spans="1:18" x14ac:dyDescent="0.25">
      <c r="A1791" s="52" t="s">
        <v>1122</v>
      </c>
      <c r="B1791" s="53"/>
      <c r="C1791" s="54">
        <v>0</v>
      </c>
      <c r="D1791" s="50">
        <v>0</v>
      </c>
      <c r="E1791" s="43">
        <v>0</v>
      </c>
      <c r="F1791" s="50">
        <v>0</v>
      </c>
      <c r="G1791" s="50">
        <v>0</v>
      </c>
      <c r="H1791" s="50">
        <v>8000</v>
      </c>
      <c r="I1791" s="54">
        <f t="shared" si="1044"/>
        <v>8183.9999999999991</v>
      </c>
      <c r="J1791" s="54">
        <f t="shared" si="1045"/>
        <v>8380.4159999999993</v>
      </c>
      <c r="K1791" s="54">
        <f t="shared" si="1045"/>
        <v>8581.5459840000003</v>
      </c>
      <c r="L1791" s="54">
        <f t="shared" si="1046"/>
        <v>8778.9215416320003</v>
      </c>
      <c r="M1791" s="54">
        <f t="shared" si="1047"/>
        <v>8972.0578155479052</v>
      </c>
      <c r="N1791" s="54">
        <f t="shared" si="1048"/>
        <v>9178.4151453055056</v>
      </c>
      <c r="O1791" s="54">
        <f t="shared" si="1049"/>
        <v>9407.8755239381426</v>
      </c>
      <c r="P1791" s="54">
        <f t="shared" si="1049"/>
        <v>9643.0724120365958</v>
      </c>
      <c r="Q1791" s="54">
        <f t="shared" si="1050"/>
        <v>9874.5061499254734</v>
      </c>
      <c r="R1791" s="54">
        <f t="shared" si="1050"/>
        <v>10111.494297523685</v>
      </c>
    </row>
    <row r="1792" spans="1:18" x14ac:dyDescent="0.25">
      <c r="A1792" s="52" t="s">
        <v>1090</v>
      </c>
      <c r="B1792" s="53"/>
      <c r="C1792" s="54">
        <v>30000</v>
      </c>
      <c r="D1792" s="50"/>
      <c r="E1792" s="43">
        <v>0</v>
      </c>
      <c r="F1792" s="50"/>
      <c r="G1792" s="50">
        <v>0</v>
      </c>
      <c r="H1792" s="50"/>
      <c r="I1792" s="50"/>
      <c r="J1792" s="50"/>
      <c r="K1792" s="50"/>
      <c r="L1792" s="50"/>
      <c r="M1792" s="50"/>
      <c r="N1792" s="50"/>
      <c r="O1792" s="50"/>
      <c r="P1792" s="50"/>
      <c r="Q1792" s="50"/>
      <c r="R1792" s="50"/>
    </row>
    <row r="1793" spans="1:18" x14ac:dyDescent="0.25">
      <c r="A1793" s="52" t="s">
        <v>1123</v>
      </c>
      <c r="B1793" s="53"/>
      <c r="C1793" s="52"/>
      <c r="D1793" s="50">
        <v>56310</v>
      </c>
      <c r="E1793" s="43">
        <v>4470</v>
      </c>
      <c r="F1793" s="50">
        <v>5000</v>
      </c>
      <c r="G1793" s="50">
        <v>32699</v>
      </c>
      <c r="H1793" s="54">
        <v>7000</v>
      </c>
      <c r="I1793" s="54">
        <v>42000</v>
      </c>
      <c r="J1793" s="54">
        <v>10000</v>
      </c>
      <c r="K1793" s="54">
        <v>10000</v>
      </c>
      <c r="L1793" s="54">
        <v>60000</v>
      </c>
      <c r="M1793" s="54">
        <v>10000</v>
      </c>
      <c r="N1793" s="54">
        <v>51000</v>
      </c>
      <c r="O1793" s="54">
        <v>11000</v>
      </c>
      <c r="P1793" s="54">
        <v>11000</v>
      </c>
      <c r="Q1793" s="54">
        <v>11000</v>
      </c>
      <c r="R1793" s="54">
        <v>11000</v>
      </c>
    </row>
    <row r="1794" spans="1:18" x14ac:dyDescent="0.25">
      <c r="A1794" s="52" t="s">
        <v>1124</v>
      </c>
      <c r="B1794" s="53"/>
      <c r="C1794" s="52"/>
      <c r="D1794" s="50"/>
      <c r="F1794" s="50"/>
      <c r="G1794" s="50">
        <v>0</v>
      </c>
      <c r="H1794" s="50"/>
      <c r="I1794" s="54">
        <v>0</v>
      </c>
      <c r="J1794" s="54">
        <f t="shared" ref="J1794" si="1051">I1794*1.021</f>
        <v>0</v>
      </c>
      <c r="K1794" s="54">
        <f t="shared" ref="K1794" si="1052">J1794*1.023</f>
        <v>0</v>
      </c>
      <c r="L1794" s="54">
        <f t="shared" ref="L1794" si="1053">K1794*1.024</f>
        <v>0</v>
      </c>
      <c r="M1794" s="54">
        <f t="shared" ref="M1794" si="1054">L1794*1.023</f>
        <v>0</v>
      </c>
      <c r="N1794" s="54">
        <f t="shared" ref="N1794" si="1055">M1794*1.021</f>
        <v>0</v>
      </c>
      <c r="O1794" s="54">
        <f t="shared" ref="O1794" si="1056">N1794*1.022</f>
        <v>0</v>
      </c>
      <c r="P1794" s="54">
        <f t="shared" ref="P1794:R1794" si="1057">O1794*1.025</f>
        <v>0</v>
      </c>
      <c r="Q1794" s="54">
        <f t="shared" si="1057"/>
        <v>0</v>
      </c>
      <c r="R1794" s="54">
        <f t="shared" si="1057"/>
        <v>0</v>
      </c>
    </row>
    <row r="1795" spans="1:18" x14ac:dyDescent="0.25">
      <c r="C1795" s="50"/>
      <c r="D1795" s="50"/>
      <c r="E1795" s="50"/>
      <c r="F1795" s="50"/>
      <c r="G1795" s="50"/>
      <c r="H1795" s="50"/>
      <c r="I1795" s="50"/>
      <c r="J1795" s="50"/>
      <c r="K1795" s="50"/>
      <c r="L1795" s="50"/>
      <c r="M1795" s="50"/>
      <c r="N1795" s="50"/>
      <c r="O1795" s="50"/>
      <c r="P1795" s="50"/>
      <c r="Q1795" s="50"/>
      <c r="R1795" s="50"/>
    </row>
    <row r="1796" spans="1:18" x14ac:dyDescent="0.25">
      <c r="A1796" s="41" t="s">
        <v>230</v>
      </c>
      <c r="B1796" s="44"/>
      <c r="C1796" s="51">
        <f t="shared" ref="C1796" si="1058">SUM(C1783:C1795)</f>
        <v>248591</v>
      </c>
      <c r="D1796" s="51">
        <f t="shared" ref="D1796:R1796" si="1059">SUM(D1783:D1795)</f>
        <v>273111</v>
      </c>
      <c r="E1796" s="51">
        <f t="shared" si="1059"/>
        <v>224826</v>
      </c>
      <c r="F1796" s="51">
        <f t="shared" si="1059"/>
        <v>271187</v>
      </c>
      <c r="G1796" s="51">
        <f t="shared" si="1059"/>
        <v>275679</v>
      </c>
      <c r="H1796" s="51">
        <f t="shared" si="1059"/>
        <v>286200</v>
      </c>
      <c r="I1796" s="51">
        <f t="shared" si="1059"/>
        <v>334422.5</v>
      </c>
      <c r="J1796" s="51">
        <f t="shared" si="1059"/>
        <v>309961.72750000004</v>
      </c>
      <c r="K1796" s="51">
        <f t="shared" si="1059"/>
        <v>318130.91097249999</v>
      </c>
      <c r="L1796" s="51">
        <f t="shared" si="1059"/>
        <v>376730.71388899244</v>
      </c>
      <c r="M1796" s="51">
        <f t="shared" si="1059"/>
        <v>335773.46489349147</v>
      </c>
      <c r="N1796" s="51">
        <f t="shared" si="1059"/>
        <v>385343.97106199677</v>
      </c>
      <c r="O1796" s="51">
        <f t="shared" si="1059"/>
        <v>354803.05530878046</v>
      </c>
      <c r="P1796" s="51">
        <f t="shared" si="1059"/>
        <v>365417.96946343285</v>
      </c>
      <c r="Q1796" s="51">
        <f t="shared" si="1059"/>
        <v>375592.59768186492</v>
      </c>
      <c r="R1796" s="51">
        <f t="shared" si="1059"/>
        <v>386180.31407388387</v>
      </c>
    </row>
    <row r="1797" spans="1:18" x14ac:dyDescent="0.25">
      <c r="C1797" s="50"/>
      <c r="D1797" s="50"/>
      <c r="E1797" s="50"/>
      <c r="F1797" s="50"/>
      <c r="G1797" s="50"/>
      <c r="H1797" s="50"/>
      <c r="I1797" s="50"/>
      <c r="J1797" s="50"/>
      <c r="K1797" s="50"/>
      <c r="L1797" s="50"/>
      <c r="M1797" s="50"/>
      <c r="N1797" s="50"/>
      <c r="O1797" s="50"/>
      <c r="P1797" s="50"/>
      <c r="Q1797" s="50"/>
      <c r="R1797" s="50"/>
    </row>
    <row r="1798" spans="1:18" x14ac:dyDescent="0.25">
      <c r="A1798" s="41" t="s">
        <v>251</v>
      </c>
      <c r="B1798" s="44"/>
      <c r="C1798" s="50"/>
      <c r="D1798" s="50"/>
      <c r="E1798" s="50"/>
      <c r="F1798" s="50"/>
      <c r="G1798" s="50"/>
      <c r="H1798" s="50"/>
      <c r="I1798" s="50"/>
      <c r="J1798" s="50"/>
      <c r="K1798" s="50"/>
      <c r="L1798" s="50"/>
      <c r="M1798" s="50"/>
      <c r="N1798" s="50"/>
      <c r="O1798" s="50"/>
      <c r="P1798" s="50"/>
      <c r="Q1798" s="50"/>
      <c r="R1798" s="50"/>
    </row>
    <row r="1799" spans="1:18" x14ac:dyDescent="0.25">
      <c r="A1799" s="41"/>
      <c r="B1799" s="44"/>
      <c r="C1799" s="50"/>
      <c r="D1799" s="50"/>
      <c r="E1799" s="50"/>
      <c r="F1799" s="50"/>
      <c r="G1799" s="50"/>
      <c r="H1799" s="50"/>
      <c r="I1799" s="50"/>
      <c r="J1799" s="50"/>
      <c r="K1799" s="50"/>
      <c r="L1799" s="50"/>
      <c r="M1799" s="50"/>
      <c r="N1799" s="50"/>
      <c r="O1799" s="50"/>
      <c r="P1799" s="50"/>
      <c r="Q1799" s="50"/>
      <c r="R1799" s="50"/>
    </row>
    <row r="1800" spans="1:18" x14ac:dyDescent="0.25">
      <c r="A1800" s="52" t="s">
        <v>1125</v>
      </c>
      <c r="B1800" s="53"/>
      <c r="C1800" s="50"/>
      <c r="D1800" s="50"/>
      <c r="E1800" s="50"/>
      <c r="F1800" s="50"/>
      <c r="G1800" s="50"/>
      <c r="H1800" s="50"/>
      <c r="I1800" s="50"/>
      <c r="J1800" s="50"/>
      <c r="K1800" s="50"/>
      <c r="L1800" s="50"/>
      <c r="M1800" s="50"/>
      <c r="N1800" s="50"/>
      <c r="O1800" s="50"/>
      <c r="P1800" s="50"/>
      <c r="Q1800" s="50"/>
      <c r="R1800" s="50"/>
    </row>
    <row r="1801" spans="1:18" x14ac:dyDescent="0.25">
      <c r="A1801" s="52" t="s">
        <v>1126</v>
      </c>
      <c r="B1801" s="53"/>
      <c r="C1801" s="50">
        <v>26498.09</v>
      </c>
      <c r="D1801" s="50">
        <v>104868</v>
      </c>
      <c r="E1801" s="50">
        <v>63549</v>
      </c>
      <c r="F1801" s="43">
        <v>86273</v>
      </c>
      <c r="G1801" s="50">
        <v>91205</v>
      </c>
      <c r="H1801" s="50">
        <v>134490</v>
      </c>
      <c r="I1801" s="50">
        <v>9468</v>
      </c>
      <c r="J1801" s="50">
        <v>114203</v>
      </c>
      <c r="K1801" s="50">
        <v>105342</v>
      </c>
      <c r="L1801" s="50">
        <v>92416</v>
      </c>
      <c r="M1801" s="50">
        <v>94500</v>
      </c>
      <c r="N1801" s="50">
        <v>136336</v>
      </c>
      <c r="O1801" s="50">
        <v>35578</v>
      </c>
      <c r="P1801" s="43">
        <v>125858</v>
      </c>
      <c r="Q1801" s="43">
        <v>130673</v>
      </c>
      <c r="R1801" s="43">
        <v>130673</v>
      </c>
    </row>
    <row r="1802" spans="1:18" x14ac:dyDescent="0.25">
      <c r="A1802" s="52" t="s">
        <v>1127</v>
      </c>
      <c r="B1802" s="53"/>
      <c r="C1802" s="50">
        <v>40809</v>
      </c>
      <c r="D1802" s="43">
        <v>0</v>
      </c>
      <c r="E1802">
        <v>15279</v>
      </c>
      <c r="F1802">
        <v>0</v>
      </c>
      <c r="G1802" s="43">
        <v>0</v>
      </c>
      <c r="H1802" s="43">
        <v>0</v>
      </c>
      <c r="I1802" s="43">
        <v>0</v>
      </c>
      <c r="J1802" s="43">
        <v>0</v>
      </c>
      <c r="K1802" s="43">
        <v>0</v>
      </c>
      <c r="L1802" s="43">
        <v>0</v>
      </c>
      <c r="M1802" s="43">
        <v>0</v>
      </c>
      <c r="N1802" s="43">
        <v>0</v>
      </c>
      <c r="O1802" s="43">
        <v>0</v>
      </c>
      <c r="P1802" s="43">
        <v>0</v>
      </c>
      <c r="Q1802" s="43">
        <v>0</v>
      </c>
      <c r="R1802" s="43">
        <v>0</v>
      </c>
    </row>
    <row r="1803" spans="1:18" x14ac:dyDescent="0.25">
      <c r="A1803" s="52" t="s">
        <v>1128</v>
      </c>
      <c r="B1803" s="53"/>
      <c r="C1803" s="50"/>
      <c r="D1803" s="50"/>
      <c r="E1803" s="50"/>
      <c r="F1803" s="50"/>
      <c r="G1803" s="50"/>
      <c r="H1803" s="50"/>
      <c r="I1803" s="50"/>
      <c r="J1803" s="50"/>
      <c r="K1803" s="50"/>
      <c r="L1803" s="50"/>
      <c r="M1803" s="50"/>
      <c r="N1803" s="50"/>
      <c r="O1803" s="50"/>
      <c r="P1803" s="50"/>
      <c r="Q1803" s="50"/>
      <c r="R1803" s="50"/>
    </row>
    <row r="1804" spans="1:18" x14ac:dyDescent="0.25">
      <c r="A1804" s="43" t="s">
        <v>1129</v>
      </c>
      <c r="C1804" s="67">
        <v>101681.33</v>
      </c>
      <c r="D1804" s="50">
        <v>88204</v>
      </c>
      <c r="E1804" s="50">
        <v>83539</v>
      </c>
      <c r="F1804" s="43">
        <v>74597</v>
      </c>
      <c r="G1804" s="50">
        <v>48109.36</v>
      </c>
      <c r="H1804" s="50">
        <v>111259.95699428571</v>
      </c>
      <c r="I1804" s="50">
        <v>140926.62366095238</v>
      </c>
      <c r="J1804" s="50">
        <v>139475.30366095237</v>
      </c>
      <c r="K1804" s="50">
        <v>136059.34366095238</v>
      </c>
      <c r="L1804" s="50">
        <v>131561.19238095239</v>
      </c>
      <c r="M1804" s="50">
        <v>91780.952380952367</v>
      </c>
      <c r="N1804" s="50">
        <v>105280.95238095237</v>
      </c>
      <c r="O1804" s="50">
        <v>76214.28571428571</v>
      </c>
      <c r="P1804" s="50">
        <v>106214.28571428571</v>
      </c>
      <c r="Q1804" s="50">
        <v>99381.28571428571</v>
      </c>
      <c r="R1804" s="50">
        <v>99381.28571428571</v>
      </c>
    </row>
    <row r="1805" spans="1:18" x14ac:dyDescent="0.25">
      <c r="A1805" s="52" t="s">
        <v>1130</v>
      </c>
      <c r="B1805" s="53"/>
      <c r="C1805" s="219">
        <v>14825</v>
      </c>
      <c r="D1805" s="219">
        <f>D459+D464+D467+D624+D627+D763+D989+D995</f>
        <v>15116</v>
      </c>
      <c r="E1805" s="219">
        <f>E459+E464+E467+E624+E627+E763+E989+E995</f>
        <v>16550</v>
      </c>
      <c r="F1805" s="220">
        <v>19449</v>
      </c>
      <c r="G1805" s="219">
        <v>18467</v>
      </c>
      <c r="H1805" s="219">
        <v>19910</v>
      </c>
      <c r="I1805" s="219">
        <v>20510</v>
      </c>
      <c r="J1805" s="219">
        <v>21000</v>
      </c>
      <c r="K1805" s="219">
        <v>21510</v>
      </c>
      <c r="L1805" s="219">
        <v>21990</v>
      </c>
      <c r="M1805" s="219">
        <v>22490</v>
      </c>
      <c r="N1805" s="219">
        <v>22990</v>
      </c>
      <c r="O1805" s="219">
        <v>23580</v>
      </c>
      <c r="P1805" s="219">
        <v>24170</v>
      </c>
      <c r="Q1805" s="219">
        <v>24750</v>
      </c>
      <c r="R1805" s="219">
        <v>24750</v>
      </c>
    </row>
    <row r="1806" spans="1:18" x14ac:dyDescent="0.25">
      <c r="A1806" s="52" t="s">
        <v>1131</v>
      </c>
      <c r="B1806" s="53"/>
      <c r="C1806" s="221">
        <v>118961</v>
      </c>
      <c r="D1806" s="221">
        <f t="shared" ref="D1806" si="1060">D2183</f>
        <v>107353</v>
      </c>
      <c r="E1806" s="221">
        <f>E2183</f>
        <v>87976</v>
      </c>
      <c r="F1806" s="222">
        <v>56695</v>
      </c>
      <c r="G1806" s="221">
        <v>53177</v>
      </c>
      <c r="H1806" s="221">
        <v>54040</v>
      </c>
      <c r="I1806" s="221">
        <v>55280</v>
      </c>
      <c r="J1806" s="221">
        <v>54225</v>
      </c>
      <c r="K1806" s="221">
        <v>55365</v>
      </c>
      <c r="L1806" s="221">
        <v>59300</v>
      </c>
      <c r="M1806" s="221">
        <v>60610</v>
      </c>
      <c r="N1806" s="221">
        <v>62000</v>
      </c>
      <c r="O1806" s="221">
        <v>63550</v>
      </c>
      <c r="P1806" s="221">
        <v>65140</v>
      </c>
      <c r="Q1806" s="221">
        <v>66700</v>
      </c>
      <c r="R1806" s="221">
        <v>66700</v>
      </c>
    </row>
    <row r="1807" spans="1:18" x14ac:dyDescent="0.25">
      <c r="A1807" s="52" t="s">
        <v>1132</v>
      </c>
      <c r="B1807" s="53"/>
      <c r="C1807" s="58">
        <v>78038</v>
      </c>
      <c r="D1807" s="98">
        <v>69424</v>
      </c>
      <c r="E1807" s="98">
        <v>83639</v>
      </c>
      <c r="F1807" s="98">
        <v>69292</v>
      </c>
      <c r="G1807" s="98">
        <v>67008</v>
      </c>
      <c r="H1807" s="98">
        <v>74700</v>
      </c>
      <c r="I1807" s="98">
        <v>78900</v>
      </c>
      <c r="J1807" s="98">
        <v>86900</v>
      </c>
      <c r="K1807" s="98">
        <v>89000</v>
      </c>
      <c r="L1807" s="98">
        <v>90800</v>
      </c>
      <c r="M1807" s="98">
        <v>95500</v>
      </c>
      <c r="N1807" s="98">
        <v>97000</v>
      </c>
      <c r="O1807" s="98">
        <v>97600</v>
      </c>
      <c r="P1807" s="98">
        <v>101300</v>
      </c>
      <c r="Q1807" s="98">
        <v>102600</v>
      </c>
      <c r="R1807" s="98">
        <v>102600</v>
      </c>
    </row>
    <row r="1808" spans="1:18" x14ac:dyDescent="0.25">
      <c r="A1808" s="52" t="s">
        <v>1133</v>
      </c>
      <c r="C1808" s="223">
        <v>138603</v>
      </c>
      <c r="D1808" s="223">
        <f>D606+D609+D617+D621+D733+D736+D743+D750+D761+D770+D997+D1579+D1581+D757</f>
        <v>183196</v>
      </c>
      <c r="E1808" s="223">
        <f>E606+E609+E617+E621+E733+E736+E743+E750+E761+E770+E997+E1579+E1581+E757</f>
        <v>202116</v>
      </c>
      <c r="F1808" s="115">
        <v>208163</v>
      </c>
      <c r="G1808" s="223">
        <v>220807</v>
      </c>
      <c r="H1808" s="223">
        <v>218360</v>
      </c>
      <c r="I1808" s="115">
        <v>223350</v>
      </c>
      <c r="J1808" s="115">
        <v>228740</v>
      </c>
      <c r="K1808" s="115">
        <v>234210</v>
      </c>
      <c r="L1808" s="115">
        <v>239670</v>
      </c>
      <c r="M1808" s="115">
        <v>244840</v>
      </c>
      <c r="N1808" s="115">
        <v>250480</v>
      </c>
      <c r="O1808" s="115">
        <v>256700</v>
      </c>
      <c r="P1808" s="115">
        <v>263150</v>
      </c>
      <c r="Q1808" s="115">
        <v>269470</v>
      </c>
      <c r="R1808" s="115">
        <v>269470</v>
      </c>
    </row>
    <row r="1809" spans="1:18" x14ac:dyDescent="0.25">
      <c r="A1809" s="52" t="s">
        <v>1134</v>
      </c>
      <c r="B1809" s="53"/>
      <c r="C1809" s="120">
        <v>315520</v>
      </c>
      <c r="D1809" s="100">
        <f>D460+D462+D465+D468+D605+D608+D616+D620+D625+D628+D732+D735+D751+D756+D758+D764+D769+D987+D990+D993+D996+D999+D1450+D1482+D1578+D2184</f>
        <v>325322</v>
      </c>
      <c r="E1809" s="100">
        <f>E460+E462+E465+E468+E605+E608+E616+E620+E625+E628+E732+E735+E751+E756+E758+E764+E769+E987+E990+E993+E996+E999+E1450+E1482+E1578+E2184</f>
        <v>327725</v>
      </c>
      <c r="F1809" s="100">
        <v>333300</v>
      </c>
      <c r="G1809" s="100">
        <v>339270</v>
      </c>
      <c r="H1809" s="100">
        <f>372760+1390</f>
        <v>374150</v>
      </c>
      <c r="I1809" s="100">
        <f>381350+1420</f>
        <v>382770</v>
      </c>
      <c r="J1809" s="100">
        <f>390500+1450</f>
        <v>391950</v>
      </c>
      <c r="K1809" s="100">
        <f>399870+1480</f>
        <v>401350</v>
      </c>
      <c r="L1809" s="100">
        <f>409070+1520</f>
        <v>410590</v>
      </c>
      <c r="M1809" s="100">
        <f>418060+1550</f>
        <v>419610</v>
      </c>
      <c r="N1809" s="100">
        <f>427690+1580</f>
        <v>429270</v>
      </c>
      <c r="O1809" s="100">
        <f>438370+1620</f>
        <v>439990</v>
      </c>
      <c r="P1809" s="100">
        <f>449340+1670</f>
        <v>451010</v>
      </c>
      <c r="Q1809" s="100">
        <f>460090+1670</f>
        <v>461760</v>
      </c>
      <c r="R1809" s="100">
        <f>460090+1670</f>
        <v>461760</v>
      </c>
    </row>
    <row r="1810" spans="1:18" x14ac:dyDescent="0.25">
      <c r="A1810" s="52" t="s">
        <v>1135</v>
      </c>
      <c r="B1810" s="53"/>
      <c r="C1810" s="224">
        <v>1117509</v>
      </c>
      <c r="D1810" s="224">
        <f>D1459</f>
        <v>1136688</v>
      </c>
      <c r="E1810" s="224">
        <f>E1459</f>
        <v>1359118</v>
      </c>
      <c r="F1810" s="224">
        <v>1365401</v>
      </c>
      <c r="G1810" s="224">
        <v>1374148</v>
      </c>
      <c r="H1810" s="224"/>
      <c r="I1810" s="224"/>
      <c r="J1810" s="224"/>
      <c r="K1810" s="224"/>
      <c r="L1810" s="224"/>
      <c r="M1810" s="224"/>
      <c r="N1810" s="224"/>
      <c r="O1810" s="224"/>
      <c r="P1810" s="224"/>
      <c r="Q1810" s="224"/>
      <c r="R1810" s="224"/>
    </row>
    <row r="1811" spans="1:18" x14ac:dyDescent="0.25">
      <c r="A1811" s="52" t="s">
        <v>916</v>
      </c>
      <c r="B1811" s="53"/>
      <c r="C1811" s="224"/>
      <c r="D1811" s="224"/>
      <c r="E1811" s="224"/>
      <c r="F1811" s="224"/>
      <c r="G1811" s="224"/>
      <c r="H1811" s="199">
        <v>938567</v>
      </c>
      <c r="I1811" s="199">
        <v>946359</v>
      </c>
      <c r="J1811" s="199">
        <v>954915</v>
      </c>
      <c r="K1811" s="199">
        <v>957495</v>
      </c>
      <c r="L1811" s="200">
        <v>963853</v>
      </c>
      <c r="M1811" s="201">
        <f t="shared" ref="M1811" si="1061">L1811*1.022</f>
        <v>985057.76600000006</v>
      </c>
      <c r="N1811" s="201">
        <f t="shared" ref="N1811" si="1062">M1811*1.023</f>
        <v>1007714.094618</v>
      </c>
      <c r="O1811" s="201">
        <f t="shared" ref="O1811:P1811" si="1063">N1811*1.025</f>
        <v>1032906.9469834499</v>
      </c>
      <c r="P1811" s="201">
        <f t="shared" si="1063"/>
        <v>1058729.6206580361</v>
      </c>
      <c r="Q1811" s="201">
        <f t="shared" ref="Q1811:R1811" si="1064">P1811*1.024</f>
        <v>1084139.1315538289</v>
      </c>
      <c r="R1811" s="201">
        <f t="shared" si="1064"/>
        <v>1110158.4707111209</v>
      </c>
    </row>
    <row r="1812" spans="1:18" x14ac:dyDescent="0.25">
      <c r="A1812" s="52" t="s">
        <v>917</v>
      </c>
      <c r="B1812" s="53"/>
      <c r="C1812" s="224"/>
      <c r="D1812" s="224"/>
      <c r="E1812" s="224"/>
      <c r="F1812" s="224"/>
      <c r="G1812" s="224"/>
      <c r="H1812" s="199">
        <v>31500</v>
      </c>
      <c r="I1812" s="199">
        <v>32200</v>
      </c>
      <c r="J1812" s="199">
        <v>33000</v>
      </c>
      <c r="K1812" s="199">
        <v>33800</v>
      </c>
      <c r="L1812" s="200">
        <v>34600</v>
      </c>
      <c r="M1812" s="201">
        <v>35400</v>
      </c>
      <c r="N1812" s="201">
        <v>36200</v>
      </c>
      <c r="O1812" s="201">
        <v>37100</v>
      </c>
      <c r="P1812" s="201">
        <v>38000</v>
      </c>
      <c r="Q1812" s="201">
        <v>38900</v>
      </c>
      <c r="R1812" s="201">
        <v>38900</v>
      </c>
    </row>
    <row r="1813" spans="1:18" x14ac:dyDescent="0.25">
      <c r="A1813" s="52" t="s">
        <v>918</v>
      </c>
      <c r="B1813" s="53"/>
      <c r="C1813" s="224"/>
      <c r="D1813" s="224"/>
      <c r="E1813" s="224"/>
      <c r="F1813" s="224"/>
      <c r="G1813" s="224"/>
      <c r="H1813" s="199">
        <v>273100</v>
      </c>
      <c r="I1813" s="199">
        <v>279400</v>
      </c>
      <c r="J1813" s="199">
        <v>286100</v>
      </c>
      <c r="K1813" s="199">
        <v>293000</v>
      </c>
      <c r="L1813" s="199">
        <v>299700</v>
      </c>
      <c r="M1813" s="199">
        <v>306300</v>
      </c>
      <c r="N1813" s="199">
        <v>313300</v>
      </c>
      <c r="O1813" s="199">
        <v>321100</v>
      </c>
      <c r="P1813" s="199">
        <v>329100</v>
      </c>
      <c r="Q1813" s="199">
        <v>337000</v>
      </c>
      <c r="R1813" s="199">
        <v>337000</v>
      </c>
    </row>
    <row r="1814" spans="1:18" x14ac:dyDescent="0.25">
      <c r="A1814" s="52" t="s">
        <v>919</v>
      </c>
      <c r="B1814" s="53"/>
      <c r="C1814" s="224"/>
      <c r="D1814" s="224"/>
      <c r="E1814" s="224"/>
      <c r="F1814" s="224"/>
      <c r="G1814" s="224"/>
      <c r="H1814" s="199">
        <v>124200</v>
      </c>
      <c r="I1814" s="199">
        <v>127100</v>
      </c>
      <c r="J1814" s="199">
        <v>130200</v>
      </c>
      <c r="K1814" s="199">
        <v>133300</v>
      </c>
      <c r="L1814" s="199">
        <v>136400</v>
      </c>
      <c r="M1814" s="199">
        <v>139400</v>
      </c>
      <c r="N1814" s="199">
        <v>142600</v>
      </c>
      <c r="O1814" s="199">
        <v>146200</v>
      </c>
      <c r="P1814" s="199">
        <v>149900</v>
      </c>
      <c r="Q1814" s="199">
        <v>153500</v>
      </c>
      <c r="R1814" s="199">
        <v>153500</v>
      </c>
    </row>
    <row r="1815" spans="1:18" x14ac:dyDescent="0.25">
      <c r="A1815" s="52" t="s">
        <v>1136</v>
      </c>
      <c r="B1815" s="53"/>
      <c r="C1815" s="224">
        <v>10985</v>
      </c>
      <c r="D1815" s="224">
        <f>D1573</f>
        <v>11046</v>
      </c>
      <c r="E1815" s="224">
        <f>E1573</f>
        <v>9655</v>
      </c>
      <c r="F1815" s="224">
        <v>9945</v>
      </c>
      <c r="G1815" s="224">
        <v>9945</v>
      </c>
      <c r="H1815" s="224">
        <v>10200</v>
      </c>
      <c r="I1815" s="224">
        <v>10400</v>
      </c>
      <c r="J1815" s="224">
        <v>10700</v>
      </c>
      <c r="K1815" s="224">
        <v>10900</v>
      </c>
      <c r="L1815" s="224">
        <v>11200</v>
      </c>
      <c r="M1815" s="224">
        <v>11400</v>
      </c>
      <c r="N1815" s="224">
        <v>11700</v>
      </c>
      <c r="O1815" s="224">
        <v>12000</v>
      </c>
      <c r="P1815" s="224">
        <v>12300</v>
      </c>
      <c r="Q1815" s="224">
        <v>12600</v>
      </c>
      <c r="R1815" s="224">
        <v>12600</v>
      </c>
    </row>
    <row r="1816" spans="1:18" x14ac:dyDescent="0.25">
      <c r="A1816" s="52" t="s">
        <v>1137</v>
      </c>
      <c r="B1816" s="53"/>
      <c r="C1816" s="225">
        <v>77312</v>
      </c>
      <c r="D1816" s="226">
        <f>D1273</f>
        <v>78879</v>
      </c>
      <c r="E1816" s="226">
        <f>E1273</f>
        <v>111853</v>
      </c>
      <c r="F1816" s="226">
        <v>112181</v>
      </c>
      <c r="G1816" s="226">
        <v>112661</v>
      </c>
      <c r="H1816" s="226">
        <v>114900</v>
      </c>
      <c r="I1816" s="226">
        <v>117600</v>
      </c>
      <c r="J1816" s="226">
        <v>120400</v>
      </c>
      <c r="K1816" s="226">
        <v>123300</v>
      </c>
      <c r="L1816" s="226">
        <v>126100</v>
      </c>
      <c r="M1816" s="226">
        <v>128900</v>
      </c>
      <c r="N1816" s="226">
        <v>131900</v>
      </c>
      <c r="O1816" s="226">
        <v>135200</v>
      </c>
      <c r="P1816" s="226">
        <v>138500</v>
      </c>
      <c r="Q1816" s="226">
        <v>141900</v>
      </c>
      <c r="R1816" s="226">
        <v>141900</v>
      </c>
    </row>
    <row r="1817" spans="1:18" x14ac:dyDescent="0.25">
      <c r="A1817" s="52" t="s">
        <v>1138</v>
      </c>
      <c r="B1817" s="53"/>
      <c r="C1817" s="50"/>
      <c r="D1817" s="98"/>
      <c r="E1817" s="98"/>
      <c r="F1817" s="98"/>
      <c r="G1817" s="98"/>
      <c r="H1817" s="57"/>
      <c r="I1817" s="57"/>
      <c r="J1817" s="57"/>
      <c r="K1817" s="57"/>
      <c r="L1817" s="57"/>
      <c r="M1817" s="57"/>
      <c r="N1817" s="57"/>
      <c r="O1817" s="57"/>
      <c r="P1817" s="57"/>
      <c r="Q1817" s="57"/>
      <c r="R1817" s="57"/>
    </row>
    <row r="1818" spans="1:18" x14ac:dyDescent="0.25">
      <c r="A1818" s="43" t="s">
        <v>1139</v>
      </c>
      <c r="C1818" s="67">
        <v>390025</v>
      </c>
      <c r="D1818" s="43">
        <v>400947</v>
      </c>
      <c r="E1818" s="43">
        <v>518042</v>
      </c>
      <c r="F1818" s="43">
        <v>498955</v>
      </c>
      <c r="G1818" s="43">
        <v>440179</v>
      </c>
      <c r="H1818" s="43">
        <v>1045700</v>
      </c>
      <c r="I1818" s="43">
        <v>648300</v>
      </c>
      <c r="J1818" s="43">
        <v>577000</v>
      </c>
      <c r="K1818" s="50">
        <v>576200</v>
      </c>
      <c r="L1818" s="54">
        <f>K1818*1.033</f>
        <v>595214.6</v>
      </c>
      <c r="M1818" s="54">
        <f>L1818*1.032</f>
        <v>614261.46719999996</v>
      </c>
      <c r="N1818" s="54">
        <f>M1818*1.03</f>
        <v>632689.311216</v>
      </c>
      <c r="O1818" s="54">
        <f>N1818*1.032</f>
        <v>652935.36917491199</v>
      </c>
      <c r="P1818" s="54">
        <f>O1818*1.034</f>
        <v>675135.17172685906</v>
      </c>
      <c r="Q1818" s="54">
        <f>P1818*1.034</f>
        <v>698089.76756557229</v>
      </c>
      <c r="R1818" s="54">
        <f>Q1818*1.034</f>
        <v>721824.8196628018</v>
      </c>
    </row>
    <row r="1819" spans="1:18" x14ac:dyDescent="0.25">
      <c r="A1819" s="43" t="s">
        <v>1140</v>
      </c>
      <c r="C1819" s="67">
        <v>0</v>
      </c>
      <c r="D1819" s="67">
        <v>0</v>
      </c>
      <c r="E1819" s="67">
        <v>50332</v>
      </c>
      <c r="F1819" s="67">
        <v>0</v>
      </c>
      <c r="G1819" s="67">
        <v>0</v>
      </c>
      <c r="H1819" s="67">
        <v>143000</v>
      </c>
      <c r="I1819" s="67">
        <v>106000</v>
      </c>
      <c r="J1819" s="67">
        <v>42000</v>
      </c>
      <c r="K1819" s="67">
        <v>19000</v>
      </c>
      <c r="L1819" s="67">
        <v>39800</v>
      </c>
      <c r="M1819" s="67">
        <v>95500</v>
      </c>
      <c r="N1819" s="67">
        <v>101000</v>
      </c>
      <c r="O1819" s="67">
        <v>42000</v>
      </c>
      <c r="P1819" s="67">
        <v>106000</v>
      </c>
      <c r="Q1819" s="67">
        <v>18000</v>
      </c>
      <c r="R1819" s="67">
        <v>18000</v>
      </c>
    </row>
    <row r="1820" spans="1:18" x14ac:dyDescent="0.25">
      <c r="A1820" s="43" t="s">
        <v>1141</v>
      </c>
      <c r="C1820" s="50">
        <v>0</v>
      </c>
      <c r="D1820" s="50">
        <v>0</v>
      </c>
      <c r="E1820" s="50">
        <v>0</v>
      </c>
      <c r="F1820" s="50">
        <v>0</v>
      </c>
      <c r="G1820" s="50">
        <v>0</v>
      </c>
      <c r="H1820" s="50">
        <v>0</v>
      </c>
      <c r="I1820" s="50">
        <v>0</v>
      </c>
      <c r="J1820" s="50">
        <v>0</v>
      </c>
      <c r="K1820" s="50">
        <v>0</v>
      </c>
      <c r="L1820" s="50">
        <v>0</v>
      </c>
      <c r="M1820" s="50">
        <v>0</v>
      </c>
      <c r="N1820" s="50">
        <v>0</v>
      </c>
      <c r="O1820" s="50">
        <v>0</v>
      </c>
      <c r="P1820" s="50">
        <v>0</v>
      </c>
      <c r="Q1820" s="50">
        <v>0</v>
      </c>
      <c r="R1820" s="50">
        <v>0</v>
      </c>
    </row>
    <row r="1821" spans="1:18" x14ac:dyDescent="0.25">
      <c r="A1821" s="52" t="s">
        <v>1142</v>
      </c>
      <c r="C1821" s="52">
        <v>0</v>
      </c>
      <c r="D1821" s="50">
        <v>0</v>
      </c>
      <c r="E1821" s="50">
        <v>0</v>
      </c>
      <c r="F1821" s="50">
        <v>0</v>
      </c>
      <c r="G1821" s="50">
        <v>0</v>
      </c>
      <c r="H1821" s="50">
        <v>0</v>
      </c>
      <c r="I1821" s="50">
        <v>0</v>
      </c>
      <c r="J1821" s="50">
        <v>0</v>
      </c>
      <c r="K1821" s="50">
        <v>0</v>
      </c>
      <c r="L1821" s="50">
        <v>0</v>
      </c>
      <c r="M1821" s="50">
        <v>0</v>
      </c>
      <c r="N1821" s="50">
        <v>0</v>
      </c>
      <c r="O1821" s="50">
        <v>0</v>
      </c>
      <c r="P1821" s="50">
        <v>0</v>
      </c>
      <c r="Q1821" s="50">
        <v>0</v>
      </c>
      <c r="R1821" s="50">
        <v>0</v>
      </c>
    </row>
    <row r="1822" spans="1:18" x14ac:dyDescent="0.25">
      <c r="A1822" s="43" t="s">
        <v>1070</v>
      </c>
      <c r="C1822" s="52">
        <v>0</v>
      </c>
      <c r="D1822" s="50">
        <v>0</v>
      </c>
      <c r="E1822" s="50">
        <v>0</v>
      </c>
      <c r="F1822" s="50">
        <v>0</v>
      </c>
      <c r="G1822" s="50">
        <v>0</v>
      </c>
      <c r="H1822" s="50">
        <v>0</v>
      </c>
      <c r="I1822" s="50">
        <v>0</v>
      </c>
      <c r="J1822" s="54">
        <v>91500</v>
      </c>
      <c r="K1822" s="50">
        <v>0</v>
      </c>
      <c r="L1822" s="50">
        <v>0</v>
      </c>
      <c r="M1822" s="50">
        <v>0</v>
      </c>
      <c r="N1822" s="50">
        <v>100000</v>
      </c>
      <c r="O1822" s="50">
        <v>0</v>
      </c>
      <c r="P1822" s="50">
        <v>0</v>
      </c>
      <c r="Q1822" s="50">
        <v>0</v>
      </c>
      <c r="R1822" s="50">
        <v>0</v>
      </c>
    </row>
    <row r="1823" spans="1:18" x14ac:dyDescent="0.25">
      <c r="A1823" s="43" t="s">
        <v>1143</v>
      </c>
      <c r="C1823" s="59">
        <v>128870</v>
      </c>
      <c r="D1823" s="50">
        <v>37164</v>
      </c>
      <c r="E1823" s="50">
        <v>3057</v>
      </c>
      <c r="F1823" s="50">
        <v>66152</v>
      </c>
      <c r="G1823" s="50">
        <v>0</v>
      </c>
      <c r="H1823" s="50">
        <v>0</v>
      </c>
      <c r="I1823" s="54">
        <v>0</v>
      </c>
      <c r="J1823" s="50">
        <v>82835.959999999963</v>
      </c>
      <c r="K1823" s="50">
        <v>104090.87475999992</v>
      </c>
      <c r="L1823" s="54">
        <f>K1823*1.033</f>
        <v>107525.87362707991</v>
      </c>
      <c r="M1823" s="54">
        <f>L1823*1.032</f>
        <v>110966.70158314647</v>
      </c>
      <c r="N1823" s="54">
        <f>M1823*1.03</f>
        <v>114295.70263064087</v>
      </c>
      <c r="O1823" s="54">
        <f>N1823*1.032</f>
        <v>117953.16511482137</v>
      </c>
      <c r="P1823" s="54">
        <f>O1823*1.034</f>
        <v>121963.5727287253</v>
      </c>
      <c r="Q1823" s="54">
        <f>P1823*1.034</f>
        <v>126110.33420150196</v>
      </c>
      <c r="R1823" s="54">
        <f>Q1823*1.034</f>
        <v>130398.08556435302</v>
      </c>
    </row>
    <row r="1824" spans="1:18" x14ac:dyDescent="0.25">
      <c r="A1824" s="43" t="s">
        <v>1144</v>
      </c>
      <c r="C1824" s="50">
        <v>0</v>
      </c>
      <c r="D1824" s="50">
        <v>0</v>
      </c>
      <c r="E1824" s="50">
        <v>0</v>
      </c>
      <c r="F1824" s="50">
        <v>0</v>
      </c>
      <c r="G1824" s="50">
        <v>0</v>
      </c>
      <c r="H1824" s="50">
        <v>0</v>
      </c>
      <c r="I1824" s="50">
        <v>0</v>
      </c>
      <c r="J1824" s="50">
        <v>0</v>
      </c>
      <c r="K1824" s="50">
        <v>0</v>
      </c>
      <c r="L1824" s="50">
        <v>0</v>
      </c>
      <c r="M1824" s="50">
        <v>0</v>
      </c>
      <c r="N1824" s="50">
        <v>0</v>
      </c>
      <c r="O1824" s="50">
        <v>0</v>
      </c>
      <c r="P1824" s="50">
        <v>0</v>
      </c>
      <c r="Q1824" s="50">
        <v>0</v>
      </c>
      <c r="R1824" s="50">
        <v>0</v>
      </c>
    </row>
    <row r="1825" spans="1:18" x14ac:dyDescent="0.25">
      <c r="A1825" s="43" t="s">
        <v>1145</v>
      </c>
      <c r="C1825" s="52">
        <v>0</v>
      </c>
      <c r="D1825" s="50"/>
      <c r="E1825" s="50"/>
      <c r="F1825" s="50"/>
      <c r="G1825" s="50"/>
      <c r="H1825" s="50"/>
      <c r="I1825" s="50"/>
      <c r="J1825" s="50"/>
      <c r="K1825" s="50"/>
      <c r="L1825" s="50"/>
      <c r="M1825" s="50"/>
      <c r="N1825" s="50"/>
      <c r="O1825" s="50"/>
      <c r="P1825" s="50"/>
      <c r="Q1825" s="50"/>
      <c r="R1825" s="50"/>
    </row>
    <row r="1826" spans="1:18" x14ac:dyDescent="0.25">
      <c r="A1826" s="52" t="s">
        <v>1146</v>
      </c>
      <c r="C1826" s="52"/>
      <c r="D1826" s="50"/>
      <c r="E1826" s="50"/>
      <c r="F1826" s="50"/>
      <c r="G1826" s="50"/>
      <c r="H1826" s="50"/>
      <c r="I1826" s="50"/>
      <c r="J1826" s="50"/>
      <c r="K1826" s="50"/>
      <c r="L1826" s="50"/>
      <c r="M1826" s="50"/>
      <c r="N1826" s="50"/>
      <c r="O1826" s="50"/>
      <c r="P1826" s="50"/>
      <c r="Q1826" s="50"/>
      <c r="R1826" s="50"/>
    </row>
    <row r="1827" spans="1:18" x14ac:dyDescent="0.25">
      <c r="A1827" s="52" t="s">
        <v>901</v>
      </c>
      <c r="C1827" s="52"/>
      <c r="D1827" s="50">
        <v>50000</v>
      </c>
      <c r="E1827" s="50"/>
      <c r="F1827" s="50"/>
      <c r="G1827" s="50"/>
      <c r="H1827" s="50"/>
      <c r="I1827" s="50"/>
      <c r="J1827" s="50"/>
      <c r="K1827" s="50"/>
      <c r="L1827" s="50"/>
      <c r="M1827" s="50"/>
      <c r="N1827" s="50"/>
      <c r="O1827" s="50"/>
      <c r="P1827" s="50"/>
      <c r="Q1827" s="50"/>
      <c r="R1827" s="50"/>
    </row>
    <row r="1828" spans="1:18" x14ac:dyDescent="0.25">
      <c r="A1828" s="52" t="s">
        <v>1147</v>
      </c>
      <c r="B1828" s="53"/>
      <c r="C1828" s="50"/>
      <c r="D1828" s="50"/>
      <c r="E1828" s="50"/>
      <c r="F1828" s="50"/>
      <c r="G1828" s="50"/>
      <c r="H1828" s="50"/>
      <c r="I1828" s="50"/>
      <c r="J1828" s="50"/>
      <c r="K1828" s="50"/>
      <c r="L1828" s="50"/>
      <c r="M1828" s="50"/>
      <c r="N1828" s="50"/>
      <c r="O1828" s="50"/>
      <c r="P1828" s="50"/>
      <c r="Q1828" s="50"/>
      <c r="R1828" s="50"/>
    </row>
    <row r="1829" spans="1:18" x14ac:dyDescent="0.25">
      <c r="A1829" s="52" t="s">
        <v>1148</v>
      </c>
      <c r="B1829" s="53"/>
      <c r="C1829" s="50"/>
      <c r="D1829" s="50">
        <f t="shared" ref="D1829" si="1065">764000-319200</f>
        <v>444800</v>
      </c>
      <c r="E1829" s="50"/>
      <c r="F1829" s="50"/>
      <c r="G1829" s="50"/>
      <c r="H1829" s="50"/>
      <c r="I1829" s="50">
        <v>0</v>
      </c>
      <c r="J1829" s="50"/>
      <c r="K1829" s="50"/>
      <c r="L1829" s="50"/>
      <c r="M1829" s="50"/>
      <c r="N1829" s="50"/>
      <c r="O1829" s="50"/>
      <c r="P1829" s="50"/>
      <c r="Q1829" s="50"/>
      <c r="R1829" s="50"/>
    </row>
    <row r="1830" spans="1:18" s="43" customFormat="1" x14ac:dyDescent="0.25">
      <c r="A1830" s="59" t="s">
        <v>1149</v>
      </c>
      <c r="B1830" s="66"/>
      <c r="C1830" s="50">
        <v>0</v>
      </c>
      <c r="D1830" s="50">
        <v>0</v>
      </c>
      <c r="E1830" s="50">
        <v>0</v>
      </c>
      <c r="F1830" s="50">
        <v>0</v>
      </c>
      <c r="G1830" s="50">
        <v>0</v>
      </c>
      <c r="H1830" s="50">
        <v>0</v>
      </c>
      <c r="I1830" s="50">
        <v>0</v>
      </c>
      <c r="J1830" s="50">
        <v>0</v>
      </c>
      <c r="K1830" s="50">
        <v>0</v>
      </c>
      <c r="L1830" s="50">
        <v>0</v>
      </c>
      <c r="M1830" s="50">
        <v>0</v>
      </c>
      <c r="N1830" s="50">
        <v>0</v>
      </c>
      <c r="O1830" s="50">
        <v>0</v>
      </c>
      <c r="P1830" s="50">
        <v>0</v>
      </c>
      <c r="Q1830" s="50">
        <v>0</v>
      </c>
      <c r="R1830" s="50">
        <v>0</v>
      </c>
    </row>
    <row r="1831" spans="1:18" s="43" customFormat="1" x14ac:dyDescent="0.25">
      <c r="A1831" s="52" t="s">
        <v>1150</v>
      </c>
      <c r="B1831" s="53"/>
      <c r="C1831" s="50">
        <v>0</v>
      </c>
      <c r="D1831" s="50">
        <v>0</v>
      </c>
      <c r="E1831" s="50">
        <v>0</v>
      </c>
      <c r="F1831" s="50">
        <v>0</v>
      </c>
      <c r="G1831" s="50">
        <v>0</v>
      </c>
      <c r="H1831" s="50">
        <v>0</v>
      </c>
      <c r="I1831" s="50">
        <v>0</v>
      </c>
      <c r="J1831" s="50">
        <v>0</v>
      </c>
      <c r="K1831" s="50">
        <v>0</v>
      </c>
      <c r="L1831" s="50">
        <v>0</v>
      </c>
      <c r="M1831" s="50">
        <v>0</v>
      </c>
      <c r="N1831" s="50">
        <v>0</v>
      </c>
      <c r="O1831" s="50">
        <v>0</v>
      </c>
      <c r="P1831" s="50">
        <v>0</v>
      </c>
      <c r="Q1831" s="50">
        <v>0</v>
      </c>
      <c r="R1831" s="50">
        <v>0</v>
      </c>
    </row>
    <row r="1832" spans="1:18" s="43" customFormat="1" x14ac:dyDescent="0.25">
      <c r="A1832" s="52" t="s">
        <v>1151</v>
      </c>
      <c r="B1832" s="53"/>
      <c r="C1832" s="50">
        <v>0</v>
      </c>
      <c r="D1832" s="50">
        <v>0</v>
      </c>
      <c r="E1832" s="50">
        <v>0</v>
      </c>
      <c r="F1832" s="50">
        <v>0</v>
      </c>
      <c r="G1832" s="50">
        <v>0</v>
      </c>
      <c r="H1832" s="50">
        <v>0</v>
      </c>
      <c r="I1832" s="50">
        <v>0</v>
      </c>
      <c r="J1832" s="50">
        <v>0</v>
      </c>
      <c r="K1832" s="50">
        <v>0</v>
      </c>
      <c r="L1832" s="50">
        <v>0</v>
      </c>
      <c r="M1832" s="50">
        <v>0</v>
      </c>
      <c r="N1832" s="50">
        <v>0</v>
      </c>
      <c r="O1832" s="50">
        <v>0</v>
      </c>
      <c r="P1832" s="50">
        <v>0</v>
      </c>
      <c r="Q1832" s="50">
        <v>0</v>
      </c>
      <c r="R1832" s="50">
        <v>0</v>
      </c>
    </row>
    <row r="1833" spans="1:18" s="43" customFormat="1" x14ac:dyDescent="0.25">
      <c r="A1833" s="227" t="s">
        <v>1152</v>
      </c>
      <c r="B1833" s="42"/>
      <c r="C1833" s="50"/>
      <c r="D1833" s="50"/>
      <c r="E1833" s="50"/>
      <c r="F1833" s="50"/>
      <c r="G1833" s="50"/>
      <c r="H1833" s="50"/>
      <c r="I1833" s="50"/>
      <c r="J1833" s="50"/>
      <c r="K1833" s="50"/>
      <c r="L1833" s="50"/>
      <c r="M1833" s="50"/>
      <c r="N1833" s="50"/>
      <c r="O1833" s="50"/>
      <c r="P1833" s="50"/>
      <c r="Q1833" s="50"/>
      <c r="R1833" s="50"/>
    </row>
    <row r="1834" spans="1:18" s="43" customFormat="1" x14ac:dyDescent="0.25">
      <c r="A1834" s="52" t="s">
        <v>732</v>
      </c>
      <c r="B1834" s="42"/>
      <c r="C1834" s="50">
        <v>0</v>
      </c>
      <c r="D1834" s="50">
        <v>0</v>
      </c>
      <c r="E1834" s="50">
        <v>0</v>
      </c>
      <c r="F1834" s="50">
        <v>0</v>
      </c>
      <c r="G1834" s="50">
        <v>0</v>
      </c>
      <c r="H1834" s="50">
        <v>0</v>
      </c>
      <c r="I1834" s="50">
        <v>0</v>
      </c>
      <c r="J1834" s="50">
        <v>0</v>
      </c>
      <c r="K1834" s="50">
        <v>0</v>
      </c>
      <c r="L1834" s="50">
        <v>0</v>
      </c>
      <c r="M1834" s="50">
        <v>0</v>
      </c>
      <c r="N1834" s="50">
        <v>0</v>
      </c>
      <c r="O1834" s="50">
        <v>0</v>
      </c>
      <c r="P1834" s="50">
        <v>0</v>
      </c>
      <c r="Q1834" s="50">
        <v>0</v>
      </c>
      <c r="R1834" s="50">
        <v>0</v>
      </c>
    </row>
    <row r="1835" spans="1:18" s="43" customFormat="1" x14ac:dyDescent="0.25">
      <c r="A1835" s="59" t="s">
        <v>1153</v>
      </c>
      <c r="B1835" s="42"/>
      <c r="C1835" s="50">
        <v>0</v>
      </c>
      <c r="D1835" s="50">
        <v>0</v>
      </c>
      <c r="E1835" s="50">
        <v>0</v>
      </c>
      <c r="F1835" s="50">
        <v>0</v>
      </c>
      <c r="G1835" s="50">
        <v>0</v>
      </c>
      <c r="H1835" s="50">
        <v>0</v>
      </c>
      <c r="I1835" s="50">
        <v>0</v>
      </c>
      <c r="J1835" s="50">
        <v>0</v>
      </c>
      <c r="K1835" s="50">
        <v>0</v>
      </c>
      <c r="L1835" s="50">
        <v>0</v>
      </c>
      <c r="M1835" s="50">
        <v>0</v>
      </c>
      <c r="N1835" s="50">
        <v>0</v>
      </c>
      <c r="O1835" s="50">
        <v>0</v>
      </c>
      <c r="P1835" s="50">
        <v>0</v>
      </c>
      <c r="Q1835" s="50">
        <v>0</v>
      </c>
      <c r="R1835" s="50">
        <v>0</v>
      </c>
    </row>
    <row r="1836" spans="1:18" s="43" customFormat="1" x14ac:dyDescent="0.25">
      <c r="A1836" s="59" t="s">
        <v>1154</v>
      </c>
      <c r="B1836" s="42"/>
      <c r="C1836" s="50">
        <v>0</v>
      </c>
      <c r="D1836" s="50">
        <v>0</v>
      </c>
      <c r="E1836" s="50">
        <v>0</v>
      </c>
      <c r="F1836" s="50">
        <v>0</v>
      </c>
      <c r="G1836" s="50">
        <v>0</v>
      </c>
      <c r="H1836" s="50">
        <v>0</v>
      </c>
      <c r="I1836" s="50">
        <v>0</v>
      </c>
      <c r="J1836" s="50">
        <v>0</v>
      </c>
      <c r="K1836" s="50">
        <v>0</v>
      </c>
      <c r="L1836" s="50">
        <v>0</v>
      </c>
      <c r="M1836" s="50">
        <v>0</v>
      </c>
      <c r="N1836" s="50">
        <v>0</v>
      </c>
      <c r="O1836" s="50">
        <v>0</v>
      </c>
      <c r="P1836" s="50">
        <v>0</v>
      </c>
      <c r="Q1836" s="50">
        <v>0</v>
      </c>
      <c r="R1836" s="50">
        <v>0</v>
      </c>
    </row>
    <row r="1837" spans="1:18" s="43" customFormat="1" x14ac:dyDescent="0.25">
      <c r="A1837" s="59" t="s">
        <v>1155</v>
      </c>
      <c r="B1837" s="42"/>
      <c r="C1837" s="50">
        <v>0</v>
      </c>
      <c r="D1837" s="50">
        <v>0</v>
      </c>
      <c r="E1837" s="50">
        <v>0</v>
      </c>
      <c r="F1837" s="50">
        <v>0</v>
      </c>
      <c r="G1837" s="50">
        <v>0</v>
      </c>
      <c r="H1837" s="50">
        <v>0</v>
      </c>
      <c r="I1837" s="50">
        <v>0</v>
      </c>
      <c r="J1837" s="50">
        <v>0</v>
      </c>
      <c r="K1837" s="50">
        <v>0</v>
      </c>
      <c r="L1837" s="50">
        <v>0</v>
      </c>
      <c r="M1837" s="50">
        <v>0</v>
      </c>
      <c r="N1837" s="50">
        <v>0</v>
      </c>
      <c r="O1837" s="50">
        <v>0</v>
      </c>
      <c r="P1837" s="50">
        <v>0</v>
      </c>
      <c r="Q1837" s="50">
        <v>0</v>
      </c>
      <c r="R1837" s="50">
        <v>0</v>
      </c>
    </row>
    <row r="1838" spans="1:18" s="43" customFormat="1" x14ac:dyDescent="0.25">
      <c r="A1838" s="227" t="s">
        <v>1156</v>
      </c>
      <c r="B1838" s="42"/>
      <c r="C1838" s="50"/>
      <c r="D1838" s="50"/>
      <c r="E1838" s="50"/>
      <c r="F1838" s="50"/>
      <c r="G1838" s="50"/>
      <c r="H1838" s="50"/>
      <c r="I1838" s="50"/>
      <c r="J1838" s="50"/>
      <c r="K1838" s="50"/>
      <c r="L1838" s="50"/>
      <c r="M1838" s="50"/>
      <c r="N1838" s="50"/>
      <c r="O1838" s="50"/>
      <c r="P1838" s="50"/>
      <c r="Q1838" s="50"/>
      <c r="R1838" s="50"/>
    </row>
    <row r="1839" spans="1:18" s="43" customFormat="1" x14ac:dyDescent="0.25">
      <c r="A1839" s="52" t="s">
        <v>1157</v>
      </c>
      <c r="B1839" s="42"/>
      <c r="C1839" s="50"/>
      <c r="D1839" s="50"/>
      <c r="E1839" s="50"/>
      <c r="F1839" s="50"/>
      <c r="G1839" s="50"/>
      <c r="H1839" s="50"/>
      <c r="I1839" s="50"/>
      <c r="J1839" s="50"/>
      <c r="K1839" s="50"/>
      <c r="L1839" s="50"/>
      <c r="M1839" s="50"/>
      <c r="N1839" s="50"/>
      <c r="O1839" s="50"/>
      <c r="P1839" s="50"/>
      <c r="Q1839" s="50"/>
      <c r="R1839" s="50"/>
    </row>
    <row r="1840" spans="1:18" s="43" customFormat="1" x14ac:dyDescent="0.25">
      <c r="A1840" s="52" t="s">
        <v>1158</v>
      </c>
      <c r="B1840" s="42"/>
      <c r="C1840" s="50"/>
      <c r="D1840" s="50"/>
      <c r="E1840" s="50"/>
      <c r="F1840" s="50"/>
      <c r="G1840" s="50"/>
      <c r="H1840" s="50"/>
      <c r="I1840" s="50"/>
      <c r="J1840" s="50"/>
      <c r="K1840" s="50"/>
      <c r="L1840" s="50"/>
      <c r="M1840" s="50"/>
      <c r="N1840" s="50"/>
      <c r="O1840" s="50"/>
      <c r="P1840" s="50"/>
      <c r="Q1840" s="50"/>
      <c r="R1840" s="50"/>
    </row>
    <row r="1841" spans="1:18" s="43" customFormat="1" x14ac:dyDescent="0.25">
      <c r="A1841" s="52" t="s">
        <v>1159</v>
      </c>
      <c r="B1841" s="42"/>
      <c r="C1841" s="50">
        <v>0</v>
      </c>
      <c r="D1841" s="50">
        <v>0</v>
      </c>
      <c r="E1841" s="50">
        <v>0</v>
      </c>
      <c r="F1841" s="50">
        <v>0</v>
      </c>
      <c r="G1841" s="50">
        <v>0</v>
      </c>
      <c r="H1841" s="50">
        <v>0</v>
      </c>
      <c r="I1841" s="50">
        <v>0</v>
      </c>
      <c r="J1841" s="50">
        <v>0</v>
      </c>
      <c r="K1841" s="50">
        <v>0</v>
      </c>
      <c r="L1841" s="50">
        <v>0</v>
      </c>
      <c r="M1841" s="50">
        <v>0</v>
      </c>
      <c r="N1841" s="50">
        <v>0</v>
      </c>
      <c r="O1841" s="50">
        <v>0</v>
      </c>
      <c r="P1841" s="50">
        <v>0</v>
      </c>
      <c r="Q1841" s="50">
        <v>0</v>
      </c>
      <c r="R1841" s="50">
        <v>0</v>
      </c>
    </row>
    <row r="1842" spans="1:18" s="43" customFormat="1" x14ac:dyDescent="0.25">
      <c r="A1842" s="52" t="s">
        <v>1160</v>
      </c>
      <c r="B1842" s="42"/>
      <c r="C1842" s="50">
        <v>0</v>
      </c>
      <c r="D1842" s="50"/>
      <c r="E1842" s="50"/>
      <c r="F1842" s="50"/>
      <c r="G1842" s="50"/>
      <c r="H1842" s="50"/>
      <c r="I1842" s="50"/>
      <c r="J1842" s="50"/>
      <c r="K1842" s="50"/>
      <c r="L1842" s="50"/>
      <c r="M1842" s="50"/>
      <c r="N1842" s="50"/>
      <c r="O1842" s="50"/>
      <c r="P1842" s="50"/>
      <c r="Q1842" s="50"/>
      <c r="R1842" s="50"/>
    </row>
    <row r="1843" spans="1:18" s="43" customFormat="1" x14ac:dyDescent="0.25">
      <c r="A1843" s="52" t="s">
        <v>1161</v>
      </c>
      <c r="B1843" s="42"/>
      <c r="C1843" s="50">
        <v>0</v>
      </c>
      <c r="D1843" s="50"/>
      <c r="E1843" s="50"/>
      <c r="F1843" s="50"/>
      <c r="G1843" s="50"/>
      <c r="H1843" s="50"/>
      <c r="I1843" s="50"/>
      <c r="J1843" s="50"/>
      <c r="K1843" s="50"/>
      <c r="L1843" s="50"/>
      <c r="M1843" s="50"/>
      <c r="N1843" s="50"/>
      <c r="O1843" s="50"/>
      <c r="P1843" s="50"/>
      <c r="Q1843" s="50"/>
      <c r="R1843" s="50"/>
    </row>
    <row r="1844" spans="1:18" s="43" customFormat="1" x14ac:dyDescent="0.25">
      <c r="A1844" s="52" t="s">
        <v>1090</v>
      </c>
      <c r="B1844" s="42"/>
      <c r="C1844" s="50">
        <v>0</v>
      </c>
      <c r="D1844" s="50"/>
      <c r="E1844" s="50"/>
      <c r="F1844" s="50"/>
      <c r="G1844" s="50"/>
      <c r="H1844" s="50"/>
      <c r="I1844" s="50"/>
      <c r="J1844" s="50"/>
      <c r="K1844" s="50"/>
      <c r="L1844" s="50"/>
      <c r="M1844" s="50"/>
      <c r="N1844" s="50"/>
      <c r="O1844" s="50"/>
      <c r="P1844" s="50"/>
      <c r="Q1844" s="50"/>
      <c r="R1844" s="50"/>
    </row>
    <row r="1845" spans="1:18" s="43" customFormat="1" x14ac:dyDescent="0.25">
      <c r="A1845" s="228" t="s">
        <v>1162</v>
      </c>
      <c r="B1845" s="42"/>
      <c r="C1845" s="50"/>
      <c r="D1845" s="50"/>
      <c r="E1845" s="50"/>
      <c r="F1845" s="50"/>
      <c r="G1845" s="50"/>
      <c r="H1845" s="50"/>
      <c r="I1845" s="50"/>
      <c r="J1845" s="50"/>
      <c r="K1845" s="50"/>
      <c r="L1845" s="50"/>
      <c r="M1845" s="50"/>
      <c r="N1845" s="50"/>
      <c r="O1845" s="50"/>
      <c r="P1845" s="50"/>
      <c r="Q1845" s="50"/>
      <c r="R1845" s="50"/>
    </row>
    <row r="1846" spans="1:18" s="43" customFormat="1" x14ac:dyDescent="0.25">
      <c r="A1846" s="43" t="s">
        <v>462</v>
      </c>
      <c r="B1846" s="42"/>
      <c r="C1846" s="50"/>
      <c r="D1846" s="50">
        <v>0</v>
      </c>
      <c r="E1846" s="50">
        <v>0</v>
      </c>
      <c r="F1846" s="50">
        <v>0</v>
      </c>
      <c r="G1846" s="50">
        <v>0</v>
      </c>
      <c r="H1846" s="50">
        <v>0</v>
      </c>
      <c r="I1846" s="50">
        <v>0</v>
      </c>
      <c r="J1846" s="50">
        <v>0</v>
      </c>
      <c r="K1846" s="50">
        <v>0</v>
      </c>
      <c r="L1846" s="50">
        <v>0</v>
      </c>
      <c r="M1846" s="50">
        <v>0</v>
      </c>
      <c r="N1846" s="50">
        <v>0</v>
      </c>
      <c r="O1846" s="50">
        <v>0</v>
      </c>
      <c r="P1846" s="50">
        <v>0</v>
      </c>
      <c r="Q1846" s="50">
        <v>0</v>
      </c>
      <c r="R1846" s="50">
        <v>0</v>
      </c>
    </row>
    <row r="1847" spans="1:18" s="43" customFormat="1" x14ac:dyDescent="0.25">
      <c r="A1847" s="227" t="s">
        <v>1163</v>
      </c>
      <c r="B1847" s="42"/>
      <c r="C1847" s="50"/>
      <c r="D1847" s="50"/>
      <c r="E1847" s="50"/>
      <c r="F1847" s="50"/>
      <c r="G1847" s="50"/>
      <c r="H1847" s="50"/>
      <c r="I1847" s="50"/>
      <c r="J1847" s="50"/>
      <c r="K1847" s="50"/>
      <c r="L1847" s="50"/>
      <c r="M1847" s="50"/>
      <c r="N1847" s="50"/>
      <c r="O1847" s="50"/>
      <c r="P1847" s="50"/>
      <c r="Q1847" s="50"/>
      <c r="R1847" s="50"/>
    </row>
    <row r="1848" spans="1:18" s="43" customFormat="1" x14ac:dyDescent="0.25">
      <c r="A1848" s="52" t="s">
        <v>1164</v>
      </c>
      <c r="B1848" s="42"/>
      <c r="C1848" s="50"/>
      <c r="D1848" s="50"/>
      <c r="E1848" s="50"/>
      <c r="F1848" s="50"/>
      <c r="G1848" s="50"/>
      <c r="H1848" s="50"/>
      <c r="I1848" s="50"/>
      <c r="J1848" s="50"/>
      <c r="K1848" s="50"/>
      <c r="L1848" s="50"/>
      <c r="M1848" s="50"/>
      <c r="N1848" s="50"/>
      <c r="O1848" s="50"/>
      <c r="P1848" s="50"/>
      <c r="Q1848" s="50"/>
      <c r="R1848" s="50"/>
    </row>
    <row r="1849" spans="1:18" s="43" customFormat="1" x14ac:dyDescent="0.25">
      <c r="A1849" s="52" t="s">
        <v>1165</v>
      </c>
      <c r="B1849" s="42"/>
      <c r="C1849" s="52"/>
      <c r="D1849" s="50"/>
      <c r="E1849" s="50"/>
      <c r="F1849" s="50"/>
      <c r="G1849" s="50"/>
      <c r="H1849" s="50"/>
      <c r="I1849" s="50"/>
      <c r="J1849" s="50"/>
      <c r="K1849" s="50"/>
      <c r="L1849" s="50"/>
      <c r="M1849" s="50"/>
      <c r="N1849" s="50"/>
      <c r="O1849" s="50"/>
      <c r="P1849" s="50"/>
      <c r="Q1849" s="50"/>
      <c r="R1849" s="50"/>
    </row>
    <row r="1850" spans="1:18" s="43" customFormat="1" x14ac:dyDescent="0.25">
      <c r="A1850" s="52" t="s">
        <v>1166</v>
      </c>
      <c r="B1850" s="42"/>
      <c r="C1850" s="50"/>
      <c r="D1850" s="50"/>
      <c r="E1850" s="50"/>
      <c r="F1850" s="50"/>
      <c r="G1850" s="50"/>
      <c r="H1850" s="50"/>
      <c r="I1850" s="50"/>
      <c r="J1850" s="50"/>
      <c r="K1850" s="50"/>
      <c r="L1850" s="50"/>
      <c r="M1850" s="50"/>
      <c r="N1850" s="50"/>
      <c r="O1850" s="50"/>
      <c r="P1850" s="50"/>
      <c r="Q1850" s="50"/>
      <c r="R1850" s="50"/>
    </row>
    <row r="1851" spans="1:18" s="43" customFormat="1" x14ac:dyDescent="0.25">
      <c r="A1851" s="52" t="s">
        <v>1167</v>
      </c>
      <c r="B1851" s="42"/>
      <c r="C1851" s="50"/>
      <c r="D1851" s="50"/>
      <c r="E1851" s="50"/>
      <c r="F1851" s="50"/>
      <c r="G1851" s="50"/>
      <c r="H1851" s="50"/>
      <c r="I1851" s="50"/>
      <c r="J1851" s="50"/>
      <c r="K1851" s="50"/>
      <c r="L1851" s="50"/>
      <c r="M1851" s="50"/>
      <c r="N1851" s="50"/>
      <c r="O1851" s="50"/>
      <c r="P1851" s="50"/>
      <c r="Q1851" s="50"/>
      <c r="R1851" s="50"/>
    </row>
    <row r="1852" spans="1:18" s="43" customFormat="1" x14ac:dyDescent="0.25">
      <c r="A1852" s="43" t="s">
        <v>1168</v>
      </c>
      <c r="B1852" s="42"/>
      <c r="C1852" s="50"/>
      <c r="D1852" s="50"/>
      <c r="E1852" s="50"/>
      <c r="F1852" s="50"/>
      <c r="G1852" s="50"/>
      <c r="H1852" s="50"/>
      <c r="I1852" s="50"/>
      <c r="J1852" s="50"/>
      <c r="K1852" s="50"/>
      <c r="L1852" s="50"/>
      <c r="M1852" s="50"/>
      <c r="N1852" s="50"/>
      <c r="O1852" s="50"/>
      <c r="P1852" s="50"/>
      <c r="Q1852" s="50"/>
      <c r="R1852" s="50"/>
    </row>
    <row r="1853" spans="1:18" s="43" customFormat="1" x14ac:dyDescent="0.25">
      <c r="A1853" s="41" t="s">
        <v>1169</v>
      </c>
      <c r="B1853" s="42"/>
      <c r="C1853" s="50"/>
      <c r="D1853" s="50"/>
      <c r="E1853" s="50"/>
      <c r="F1853" s="50"/>
      <c r="G1853" s="50"/>
      <c r="H1853" s="50"/>
      <c r="I1853" s="50"/>
      <c r="J1853" s="50"/>
      <c r="K1853" s="50"/>
      <c r="L1853" s="50"/>
      <c r="M1853" s="50"/>
      <c r="N1853" s="50"/>
      <c r="O1853" s="50"/>
      <c r="P1853" s="50"/>
      <c r="Q1853" s="50"/>
      <c r="R1853" s="50"/>
    </row>
    <row r="1854" spans="1:18" s="43" customFormat="1" x14ac:dyDescent="0.25">
      <c r="A1854" s="52" t="s">
        <v>1170</v>
      </c>
      <c r="B1854" s="42"/>
      <c r="C1854" s="50"/>
      <c r="D1854" s="50"/>
      <c r="E1854" s="50"/>
      <c r="F1854" s="50"/>
      <c r="G1854" s="50"/>
      <c r="H1854" s="50"/>
      <c r="I1854" s="50"/>
      <c r="J1854" s="50"/>
      <c r="K1854" s="50"/>
      <c r="L1854" s="50"/>
      <c r="M1854" s="50"/>
      <c r="N1854" s="50"/>
      <c r="O1854" s="50"/>
      <c r="P1854" s="50"/>
      <c r="Q1854" s="50"/>
      <c r="R1854" s="50"/>
    </row>
    <row r="1855" spans="1:18" s="43" customFormat="1" x14ac:dyDescent="0.25">
      <c r="A1855" s="52" t="s">
        <v>822</v>
      </c>
      <c r="B1855" s="42"/>
      <c r="C1855" s="50"/>
      <c r="D1855" s="50"/>
      <c r="E1855" s="50"/>
      <c r="F1855" s="50"/>
      <c r="G1855" s="50"/>
      <c r="H1855" s="50"/>
      <c r="I1855" s="50"/>
      <c r="J1855" s="50"/>
      <c r="K1855" s="50"/>
      <c r="L1855" s="50"/>
      <c r="M1855" s="50"/>
      <c r="N1855" s="50"/>
      <c r="O1855" s="50"/>
      <c r="P1855" s="50"/>
      <c r="Q1855" s="50"/>
      <c r="R1855" s="50"/>
    </row>
    <row r="1856" spans="1:18" s="43" customFormat="1" x14ac:dyDescent="0.25">
      <c r="A1856" s="52" t="s">
        <v>1171</v>
      </c>
      <c r="B1856" s="42"/>
      <c r="C1856" s="50"/>
      <c r="D1856" s="50"/>
      <c r="E1856" s="50"/>
      <c r="F1856" s="50"/>
      <c r="G1856" s="50"/>
      <c r="H1856" s="50"/>
      <c r="I1856" s="50"/>
      <c r="J1856" s="50"/>
      <c r="K1856" s="50"/>
      <c r="L1856" s="50"/>
      <c r="M1856" s="50"/>
      <c r="N1856" s="50"/>
      <c r="O1856" s="50"/>
      <c r="P1856" s="50"/>
      <c r="Q1856" s="50"/>
      <c r="R1856" s="50"/>
    </row>
    <row r="1857" spans="1:18" s="43" customFormat="1" x14ac:dyDescent="0.25">
      <c r="A1857" s="52" t="s">
        <v>310</v>
      </c>
      <c r="B1857" s="42"/>
      <c r="C1857" s="52"/>
      <c r="D1857" s="50"/>
      <c r="E1857" s="50"/>
      <c r="F1857" s="50"/>
      <c r="G1857" s="50"/>
      <c r="H1857" s="50"/>
      <c r="I1857" s="50"/>
      <c r="J1857" s="50"/>
      <c r="K1857" s="50"/>
      <c r="L1857" s="50"/>
      <c r="M1857" s="50"/>
      <c r="N1857" s="50"/>
      <c r="O1857" s="50"/>
      <c r="P1857" s="50"/>
      <c r="Q1857" s="50"/>
      <c r="R1857" s="50"/>
    </row>
    <row r="1858" spans="1:18" s="43" customFormat="1" x14ac:dyDescent="0.25">
      <c r="A1858" s="52" t="s">
        <v>1172</v>
      </c>
      <c r="B1858" s="42"/>
      <c r="C1858" s="50"/>
      <c r="D1858" s="50"/>
      <c r="E1858" s="50"/>
      <c r="F1858" s="50"/>
      <c r="G1858" s="50"/>
      <c r="H1858" s="50"/>
      <c r="I1858" s="50"/>
      <c r="J1858" s="50"/>
      <c r="K1858" s="50"/>
      <c r="L1858" s="50"/>
      <c r="M1858" s="50"/>
      <c r="N1858" s="50"/>
      <c r="O1858" s="50"/>
      <c r="P1858" s="50"/>
      <c r="Q1858" s="50"/>
      <c r="R1858" s="50"/>
    </row>
    <row r="1859" spans="1:18" s="43" customFormat="1" x14ac:dyDescent="0.25">
      <c r="A1859" s="52" t="s">
        <v>949</v>
      </c>
      <c r="B1859" s="42"/>
      <c r="C1859" s="50"/>
      <c r="D1859" s="50"/>
      <c r="E1859" s="50"/>
      <c r="F1859" s="50"/>
      <c r="G1859" s="50"/>
      <c r="H1859" s="50"/>
      <c r="I1859" s="50"/>
      <c r="J1859" s="50"/>
      <c r="K1859" s="50"/>
      <c r="L1859" s="50"/>
      <c r="M1859" s="50"/>
      <c r="N1859" s="50"/>
      <c r="O1859" s="50"/>
      <c r="P1859" s="50"/>
      <c r="Q1859" s="50"/>
      <c r="R1859" s="50"/>
    </row>
    <row r="1860" spans="1:18" s="43" customFormat="1" x14ac:dyDescent="0.25">
      <c r="A1860" s="52" t="s">
        <v>954</v>
      </c>
      <c r="B1860" s="42"/>
      <c r="C1860" s="50"/>
      <c r="D1860" s="50"/>
      <c r="E1860" s="50"/>
      <c r="F1860" s="50"/>
      <c r="G1860" s="50"/>
      <c r="H1860" s="50"/>
      <c r="I1860" s="50"/>
      <c r="J1860" s="50"/>
      <c r="K1860" s="50"/>
      <c r="L1860" s="50"/>
      <c r="M1860" s="50"/>
      <c r="N1860" s="50"/>
      <c r="O1860" s="50"/>
      <c r="P1860" s="50"/>
      <c r="Q1860" s="50"/>
      <c r="R1860" s="50"/>
    </row>
    <row r="1861" spans="1:18" s="43" customFormat="1" x14ac:dyDescent="0.25">
      <c r="A1861" s="52" t="s">
        <v>542</v>
      </c>
      <c r="B1861" s="42"/>
      <c r="C1861" s="50"/>
      <c r="D1861" s="50"/>
      <c r="E1861" s="50"/>
      <c r="F1861" s="50"/>
      <c r="G1861" s="50"/>
      <c r="H1861" s="50"/>
      <c r="I1861" s="50"/>
      <c r="J1861" s="50"/>
      <c r="K1861" s="50"/>
      <c r="L1861" s="50"/>
      <c r="M1861" s="50"/>
      <c r="N1861" s="50"/>
      <c r="O1861" s="50"/>
      <c r="P1861" s="50"/>
      <c r="Q1861" s="50"/>
      <c r="R1861" s="50"/>
    </row>
    <row r="1862" spans="1:18" s="43" customFormat="1" x14ac:dyDescent="0.25">
      <c r="A1862" s="52" t="s">
        <v>435</v>
      </c>
      <c r="B1862" s="42"/>
      <c r="C1862" s="50"/>
      <c r="D1862" s="50"/>
      <c r="E1862" s="50"/>
      <c r="F1862" s="50"/>
      <c r="G1862" s="50"/>
      <c r="H1862" s="50"/>
      <c r="I1862" s="50"/>
      <c r="J1862" s="50"/>
      <c r="K1862" s="50"/>
      <c r="L1862" s="50"/>
      <c r="M1862" s="50"/>
      <c r="N1862" s="50"/>
      <c r="O1862" s="50"/>
      <c r="P1862" s="50"/>
      <c r="Q1862" s="50"/>
      <c r="R1862" s="50"/>
    </row>
    <row r="1863" spans="1:18" s="43" customFormat="1" x14ac:dyDescent="0.25">
      <c r="A1863" s="52" t="s">
        <v>1173</v>
      </c>
      <c r="B1863" s="42"/>
      <c r="C1863" s="50"/>
      <c r="D1863" s="50"/>
      <c r="E1863" s="50"/>
      <c r="F1863" s="50"/>
      <c r="G1863" s="50"/>
      <c r="H1863" s="50"/>
      <c r="I1863" s="50"/>
      <c r="J1863" s="50"/>
      <c r="K1863" s="50"/>
      <c r="L1863" s="50"/>
      <c r="M1863" s="50"/>
      <c r="N1863" s="50"/>
      <c r="O1863" s="50"/>
      <c r="P1863" s="50"/>
      <c r="Q1863" s="50"/>
      <c r="R1863" s="50"/>
    </row>
    <row r="1864" spans="1:18" s="43" customFormat="1" x14ac:dyDescent="0.25">
      <c r="A1864" s="52" t="s">
        <v>1174</v>
      </c>
      <c r="B1864" s="42"/>
      <c r="C1864" s="50"/>
      <c r="D1864" s="50"/>
      <c r="E1864" s="50"/>
      <c r="F1864" s="50"/>
      <c r="G1864" s="50"/>
      <c r="H1864" s="50"/>
      <c r="I1864" s="50"/>
      <c r="J1864" s="50"/>
      <c r="K1864" s="50"/>
      <c r="L1864" s="50"/>
      <c r="M1864" s="50"/>
      <c r="N1864" s="50"/>
      <c r="O1864" s="50"/>
      <c r="P1864" s="50"/>
      <c r="Q1864" s="50"/>
      <c r="R1864" s="50"/>
    </row>
    <row r="1865" spans="1:18" s="43" customFormat="1" x14ac:dyDescent="0.25">
      <c r="A1865" s="52" t="s">
        <v>604</v>
      </c>
      <c r="B1865" s="42"/>
      <c r="C1865" s="50"/>
      <c r="D1865" s="50"/>
      <c r="E1865" s="50"/>
      <c r="F1865" s="50"/>
      <c r="G1865" s="50"/>
      <c r="H1865" s="50"/>
      <c r="I1865" s="50"/>
      <c r="J1865" s="50"/>
      <c r="K1865" s="50"/>
      <c r="L1865" s="50"/>
      <c r="M1865" s="50"/>
      <c r="N1865" s="50"/>
      <c r="O1865" s="50"/>
      <c r="P1865" s="50"/>
      <c r="Q1865" s="50"/>
      <c r="R1865" s="50"/>
    </row>
    <row r="1866" spans="1:18" s="43" customFormat="1" x14ac:dyDescent="0.25">
      <c r="A1866" s="52" t="s">
        <v>751</v>
      </c>
      <c r="B1866" s="42"/>
      <c r="C1866" s="50"/>
      <c r="D1866" s="50"/>
      <c r="E1866" s="50"/>
      <c r="F1866" s="50"/>
      <c r="G1866" s="50"/>
      <c r="H1866" s="50"/>
      <c r="I1866" s="50"/>
      <c r="J1866" s="50"/>
      <c r="K1866" s="50"/>
      <c r="L1866" s="50"/>
      <c r="M1866" s="50"/>
      <c r="N1866" s="50"/>
      <c r="O1866" s="50"/>
      <c r="P1866" s="50"/>
      <c r="Q1866" s="50"/>
      <c r="R1866" s="50"/>
    </row>
    <row r="1867" spans="1:18" s="43" customFormat="1" x14ac:dyDescent="0.25">
      <c r="A1867" s="52" t="s">
        <v>1084</v>
      </c>
      <c r="B1867" s="42"/>
      <c r="C1867" s="50"/>
      <c r="D1867" s="50"/>
      <c r="E1867" s="50"/>
      <c r="F1867" s="50"/>
      <c r="G1867" s="50"/>
      <c r="H1867" s="50"/>
      <c r="I1867" s="50"/>
      <c r="J1867" s="50"/>
      <c r="K1867" s="50"/>
      <c r="L1867" s="50"/>
      <c r="M1867" s="50"/>
      <c r="N1867" s="50"/>
      <c r="O1867" s="50"/>
      <c r="P1867" s="50"/>
      <c r="Q1867" s="50"/>
      <c r="R1867" s="50"/>
    </row>
    <row r="1868" spans="1:18" s="43" customFormat="1" x14ac:dyDescent="0.25">
      <c r="A1868" s="52" t="s">
        <v>1088</v>
      </c>
      <c r="B1868" s="42"/>
      <c r="C1868" s="52"/>
      <c r="D1868" s="50">
        <v>4975</v>
      </c>
      <c r="E1868" s="50"/>
      <c r="F1868" s="50"/>
      <c r="G1868" s="50"/>
      <c r="H1868" s="50"/>
      <c r="I1868" s="50"/>
      <c r="J1868" s="50"/>
      <c r="K1868" s="50"/>
      <c r="L1868" s="50"/>
      <c r="M1868" s="50"/>
      <c r="N1868" s="50"/>
      <c r="O1868" s="50"/>
      <c r="P1868" s="50"/>
      <c r="Q1868" s="50"/>
      <c r="R1868" s="50"/>
    </row>
    <row r="1869" spans="1:18" s="43" customFormat="1" x14ac:dyDescent="0.25">
      <c r="A1869" s="52" t="s">
        <v>654</v>
      </c>
      <c r="B1869" s="42"/>
      <c r="C1869" s="50"/>
      <c r="D1869" s="50"/>
      <c r="E1869" s="50"/>
      <c r="F1869" s="50"/>
      <c r="G1869" s="50"/>
      <c r="H1869" s="50"/>
      <c r="I1869" s="50"/>
      <c r="J1869" s="50"/>
      <c r="K1869" s="50"/>
      <c r="L1869" s="50"/>
      <c r="M1869" s="50"/>
      <c r="N1869" s="50"/>
      <c r="O1869" s="50"/>
      <c r="P1869" s="50"/>
      <c r="Q1869" s="50"/>
      <c r="R1869" s="50"/>
    </row>
    <row r="1870" spans="1:18" s="43" customFormat="1" x14ac:dyDescent="0.25">
      <c r="A1870" s="52" t="s">
        <v>526</v>
      </c>
      <c r="B1870" s="42"/>
      <c r="C1870" s="52"/>
      <c r="D1870" s="50"/>
      <c r="E1870" s="50"/>
      <c r="F1870" s="50"/>
      <c r="G1870" s="50"/>
      <c r="H1870" s="50"/>
      <c r="I1870" s="50"/>
      <c r="J1870" s="50"/>
      <c r="K1870" s="50"/>
      <c r="L1870" s="50"/>
      <c r="M1870" s="50"/>
      <c r="N1870" s="50"/>
      <c r="O1870" s="50"/>
      <c r="P1870" s="50"/>
      <c r="Q1870" s="50"/>
      <c r="R1870" s="50"/>
    </row>
    <row r="1871" spans="1:18" s="43" customFormat="1" x14ac:dyDescent="0.25">
      <c r="A1871" s="52" t="s">
        <v>462</v>
      </c>
      <c r="B1871" s="42"/>
      <c r="C1871" s="52"/>
      <c r="D1871" s="50"/>
      <c r="E1871" s="50"/>
      <c r="F1871" s="50"/>
      <c r="G1871" s="50"/>
      <c r="H1871" s="50"/>
      <c r="I1871" s="50"/>
      <c r="J1871" s="50"/>
      <c r="K1871" s="50"/>
      <c r="L1871" s="50"/>
      <c r="M1871" s="50"/>
      <c r="N1871" s="50"/>
      <c r="O1871" s="50"/>
      <c r="P1871" s="50"/>
      <c r="Q1871" s="50"/>
      <c r="R1871" s="50"/>
    </row>
    <row r="1872" spans="1:18" s="43" customFormat="1" x14ac:dyDescent="0.25">
      <c r="A1872" s="52" t="s">
        <v>1100</v>
      </c>
      <c r="B1872" s="42"/>
      <c r="C1872" s="52"/>
      <c r="D1872" s="50"/>
      <c r="E1872" s="50"/>
      <c r="F1872" s="50"/>
      <c r="G1872" s="50"/>
      <c r="H1872" s="50"/>
      <c r="I1872" s="50"/>
      <c r="J1872" s="50"/>
      <c r="K1872" s="50"/>
      <c r="L1872" s="50"/>
      <c r="M1872" s="50"/>
      <c r="N1872" s="50"/>
      <c r="O1872" s="50"/>
      <c r="P1872" s="50"/>
      <c r="Q1872" s="50"/>
      <c r="R1872" s="50"/>
    </row>
    <row r="1873" spans="1:18" s="43" customFormat="1" x14ac:dyDescent="0.25">
      <c r="A1873" s="41" t="s">
        <v>1175</v>
      </c>
      <c r="B1873" s="42"/>
      <c r="C1873" s="52"/>
      <c r="D1873" s="50"/>
      <c r="E1873" s="50"/>
      <c r="F1873" s="50"/>
      <c r="G1873" s="50"/>
      <c r="H1873" s="50"/>
      <c r="I1873" s="50"/>
      <c r="J1873" s="50"/>
      <c r="K1873" s="50"/>
      <c r="L1873" s="50"/>
      <c r="M1873" s="50"/>
      <c r="N1873" s="50"/>
      <c r="O1873" s="50"/>
      <c r="P1873" s="50"/>
      <c r="Q1873" s="50"/>
      <c r="R1873" s="50"/>
    </row>
    <row r="1874" spans="1:18" s="43" customFormat="1" x14ac:dyDescent="0.25">
      <c r="A1874" s="52" t="s">
        <v>1176</v>
      </c>
      <c r="B1874" s="42"/>
      <c r="C1874" s="52"/>
      <c r="D1874" s="50"/>
      <c r="E1874" s="50"/>
      <c r="F1874" s="50"/>
      <c r="G1874" s="50"/>
      <c r="H1874" s="50"/>
      <c r="I1874" s="50"/>
      <c r="J1874" s="50"/>
      <c r="K1874" s="50"/>
      <c r="L1874" s="50"/>
      <c r="M1874" s="50"/>
      <c r="N1874" s="50"/>
      <c r="O1874" s="50"/>
      <c r="P1874" s="50"/>
      <c r="Q1874" s="50"/>
      <c r="R1874" s="50"/>
    </row>
    <row r="1875" spans="1:18" s="43" customFormat="1" x14ac:dyDescent="0.25">
      <c r="A1875" s="52" t="s">
        <v>954</v>
      </c>
      <c r="B1875" s="42"/>
      <c r="C1875" s="52"/>
      <c r="D1875" s="50"/>
      <c r="E1875" s="50"/>
      <c r="F1875" s="50"/>
      <c r="G1875" s="50"/>
      <c r="H1875" s="50"/>
      <c r="I1875" s="50"/>
      <c r="J1875" s="50"/>
      <c r="K1875" s="50"/>
      <c r="L1875" s="50"/>
      <c r="M1875" s="50"/>
      <c r="N1875" s="50"/>
      <c r="O1875" s="50"/>
      <c r="P1875" s="50"/>
      <c r="Q1875" s="50"/>
      <c r="R1875" s="50"/>
    </row>
    <row r="1876" spans="1:18" s="43" customFormat="1" x14ac:dyDescent="0.25">
      <c r="A1876" s="52" t="s">
        <v>1084</v>
      </c>
      <c r="B1876" s="42"/>
      <c r="C1876" s="52"/>
      <c r="D1876" s="50"/>
      <c r="E1876" s="50"/>
      <c r="F1876" s="50"/>
      <c r="G1876" s="50"/>
      <c r="H1876" s="50"/>
      <c r="I1876" s="50"/>
      <c r="J1876" s="50"/>
      <c r="K1876" s="50"/>
      <c r="L1876" s="50"/>
      <c r="M1876" s="50"/>
      <c r="N1876" s="50"/>
      <c r="O1876" s="50"/>
      <c r="P1876" s="50"/>
      <c r="Q1876" s="50"/>
      <c r="R1876" s="50"/>
    </row>
    <row r="1877" spans="1:18" s="43" customFormat="1" x14ac:dyDescent="0.25">
      <c r="A1877" s="59" t="s">
        <v>1177</v>
      </c>
      <c r="B1877" s="42"/>
      <c r="C1877" s="52"/>
      <c r="D1877" s="50"/>
      <c r="E1877" s="50"/>
      <c r="F1877" s="50"/>
      <c r="G1877" s="50"/>
      <c r="H1877" s="50"/>
      <c r="I1877" s="50"/>
      <c r="J1877" s="50"/>
      <c r="K1877" s="50"/>
      <c r="L1877" s="50"/>
      <c r="M1877" s="50"/>
      <c r="N1877" s="50"/>
      <c r="O1877" s="50"/>
      <c r="P1877" s="50"/>
      <c r="Q1877" s="50"/>
      <c r="R1877" s="50"/>
    </row>
    <row r="1878" spans="1:18" s="43" customFormat="1" x14ac:dyDescent="0.25">
      <c r="A1878" s="52" t="s">
        <v>627</v>
      </c>
      <c r="B1878" s="42"/>
      <c r="C1878" s="52"/>
      <c r="D1878" s="50"/>
      <c r="E1878" s="50"/>
      <c r="F1878" s="50"/>
      <c r="G1878" s="50"/>
      <c r="H1878" s="50"/>
      <c r="I1878" s="50"/>
      <c r="J1878" s="50"/>
      <c r="K1878" s="50"/>
      <c r="L1878" s="50"/>
      <c r="M1878" s="50"/>
      <c r="N1878" s="50"/>
      <c r="O1878" s="50"/>
      <c r="P1878" s="50"/>
      <c r="Q1878" s="50"/>
      <c r="R1878" s="50"/>
    </row>
    <row r="1879" spans="1:18" s="43" customFormat="1" x14ac:dyDescent="0.25">
      <c r="A1879" s="52" t="s">
        <v>1178</v>
      </c>
      <c r="B1879" s="42"/>
      <c r="C1879" s="52"/>
      <c r="D1879" s="50"/>
      <c r="E1879" s="50"/>
      <c r="F1879" s="50"/>
      <c r="G1879" s="50"/>
      <c r="H1879" s="50"/>
      <c r="I1879" s="50"/>
      <c r="J1879" s="50"/>
      <c r="K1879" s="50"/>
      <c r="L1879" s="50"/>
      <c r="M1879" s="50"/>
      <c r="N1879" s="50"/>
      <c r="O1879" s="50"/>
      <c r="P1879" s="50"/>
      <c r="Q1879" s="50"/>
      <c r="R1879" s="50"/>
    </row>
    <row r="1880" spans="1:18" s="43" customFormat="1" x14ac:dyDescent="0.25">
      <c r="A1880" s="52" t="s">
        <v>792</v>
      </c>
      <c r="B1880" s="42"/>
      <c r="C1880" s="52"/>
      <c r="D1880" s="50"/>
      <c r="E1880" s="50"/>
      <c r="F1880" s="50"/>
      <c r="G1880" s="50"/>
      <c r="H1880" s="50"/>
      <c r="I1880" s="50"/>
      <c r="J1880" s="50"/>
      <c r="K1880" s="50"/>
      <c r="L1880" s="50"/>
      <c r="M1880" s="50"/>
      <c r="N1880" s="50"/>
      <c r="O1880" s="50"/>
      <c r="P1880" s="50"/>
      <c r="Q1880" s="50"/>
      <c r="R1880" s="50"/>
    </row>
    <row r="1881" spans="1:18" s="43" customFormat="1" x14ac:dyDescent="0.25">
      <c r="A1881" s="52" t="s">
        <v>247</v>
      </c>
      <c r="B1881" s="42"/>
      <c r="C1881" s="50">
        <v>2200</v>
      </c>
      <c r="D1881" s="50">
        <v>11636</v>
      </c>
      <c r="E1881" s="50">
        <v>1164</v>
      </c>
      <c r="F1881" s="50"/>
      <c r="G1881" s="50"/>
      <c r="H1881" s="50"/>
      <c r="I1881" s="50"/>
      <c r="J1881" s="50"/>
      <c r="K1881" s="50"/>
      <c r="L1881" s="50"/>
      <c r="M1881" s="50"/>
      <c r="N1881" s="50"/>
      <c r="O1881" s="50"/>
      <c r="P1881" s="50"/>
      <c r="Q1881" s="50"/>
      <c r="R1881" s="50"/>
    </row>
    <row r="1882" spans="1:18" s="43" customFormat="1" x14ac:dyDescent="0.25">
      <c r="A1882" s="52" t="s">
        <v>248</v>
      </c>
      <c r="B1882" s="42"/>
      <c r="C1882" s="50">
        <v>0</v>
      </c>
      <c r="D1882" s="50">
        <v>15476</v>
      </c>
      <c r="E1882" s="50">
        <v>4524</v>
      </c>
      <c r="F1882" s="50"/>
      <c r="G1882" s="50"/>
      <c r="H1882" s="50"/>
      <c r="I1882" s="50"/>
      <c r="J1882" s="50"/>
      <c r="K1882" s="50"/>
      <c r="L1882" s="50"/>
      <c r="M1882" s="50"/>
      <c r="N1882" s="50"/>
      <c r="O1882" s="50"/>
      <c r="P1882" s="50"/>
      <c r="Q1882" s="50"/>
      <c r="R1882" s="50"/>
    </row>
    <row r="1883" spans="1:18" s="43" customFormat="1" x14ac:dyDescent="0.25">
      <c r="A1883" s="52" t="s">
        <v>242</v>
      </c>
      <c r="B1883" s="42"/>
      <c r="C1883" s="50">
        <v>0</v>
      </c>
      <c r="D1883" s="50"/>
      <c r="E1883" s="50"/>
      <c r="F1883" s="50"/>
      <c r="G1883" s="50"/>
      <c r="H1883" s="50"/>
      <c r="I1883" s="50"/>
      <c r="J1883" s="50"/>
      <c r="K1883" s="50"/>
      <c r="L1883" s="50"/>
      <c r="M1883" s="50"/>
      <c r="N1883" s="50"/>
      <c r="O1883" s="50"/>
      <c r="P1883" s="50"/>
      <c r="Q1883" s="50"/>
      <c r="R1883" s="50"/>
    </row>
    <row r="1884" spans="1:18" s="43" customFormat="1" x14ac:dyDescent="0.25">
      <c r="A1884" s="52" t="s">
        <v>310</v>
      </c>
      <c r="B1884" s="42"/>
      <c r="C1884" s="50">
        <v>4617</v>
      </c>
      <c r="D1884" s="50"/>
      <c r="E1884" s="50"/>
      <c r="F1884" s="50"/>
      <c r="G1884" s="50"/>
      <c r="H1884" s="50"/>
      <c r="I1884" s="50"/>
      <c r="J1884" s="50"/>
      <c r="K1884" s="50"/>
      <c r="L1884" s="50"/>
      <c r="M1884" s="50"/>
      <c r="N1884" s="50"/>
      <c r="O1884" s="50"/>
      <c r="P1884" s="50"/>
      <c r="Q1884" s="50"/>
      <c r="R1884" s="50"/>
    </row>
    <row r="1885" spans="1:18" s="43" customFormat="1" x14ac:dyDescent="0.25">
      <c r="A1885" s="52" t="s">
        <v>310</v>
      </c>
      <c r="B1885" s="42"/>
      <c r="C1885" s="50">
        <v>13000</v>
      </c>
      <c r="D1885" s="50">
        <v>8321</v>
      </c>
      <c r="E1885" s="50">
        <v>6078</v>
      </c>
      <c r="F1885" s="50">
        <v>13067</v>
      </c>
      <c r="G1885" s="50"/>
      <c r="H1885" s="50"/>
      <c r="I1885" s="50"/>
      <c r="J1885" s="50"/>
      <c r="K1885" s="50"/>
      <c r="L1885" s="50"/>
      <c r="M1885" s="50"/>
      <c r="N1885" s="50"/>
      <c r="O1885" s="50"/>
      <c r="P1885" s="50"/>
      <c r="Q1885" s="50"/>
      <c r="R1885" s="50"/>
    </row>
    <row r="1886" spans="1:18" s="43" customFormat="1" x14ac:dyDescent="0.25">
      <c r="A1886" s="52" t="s">
        <v>340</v>
      </c>
      <c r="B1886" s="42"/>
      <c r="C1886" s="50">
        <v>8000</v>
      </c>
      <c r="D1886" s="50"/>
      <c r="E1886" s="50"/>
      <c r="F1886" s="50"/>
      <c r="G1886" s="50"/>
      <c r="H1886" s="50"/>
      <c r="I1886" s="50"/>
      <c r="J1886" s="50"/>
      <c r="K1886" s="50"/>
      <c r="L1886" s="50"/>
      <c r="M1886" s="50"/>
      <c r="N1886" s="50"/>
      <c r="O1886" s="50"/>
      <c r="P1886" s="50"/>
      <c r="Q1886" s="50"/>
      <c r="R1886" s="50"/>
    </row>
    <row r="1887" spans="1:18" s="43" customFormat="1" x14ac:dyDescent="0.25">
      <c r="A1887" s="52" t="s">
        <v>349</v>
      </c>
      <c r="B1887" s="42"/>
      <c r="C1887" s="50">
        <v>9448</v>
      </c>
      <c r="D1887" s="50"/>
      <c r="E1887" s="50"/>
      <c r="F1887" s="50"/>
      <c r="G1887" s="50"/>
      <c r="H1887" s="50"/>
      <c r="I1887" s="50"/>
      <c r="J1887" s="50"/>
      <c r="K1887" s="50"/>
      <c r="L1887" s="50"/>
      <c r="M1887" s="50"/>
      <c r="N1887" s="50"/>
      <c r="O1887" s="50"/>
      <c r="P1887" s="50"/>
      <c r="Q1887" s="50"/>
      <c r="R1887" s="50"/>
    </row>
    <row r="1888" spans="1:18" s="43" customFormat="1" x14ac:dyDescent="0.25">
      <c r="A1888" s="52" t="s">
        <v>1179</v>
      </c>
      <c r="B1888" s="42"/>
      <c r="C1888" s="50">
        <v>9223</v>
      </c>
      <c r="D1888" s="50"/>
      <c r="E1888" s="50"/>
      <c r="F1888" s="50"/>
      <c r="G1888" s="50"/>
      <c r="H1888" s="50"/>
      <c r="I1888" s="50"/>
      <c r="J1888" s="50"/>
      <c r="K1888" s="50"/>
      <c r="L1888" s="50"/>
      <c r="M1888" s="50"/>
      <c r="N1888" s="50"/>
      <c r="O1888" s="50"/>
      <c r="P1888" s="50"/>
      <c r="Q1888" s="50"/>
      <c r="R1888" s="50"/>
    </row>
    <row r="1889" spans="1:18" s="43" customFormat="1" x14ac:dyDescent="0.25">
      <c r="A1889" s="52" t="s">
        <v>342</v>
      </c>
      <c r="B1889" s="42"/>
      <c r="C1889" s="50">
        <v>8500</v>
      </c>
      <c r="D1889" s="50"/>
      <c r="E1889" s="50"/>
      <c r="F1889" s="50"/>
      <c r="G1889" s="50"/>
      <c r="H1889" s="50"/>
      <c r="I1889" s="50"/>
      <c r="J1889" s="50"/>
      <c r="K1889" s="50"/>
      <c r="L1889" s="50"/>
      <c r="M1889" s="50"/>
      <c r="N1889" s="50"/>
      <c r="O1889" s="50"/>
      <c r="P1889" s="50"/>
      <c r="Q1889" s="50"/>
      <c r="R1889" s="50"/>
    </row>
    <row r="1890" spans="1:18" s="43" customFormat="1" x14ac:dyDescent="0.25">
      <c r="A1890" s="150" t="s">
        <v>576</v>
      </c>
      <c r="B1890" s="42"/>
      <c r="C1890" s="50">
        <v>48400</v>
      </c>
      <c r="D1890" s="50"/>
      <c r="E1890" s="50"/>
      <c r="F1890" s="50"/>
      <c r="G1890" s="50"/>
      <c r="H1890" s="50"/>
      <c r="I1890" s="50"/>
      <c r="J1890" s="50"/>
      <c r="K1890" s="50"/>
      <c r="L1890" s="50"/>
      <c r="M1890" s="50"/>
      <c r="N1890" s="50"/>
      <c r="O1890" s="50"/>
      <c r="P1890" s="50"/>
      <c r="Q1890" s="50"/>
      <c r="R1890" s="50"/>
    </row>
    <row r="1891" spans="1:18" s="43" customFormat="1" x14ac:dyDescent="0.25">
      <c r="A1891" s="52" t="s">
        <v>627</v>
      </c>
      <c r="B1891" s="42"/>
      <c r="C1891" s="50">
        <v>17700</v>
      </c>
      <c r="D1891" s="50"/>
      <c r="E1891" s="50"/>
      <c r="F1891" s="50"/>
      <c r="G1891" s="50"/>
      <c r="H1891" s="50"/>
      <c r="I1891" s="50"/>
      <c r="J1891" s="50"/>
      <c r="K1891" s="50"/>
      <c r="L1891" s="50"/>
      <c r="M1891" s="50"/>
      <c r="N1891" s="50"/>
      <c r="O1891" s="50"/>
      <c r="P1891" s="50"/>
      <c r="Q1891" s="50"/>
      <c r="R1891" s="50"/>
    </row>
    <row r="1892" spans="1:18" s="43" customFormat="1" x14ac:dyDescent="0.25">
      <c r="A1892" s="52" t="s">
        <v>632</v>
      </c>
      <c r="B1892" s="42"/>
      <c r="C1892" s="50">
        <v>0</v>
      </c>
      <c r="D1892" s="50"/>
      <c r="E1892" s="50"/>
      <c r="F1892" s="50"/>
      <c r="G1892" s="50"/>
      <c r="H1892" s="50"/>
      <c r="I1892" s="50"/>
      <c r="J1892" s="50"/>
      <c r="K1892" s="50"/>
      <c r="L1892" s="50"/>
      <c r="M1892" s="50"/>
      <c r="N1892" s="50"/>
      <c r="O1892" s="50"/>
      <c r="P1892" s="50"/>
      <c r="Q1892" s="50"/>
      <c r="R1892" s="50"/>
    </row>
    <row r="1893" spans="1:18" s="43" customFormat="1" x14ac:dyDescent="0.25">
      <c r="A1893" s="229" t="s">
        <v>674</v>
      </c>
      <c r="B1893" s="42"/>
      <c r="C1893" s="50">
        <v>8500</v>
      </c>
      <c r="D1893" s="50"/>
      <c r="E1893" s="50"/>
      <c r="F1893" s="50"/>
      <c r="G1893" s="50"/>
      <c r="H1893" s="50"/>
      <c r="I1893" s="50"/>
      <c r="J1893" s="50"/>
      <c r="K1893" s="50"/>
      <c r="L1893" s="50"/>
      <c r="M1893" s="50"/>
      <c r="N1893" s="50"/>
      <c r="O1893" s="50"/>
      <c r="P1893" s="50"/>
      <c r="Q1893" s="50"/>
      <c r="R1893" s="50"/>
    </row>
    <row r="1894" spans="1:18" s="43" customFormat="1" x14ac:dyDescent="0.25">
      <c r="A1894" s="229" t="s">
        <v>676</v>
      </c>
      <c r="B1894" s="42"/>
      <c r="C1894" s="50">
        <v>62413</v>
      </c>
      <c r="D1894" s="50"/>
      <c r="E1894" s="50"/>
      <c r="F1894" s="50"/>
      <c r="G1894" s="50"/>
      <c r="H1894" s="50"/>
      <c r="I1894" s="50"/>
      <c r="J1894" s="50"/>
      <c r="K1894" s="50"/>
      <c r="L1894" s="50"/>
      <c r="M1894" s="50"/>
      <c r="N1894" s="50"/>
      <c r="O1894" s="50"/>
      <c r="P1894" s="50"/>
      <c r="Q1894" s="50"/>
      <c r="R1894" s="50"/>
    </row>
    <row r="1895" spans="1:18" s="43" customFormat="1" x14ac:dyDescent="0.25">
      <c r="A1895" s="52" t="s">
        <v>749</v>
      </c>
      <c r="B1895" s="42"/>
      <c r="C1895" s="50">
        <v>55138</v>
      </c>
      <c r="D1895" s="50">
        <v>110065</v>
      </c>
      <c r="E1895" s="50">
        <v>67296</v>
      </c>
      <c r="F1895" s="50">
        <v>60615</v>
      </c>
      <c r="G1895" s="50"/>
      <c r="H1895" s="50"/>
      <c r="I1895" s="50"/>
      <c r="J1895" s="50"/>
      <c r="K1895" s="50"/>
      <c r="L1895" s="50"/>
      <c r="M1895" s="50"/>
      <c r="N1895" s="50"/>
      <c r="O1895" s="50"/>
      <c r="P1895" s="50"/>
      <c r="Q1895" s="50"/>
      <c r="R1895" s="50"/>
    </row>
    <row r="1896" spans="1:18" s="43" customFormat="1" x14ac:dyDescent="0.25">
      <c r="A1896" s="52" t="s">
        <v>751</v>
      </c>
      <c r="B1896" s="42"/>
      <c r="C1896" s="50">
        <v>7800</v>
      </c>
      <c r="D1896" s="50">
        <v>0</v>
      </c>
      <c r="E1896" s="50"/>
      <c r="F1896" s="50"/>
      <c r="G1896" s="50"/>
      <c r="H1896" s="50"/>
      <c r="I1896" s="50"/>
      <c r="J1896" s="50"/>
      <c r="K1896" s="50"/>
      <c r="L1896" s="50"/>
      <c r="M1896" s="50"/>
      <c r="N1896" s="50"/>
      <c r="O1896" s="50"/>
      <c r="P1896" s="50"/>
      <c r="Q1896" s="50"/>
      <c r="R1896" s="50"/>
    </row>
    <row r="1897" spans="1:18" s="43" customFormat="1" x14ac:dyDescent="0.25">
      <c r="A1897" s="185" t="s">
        <v>1180</v>
      </c>
      <c r="B1897" s="42"/>
      <c r="C1897" s="50"/>
      <c r="D1897" s="50">
        <v>20000</v>
      </c>
      <c r="E1897" s="50"/>
      <c r="F1897" s="50"/>
      <c r="G1897" s="50"/>
      <c r="H1897" s="50"/>
      <c r="I1897" s="50"/>
      <c r="J1897" s="50"/>
      <c r="K1897" s="50"/>
      <c r="L1897" s="50"/>
      <c r="M1897" s="50"/>
      <c r="N1897" s="50"/>
      <c r="O1897" s="50"/>
      <c r="P1897" s="50"/>
      <c r="Q1897" s="50"/>
      <c r="R1897" s="50"/>
    </row>
    <row r="1898" spans="1:18" s="43" customFormat="1" x14ac:dyDescent="0.25">
      <c r="A1898" s="187" t="s">
        <v>846</v>
      </c>
      <c r="B1898" s="42"/>
      <c r="C1898" s="50">
        <v>48770</v>
      </c>
      <c r="D1898" s="50">
        <v>139630</v>
      </c>
      <c r="E1898" s="54"/>
      <c r="F1898" s="54"/>
      <c r="G1898" s="54"/>
      <c r="H1898" s="54"/>
      <c r="I1898" s="50"/>
      <c r="J1898" s="50"/>
      <c r="K1898" s="50"/>
      <c r="L1898" s="50"/>
      <c r="M1898" s="50"/>
      <c r="N1898" s="50"/>
      <c r="O1898" s="50"/>
      <c r="P1898" s="50"/>
      <c r="Q1898" s="50"/>
      <c r="R1898" s="50"/>
    </row>
    <row r="1899" spans="1:18" s="43" customFormat="1" x14ac:dyDescent="0.25">
      <c r="A1899" s="210" t="s">
        <v>955</v>
      </c>
      <c r="B1899" s="42"/>
      <c r="C1899" s="50">
        <v>116500</v>
      </c>
      <c r="D1899" s="50"/>
      <c r="E1899" s="50"/>
      <c r="F1899" s="50"/>
      <c r="G1899" s="50"/>
      <c r="H1899" s="50"/>
      <c r="I1899" s="50"/>
      <c r="J1899" s="50"/>
      <c r="K1899" s="50"/>
      <c r="L1899" s="50"/>
      <c r="M1899" s="50"/>
      <c r="N1899" s="50"/>
      <c r="O1899" s="50"/>
      <c r="P1899" s="50"/>
      <c r="Q1899" s="50"/>
      <c r="R1899" s="50"/>
    </row>
    <row r="1900" spans="1:18" s="43" customFormat="1" x14ac:dyDescent="0.25">
      <c r="A1900" s="43" t="s">
        <v>999</v>
      </c>
      <c r="B1900" s="42"/>
      <c r="C1900" s="50">
        <v>12000</v>
      </c>
      <c r="D1900" s="50"/>
      <c r="E1900" s="50"/>
      <c r="F1900" s="50"/>
      <c r="G1900" s="50"/>
      <c r="H1900" s="50"/>
      <c r="I1900" s="50"/>
      <c r="J1900" s="50"/>
      <c r="K1900" s="50"/>
      <c r="L1900" s="50"/>
      <c r="M1900" s="50"/>
      <c r="N1900" s="50"/>
      <c r="O1900" s="50"/>
      <c r="P1900" s="50"/>
      <c r="Q1900" s="50"/>
      <c r="R1900" s="50"/>
    </row>
    <row r="1901" spans="1:18" s="43" customFormat="1" x14ac:dyDescent="0.25">
      <c r="A1901" s="52" t="s">
        <v>1071</v>
      </c>
      <c r="B1901" s="42"/>
      <c r="C1901" s="50">
        <v>3600</v>
      </c>
      <c r="D1901" s="52">
        <v>3600</v>
      </c>
      <c r="E1901" s="52"/>
      <c r="F1901" s="52"/>
      <c r="G1901" s="52"/>
      <c r="H1901" s="52"/>
      <c r="I1901" s="50"/>
      <c r="J1901" s="50"/>
      <c r="K1901" s="50"/>
      <c r="L1901" s="50"/>
      <c r="M1901" s="50"/>
      <c r="N1901" s="50"/>
      <c r="O1901" s="50"/>
      <c r="P1901" s="50"/>
      <c r="Q1901" s="50"/>
      <c r="R1901" s="50"/>
    </row>
    <row r="1902" spans="1:18" s="43" customFormat="1" x14ac:dyDescent="0.25">
      <c r="A1902" s="52" t="s">
        <v>1027</v>
      </c>
      <c r="B1902" s="42"/>
      <c r="C1902" s="50">
        <v>909</v>
      </c>
      <c r="D1902" s="52">
        <f t="shared" ref="D1902" si="1066">9100+100</f>
        <v>9200</v>
      </c>
      <c r="E1902" s="52"/>
      <c r="F1902" s="52"/>
      <c r="G1902" s="52"/>
      <c r="H1902" s="52"/>
      <c r="I1902" s="50"/>
      <c r="J1902" s="50"/>
      <c r="K1902" s="50"/>
      <c r="L1902" s="50"/>
      <c r="M1902" s="50"/>
      <c r="N1902" s="50"/>
      <c r="O1902" s="50"/>
      <c r="P1902" s="50"/>
      <c r="Q1902" s="50"/>
      <c r="R1902" s="50"/>
    </row>
    <row r="1903" spans="1:18" s="43" customFormat="1" x14ac:dyDescent="0.25">
      <c r="A1903" s="43" t="s">
        <v>1082</v>
      </c>
      <c r="B1903" s="42"/>
      <c r="C1903" s="50">
        <v>14500</v>
      </c>
      <c r="D1903" s="50">
        <v>10211</v>
      </c>
      <c r="E1903" s="50">
        <v>16660</v>
      </c>
      <c r="F1903" s="50">
        <v>7390</v>
      </c>
      <c r="G1903" s="50"/>
      <c r="H1903" s="50"/>
      <c r="I1903" s="50"/>
      <c r="J1903" s="50"/>
      <c r="K1903" s="50"/>
      <c r="L1903" s="50"/>
      <c r="M1903" s="50"/>
      <c r="N1903" s="50"/>
      <c r="O1903" s="50"/>
      <c r="P1903" s="50"/>
      <c r="Q1903" s="50"/>
      <c r="R1903" s="50"/>
    </row>
    <row r="1904" spans="1:18" s="43" customFormat="1" x14ac:dyDescent="0.25">
      <c r="A1904" s="52" t="s">
        <v>1090</v>
      </c>
      <c r="B1904" s="42"/>
      <c r="C1904" s="50">
        <v>30000</v>
      </c>
      <c r="D1904" s="50"/>
      <c r="E1904" s="50"/>
      <c r="F1904" s="50"/>
      <c r="G1904" s="50"/>
      <c r="H1904" s="50"/>
      <c r="I1904" s="50"/>
      <c r="J1904" s="50"/>
      <c r="K1904" s="50"/>
      <c r="L1904" s="50"/>
      <c r="M1904" s="50"/>
      <c r="N1904" s="50"/>
      <c r="O1904" s="50"/>
      <c r="P1904" s="50"/>
      <c r="Q1904" s="50"/>
      <c r="R1904" s="50"/>
    </row>
    <row r="1905" spans="1:18" s="43" customFormat="1" x14ac:dyDescent="0.25">
      <c r="A1905" s="43" t="s">
        <v>1088</v>
      </c>
      <c r="B1905" s="42"/>
      <c r="C1905" s="50">
        <v>24830</v>
      </c>
      <c r="D1905" s="50"/>
      <c r="E1905" s="50"/>
      <c r="F1905" s="50"/>
      <c r="G1905" s="50"/>
      <c r="H1905" s="50"/>
      <c r="I1905" s="50"/>
      <c r="J1905" s="50"/>
      <c r="K1905" s="50"/>
      <c r="L1905" s="50"/>
      <c r="M1905" s="50"/>
      <c r="N1905" s="50"/>
      <c r="O1905" s="50"/>
      <c r="P1905" s="50"/>
      <c r="Q1905" s="50"/>
      <c r="R1905" s="50"/>
    </row>
    <row r="1906" spans="1:18" s="43" customFormat="1" x14ac:dyDescent="0.25">
      <c r="A1906" s="43" t="s">
        <v>1094</v>
      </c>
      <c r="B1906" s="42"/>
      <c r="C1906" s="50"/>
      <c r="D1906" s="50">
        <v>5600</v>
      </c>
      <c r="E1906" s="50"/>
      <c r="F1906" s="50"/>
      <c r="G1906" s="50"/>
      <c r="H1906" s="50"/>
      <c r="I1906" s="50"/>
      <c r="J1906" s="50"/>
      <c r="K1906" s="50"/>
      <c r="L1906" s="50"/>
      <c r="M1906" s="50"/>
      <c r="N1906" s="50"/>
      <c r="O1906" s="50"/>
      <c r="P1906" s="50"/>
      <c r="Q1906" s="50"/>
      <c r="R1906" s="50"/>
    </row>
    <row r="1907" spans="1:18" s="43" customFormat="1" x14ac:dyDescent="0.25">
      <c r="A1907" s="43" t="s">
        <v>1096</v>
      </c>
      <c r="B1907" s="42"/>
      <c r="C1907" s="50">
        <v>40000</v>
      </c>
      <c r="D1907" s="50">
        <v>0</v>
      </c>
      <c r="E1907" s="50">
        <v>1500</v>
      </c>
      <c r="F1907" s="50"/>
      <c r="G1907" s="50"/>
      <c r="H1907" s="50"/>
      <c r="I1907" s="50"/>
      <c r="J1907" s="50"/>
      <c r="K1907" s="50"/>
      <c r="L1907" s="50"/>
      <c r="M1907" s="50"/>
      <c r="N1907" s="50"/>
      <c r="O1907" s="50"/>
      <c r="P1907" s="50"/>
      <c r="Q1907" s="50"/>
      <c r="R1907" s="50"/>
    </row>
    <row r="1908" spans="1:18" s="43" customFormat="1" x14ac:dyDescent="0.25">
      <c r="A1908" s="52" t="s">
        <v>1102</v>
      </c>
      <c r="B1908" s="42"/>
      <c r="C1908" s="50">
        <v>19370</v>
      </c>
      <c r="D1908" s="50">
        <v>13251</v>
      </c>
      <c r="E1908" s="50">
        <v>5779</v>
      </c>
      <c r="F1908" s="50">
        <v>20768</v>
      </c>
      <c r="G1908" s="50"/>
      <c r="H1908" s="50"/>
      <c r="I1908" s="50"/>
      <c r="J1908" s="50"/>
      <c r="K1908" s="50"/>
      <c r="L1908" s="50"/>
      <c r="M1908" s="50"/>
      <c r="N1908" s="50"/>
      <c r="O1908" s="50"/>
      <c r="P1908" s="50"/>
      <c r="Q1908" s="50"/>
      <c r="R1908" s="50"/>
    </row>
    <row r="1909" spans="1:18" s="43" customFormat="1" x14ac:dyDescent="0.25">
      <c r="A1909" s="41" t="s">
        <v>1181</v>
      </c>
      <c r="B1909" s="42"/>
      <c r="C1909" s="54"/>
      <c r="D1909" s="50"/>
      <c r="E1909" s="50"/>
      <c r="F1909" s="50"/>
      <c r="G1909" s="50"/>
      <c r="H1909" s="50"/>
      <c r="I1909" s="50"/>
      <c r="J1909" s="50"/>
      <c r="K1909" s="50"/>
      <c r="L1909" s="50"/>
      <c r="M1909" s="50"/>
      <c r="N1909" s="50"/>
      <c r="O1909" s="50"/>
      <c r="P1909" s="50"/>
      <c r="Q1909" s="50"/>
      <c r="R1909" s="50"/>
    </row>
    <row r="1910" spans="1:18" s="43" customFormat="1" x14ac:dyDescent="0.25">
      <c r="A1910" s="43" t="s">
        <v>1182</v>
      </c>
      <c r="B1910" s="42"/>
      <c r="C1910" s="54"/>
      <c r="D1910" s="50">
        <v>16400</v>
      </c>
      <c r="E1910" s="50"/>
      <c r="F1910" s="50"/>
      <c r="G1910" s="50"/>
      <c r="H1910" s="50"/>
      <c r="I1910" s="50"/>
      <c r="J1910" s="50"/>
      <c r="K1910" s="50"/>
      <c r="L1910" s="50"/>
      <c r="M1910" s="50"/>
      <c r="N1910" s="50"/>
      <c r="O1910" s="50"/>
      <c r="P1910" s="50"/>
      <c r="Q1910" s="50"/>
      <c r="R1910" s="50"/>
    </row>
    <row r="1911" spans="1:18" s="43" customFormat="1" x14ac:dyDescent="0.25">
      <c r="A1911" s="230" t="s">
        <v>487</v>
      </c>
      <c r="B1911" s="42"/>
      <c r="C1911" s="54"/>
      <c r="D1911" s="50">
        <v>25727</v>
      </c>
      <c r="E1911" s="50"/>
      <c r="F1911" s="50"/>
      <c r="G1911" s="50"/>
      <c r="H1911" s="50"/>
      <c r="I1911" s="50"/>
      <c r="J1911" s="50"/>
      <c r="K1911" s="50"/>
      <c r="L1911" s="50"/>
      <c r="M1911" s="50"/>
      <c r="N1911" s="50"/>
      <c r="O1911" s="50"/>
      <c r="P1911" s="50"/>
      <c r="Q1911" s="50"/>
      <c r="R1911" s="50"/>
    </row>
    <row r="1912" spans="1:18" s="43" customFormat="1" x14ac:dyDescent="0.25">
      <c r="A1912" s="214" t="s">
        <v>317</v>
      </c>
      <c r="B1912" s="42"/>
      <c r="C1912" s="54"/>
      <c r="D1912" s="50">
        <v>220215</v>
      </c>
      <c r="E1912" s="50"/>
      <c r="F1912" s="50"/>
      <c r="G1912" s="50"/>
      <c r="H1912" s="50"/>
      <c r="I1912" s="50"/>
      <c r="J1912" s="50"/>
      <c r="K1912" s="50"/>
      <c r="L1912" s="50"/>
      <c r="M1912" s="50"/>
      <c r="N1912" s="50"/>
      <c r="O1912" s="50"/>
      <c r="P1912" s="50"/>
      <c r="Q1912" s="50"/>
      <c r="R1912" s="50"/>
    </row>
    <row r="1913" spans="1:18" s="43" customFormat="1" x14ac:dyDescent="0.25">
      <c r="A1913" s="231" t="s">
        <v>1183</v>
      </c>
      <c r="B1913" s="42"/>
      <c r="C1913" s="54"/>
      <c r="D1913" s="50">
        <v>161001</v>
      </c>
      <c r="E1913" s="50"/>
      <c r="F1913" s="50"/>
      <c r="G1913" s="50"/>
      <c r="H1913" s="50"/>
      <c r="I1913" s="50"/>
      <c r="J1913" s="50"/>
      <c r="K1913" s="50"/>
      <c r="L1913" s="50"/>
      <c r="M1913" s="50"/>
      <c r="N1913" s="50"/>
      <c r="O1913" s="50"/>
      <c r="P1913" s="50"/>
      <c r="Q1913" s="50"/>
      <c r="R1913" s="50"/>
    </row>
    <row r="1914" spans="1:18" s="43" customFormat="1" x14ac:dyDescent="0.25">
      <c r="A1914" s="232" t="s">
        <v>839</v>
      </c>
      <c r="B1914" s="42"/>
      <c r="C1914" s="54"/>
      <c r="D1914" s="50">
        <v>73000</v>
      </c>
      <c r="E1914" s="50"/>
      <c r="F1914" s="50"/>
      <c r="G1914" s="50"/>
      <c r="H1914" s="50"/>
      <c r="I1914" s="50"/>
      <c r="J1914" s="50"/>
      <c r="K1914" s="50"/>
      <c r="L1914" s="50"/>
      <c r="M1914" s="50"/>
      <c r="N1914" s="50"/>
      <c r="O1914" s="50"/>
      <c r="P1914" s="50"/>
      <c r="Q1914" s="50"/>
      <c r="R1914" s="50"/>
    </row>
    <row r="1915" spans="1:18" s="43" customFormat="1" x14ac:dyDescent="0.25">
      <c r="A1915" s="208" t="s">
        <v>957</v>
      </c>
      <c r="B1915" s="42"/>
      <c r="C1915" s="54"/>
      <c r="D1915" s="50">
        <v>37859</v>
      </c>
      <c r="E1915" s="50"/>
      <c r="F1915" s="50"/>
      <c r="G1915" s="50"/>
      <c r="H1915" s="50"/>
      <c r="I1915" s="50"/>
      <c r="J1915" s="50"/>
      <c r="K1915" s="50"/>
      <c r="L1915" s="50"/>
      <c r="M1915" s="50"/>
      <c r="N1915" s="50"/>
      <c r="O1915" s="50"/>
      <c r="P1915" s="50"/>
      <c r="Q1915" s="50"/>
      <c r="R1915" s="50"/>
    </row>
    <row r="1916" spans="1:18" s="43" customFormat="1" x14ac:dyDescent="0.25">
      <c r="A1916" s="181" t="s">
        <v>800</v>
      </c>
      <c r="B1916" s="42"/>
      <c r="C1916" s="54"/>
      <c r="D1916" s="50">
        <v>8914</v>
      </c>
      <c r="E1916" s="50">
        <v>18777</v>
      </c>
      <c r="F1916" s="50">
        <v>18518</v>
      </c>
      <c r="G1916" s="50"/>
      <c r="H1916" s="50"/>
      <c r="I1916" s="50"/>
      <c r="J1916" s="50"/>
      <c r="K1916" s="50"/>
      <c r="L1916" s="50"/>
      <c r="M1916" s="50"/>
      <c r="N1916" s="50"/>
      <c r="O1916" s="50"/>
      <c r="P1916" s="50"/>
      <c r="Q1916" s="50"/>
      <c r="R1916" s="50"/>
    </row>
    <row r="1917" spans="1:18" s="43" customFormat="1" x14ac:dyDescent="0.25">
      <c r="A1917" s="181" t="s">
        <v>802</v>
      </c>
      <c r="B1917" s="42"/>
      <c r="C1917" s="54"/>
      <c r="D1917" s="50">
        <v>0</v>
      </c>
      <c r="E1917" s="50"/>
      <c r="F1917" s="50"/>
      <c r="G1917" s="50"/>
      <c r="H1917" s="50"/>
      <c r="I1917" s="50"/>
      <c r="J1917" s="50"/>
      <c r="K1917" s="50"/>
      <c r="L1917" s="50"/>
      <c r="M1917" s="50"/>
      <c r="N1917" s="50"/>
      <c r="O1917" s="50"/>
      <c r="P1917" s="50"/>
      <c r="Q1917" s="50"/>
      <c r="R1917" s="50"/>
    </row>
    <row r="1918" spans="1:18" s="43" customFormat="1" x14ac:dyDescent="0.25">
      <c r="A1918" s="52" t="s">
        <v>804</v>
      </c>
      <c r="B1918" s="42"/>
      <c r="C1918" s="54"/>
      <c r="D1918" s="50">
        <v>10000</v>
      </c>
      <c r="E1918" s="50"/>
      <c r="F1918" s="50"/>
      <c r="G1918" s="50"/>
      <c r="H1918" s="50"/>
      <c r="I1918" s="50"/>
      <c r="J1918" s="50"/>
      <c r="K1918" s="50"/>
      <c r="L1918" s="50"/>
      <c r="M1918" s="50"/>
      <c r="N1918" s="50"/>
      <c r="O1918" s="50"/>
      <c r="P1918" s="50"/>
      <c r="Q1918" s="50"/>
      <c r="R1918" s="50"/>
    </row>
    <row r="1919" spans="1:18" s="43" customFormat="1" x14ac:dyDescent="0.25">
      <c r="A1919" s="52" t="s">
        <v>588</v>
      </c>
      <c r="B1919" s="42"/>
      <c r="C1919" s="54"/>
      <c r="D1919" s="50">
        <v>60800</v>
      </c>
      <c r="E1919" s="50"/>
      <c r="F1919" s="50"/>
      <c r="G1919" s="50"/>
      <c r="H1919" s="50"/>
      <c r="I1919" s="50"/>
      <c r="J1919" s="50"/>
      <c r="K1919" s="50"/>
      <c r="L1919" s="50"/>
      <c r="M1919" s="50"/>
      <c r="N1919" s="50"/>
      <c r="O1919" s="50"/>
      <c r="P1919" s="50"/>
      <c r="Q1919" s="50"/>
      <c r="R1919" s="50"/>
    </row>
    <row r="1920" spans="1:18" s="43" customFormat="1" x14ac:dyDescent="0.25">
      <c r="A1920" s="41" t="s">
        <v>1184</v>
      </c>
      <c r="B1920" s="42"/>
      <c r="C1920" s="54"/>
      <c r="D1920" s="50"/>
      <c r="E1920" s="50"/>
      <c r="F1920" s="50"/>
      <c r="G1920" s="50"/>
      <c r="H1920" s="50"/>
      <c r="I1920" s="50"/>
      <c r="J1920" s="50"/>
      <c r="K1920" s="50"/>
      <c r="L1920" s="50"/>
      <c r="M1920" s="50"/>
      <c r="N1920" s="50"/>
      <c r="O1920" s="50"/>
      <c r="P1920" s="50"/>
      <c r="Q1920" s="50"/>
      <c r="R1920" s="50"/>
    </row>
    <row r="1921" spans="1:18" s="43" customFormat="1" x14ac:dyDescent="0.25">
      <c r="A1921" s="230" t="s">
        <v>487</v>
      </c>
      <c r="B1921" s="42"/>
      <c r="C1921" s="54"/>
      <c r="D1921" s="50"/>
      <c r="E1921" s="50">
        <v>5000</v>
      </c>
      <c r="F1921" s="50"/>
      <c r="G1921" s="50"/>
      <c r="H1921" s="50"/>
      <c r="I1921" s="50"/>
      <c r="J1921" s="50"/>
      <c r="K1921" s="50"/>
      <c r="L1921" s="50"/>
      <c r="M1921" s="50"/>
      <c r="N1921" s="50"/>
      <c r="O1921" s="50"/>
      <c r="P1921" s="50"/>
      <c r="Q1921" s="50"/>
      <c r="R1921" s="50"/>
    </row>
    <row r="1922" spans="1:18" s="43" customFormat="1" x14ac:dyDescent="0.25">
      <c r="A1922" s="214" t="s">
        <v>317</v>
      </c>
      <c r="B1922" s="42"/>
      <c r="C1922" s="54"/>
      <c r="D1922" s="50"/>
      <c r="E1922" s="50">
        <v>182548</v>
      </c>
      <c r="F1922" s="50"/>
      <c r="G1922" s="50"/>
      <c r="H1922" s="50"/>
      <c r="I1922" s="50"/>
      <c r="J1922" s="50"/>
      <c r="K1922" s="50"/>
      <c r="L1922" s="50"/>
      <c r="M1922" s="50"/>
      <c r="N1922" s="50"/>
      <c r="O1922" s="50"/>
      <c r="P1922" s="50"/>
      <c r="Q1922" s="50"/>
      <c r="R1922" s="50"/>
    </row>
    <row r="1923" spans="1:18" s="43" customFormat="1" x14ac:dyDescent="0.25">
      <c r="A1923" s="231" t="s">
        <v>1183</v>
      </c>
      <c r="B1923" s="42"/>
      <c r="C1923" s="54"/>
      <c r="D1923" s="50"/>
      <c r="E1923" s="50">
        <v>200535</v>
      </c>
      <c r="F1923" s="50"/>
      <c r="G1923" s="50"/>
      <c r="H1923" s="50"/>
      <c r="I1923" s="50"/>
      <c r="J1923" s="50"/>
      <c r="K1923" s="50"/>
      <c r="L1923" s="50"/>
      <c r="M1923" s="50"/>
      <c r="N1923" s="50"/>
      <c r="O1923" s="50"/>
      <c r="P1923" s="50"/>
      <c r="Q1923" s="50"/>
      <c r="R1923" s="50"/>
    </row>
    <row r="1924" spans="1:18" s="43" customFormat="1" x14ac:dyDescent="0.25">
      <c r="A1924" s="232" t="s">
        <v>839</v>
      </c>
      <c r="B1924" s="42"/>
      <c r="C1924" s="54"/>
      <c r="D1924" s="50"/>
      <c r="E1924" s="50">
        <v>86084</v>
      </c>
      <c r="F1924" s="50"/>
      <c r="G1924" s="50"/>
      <c r="H1924" s="50"/>
      <c r="I1924" s="50"/>
      <c r="J1924" s="50"/>
      <c r="K1924" s="50"/>
      <c r="L1924" s="50"/>
      <c r="M1924" s="50"/>
      <c r="N1924" s="50"/>
      <c r="O1924" s="50"/>
      <c r="P1924" s="50"/>
      <c r="Q1924" s="50"/>
      <c r="R1924" s="50"/>
    </row>
    <row r="1925" spans="1:18" s="43" customFormat="1" x14ac:dyDescent="0.25">
      <c r="A1925" s="52" t="s">
        <v>1185</v>
      </c>
      <c r="B1925" s="42"/>
      <c r="C1925" s="54"/>
      <c r="D1925" s="50"/>
      <c r="E1925" s="50">
        <v>118266</v>
      </c>
      <c r="F1925" s="50"/>
      <c r="G1925" s="50"/>
      <c r="H1925" s="50"/>
      <c r="I1925" s="50"/>
      <c r="J1925" s="50"/>
      <c r="K1925" s="50"/>
      <c r="L1925" s="50"/>
      <c r="M1925" s="50"/>
      <c r="N1925" s="50"/>
      <c r="O1925" s="50"/>
      <c r="P1925" s="50"/>
      <c r="Q1925" s="50"/>
      <c r="R1925" s="50"/>
    </row>
    <row r="1926" spans="1:18" s="43" customFormat="1" x14ac:dyDescent="0.25">
      <c r="A1926" s="52" t="s">
        <v>1186</v>
      </c>
      <c r="B1926" s="42"/>
      <c r="C1926" s="52"/>
      <c r="D1926" s="50"/>
      <c r="E1926" s="50">
        <v>26400</v>
      </c>
      <c r="F1926" s="50"/>
      <c r="G1926" s="50"/>
      <c r="H1926" s="50"/>
      <c r="I1926" s="50"/>
      <c r="J1926" s="50"/>
      <c r="K1926" s="50"/>
      <c r="L1926" s="50"/>
      <c r="M1926" s="50"/>
      <c r="N1926" s="50"/>
      <c r="O1926" s="50"/>
      <c r="P1926" s="50"/>
      <c r="Q1926" s="50"/>
      <c r="R1926" s="50"/>
    </row>
    <row r="1927" spans="1:18" s="43" customFormat="1" x14ac:dyDescent="0.25">
      <c r="A1927" s="52" t="s">
        <v>1187</v>
      </c>
      <c r="B1927" s="42"/>
      <c r="C1927" s="52"/>
      <c r="D1927" s="50"/>
      <c r="E1927" s="50">
        <v>36939</v>
      </c>
      <c r="F1927" s="50"/>
      <c r="G1927" s="50"/>
      <c r="H1927" s="50"/>
      <c r="I1927" s="50"/>
      <c r="J1927" s="50"/>
      <c r="K1927" s="50"/>
      <c r="L1927" s="50"/>
      <c r="M1927" s="50"/>
      <c r="N1927" s="50"/>
      <c r="O1927" s="50"/>
      <c r="P1927" s="50"/>
      <c r="Q1927" s="50"/>
      <c r="R1927" s="50"/>
    </row>
    <row r="1928" spans="1:18" s="43" customFormat="1" x14ac:dyDescent="0.25">
      <c r="A1928" s="52" t="s">
        <v>1187</v>
      </c>
      <c r="B1928" s="42"/>
      <c r="C1928" s="52"/>
      <c r="D1928" s="50"/>
      <c r="E1928" s="50">
        <v>29159</v>
      </c>
      <c r="F1928" s="50"/>
      <c r="G1928" s="50"/>
      <c r="H1928" s="50"/>
      <c r="I1928" s="50"/>
      <c r="J1928" s="50"/>
      <c r="K1928" s="50"/>
      <c r="L1928" s="50"/>
      <c r="M1928" s="50"/>
      <c r="N1928" s="50"/>
      <c r="O1928" s="50"/>
      <c r="P1928" s="50"/>
      <c r="Q1928" s="50"/>
      <c r="R1928" s="50"/>
    </row>
    <row r="1929" spans="1:18" s="43" customFormat="1" x14ac:dyDescent="0.25">
      <c r="A1929" s="52" t="s">
        <v>1083</v>
      </c>
      <c r="B1929" s="42"/>
      <c r="C1929" s="52"/>
      <c r="D1929" s="50"/>
      <c r="E1929" s="50">
        <v>4855</v>
      </c>
      <c r="F1929" s="50">
        <v>6600</v>
      </c>
      <c r="G1929" s="50"/>
      <c r="H1929" s="50"/>
      <c r="I1929" s="50"/>
      <c r="J1929" s="50"/>
      <c r="K1929" s="50"/>
      <c r="L1929" s="50"/>
      <c r="M1929" s="50"/>
      <c r="N1929" s="50"/>
      <c r="O1929" s="50"/>
      <c r="P1929" s="50"/>
      <c r="Q1929" s="50"/>
      <c r="R1929" s="50"/>
    </row>
    <row r="1930" spans="1:18" s="43" customFormat="1" x14ac:dyDescent="0.25">
      <c r="A1930" s="52" t="s">
        <v>1084</v>
      </c>
      <c r="B1930" s="42"/>
      <c r="C1930" s="52"/>
      <c r="D1930" s="50"/>
      <c r="E1930" s="50"/>
      <c r="F1930" s="50"/>
      <c r="G1930" s="50"/>
      <c r="H1930" s="50"/>
      <c r="I1930" s="50"/>
      <c r="J1930" s="50"/>
      <c r="K1930" s="50"/>
      <c r="L1930" s="50"/>
      <c r="M1930" s="50"/>
      <c r="N1930" s="50"/>
      <c r="O1930" s="50"/>
      <c r="P1930" s="50"/>
      <c r="Q1930" s="50"/>
      <c r="R1930" s="50"/>
    </row>
    <row r="1931" spans="1:18" s="43" customFormat="1" x14ac:dyDescent="0.25">
      <c r="A1931" s="52" t="s">
        <v>1188</v>
      </c>
      <c r="B1931" s="42"/>
      <c r="C1931" s="52"/>
      <c r="D1931" s="50"/>
      <c r="E1931" s="50"/>
      <c r="F1931" s="50"/>
      <c r="G1931" s="50"/>
      <c r="H1931" s="50"/>
      <c r="I1931" s="50"/>
      <c r="J1931" s="50"/>
      <c r="K1931" s="50"/>
      <c r="L1931" s="50"/>
      <c r="M1931" s="50"/>
      <c r="N1931" s="50"/>
      <c r="O1931" s="50"/>
      <c r="P1931" s="50"/>
      <c r="Q1931" s="50"/>
      <c r="R1931" s="50"/>
    </row>
    <row r="1932" spans="1:18" s="43" customFormat="1" x14ac:dyDescent="0.25">
      <c r="A1932" s="52" t="s">
        <v>1046</v>
      </c>
      <c r="B1932" s="42"/>
      <c r="C1932" s="52"/>
      <c r="D1932" s="50"/>
      <c r="E1932" s="50">
        <v>18000</v>
      </c>
      <c r="F1932" s="50"/>
      <c r="G1932" s="50"/>
      <c r="H1932" s="50"/>
      <c r="I1932" s="50"/>
      <c r="J1932" s="50"/>
      <c r="K1932" s="50"/>
      <c r="L1932" s="50"/>
      <c r="M1932" s="50"/>
      <c r="N1932" s="50"/>
      <c r="O1932" s="50"/>
      <c r="P1932" s="50"/>
      <c r="Q1932" s="50"/>
      <c r="R1932" s="50"/>
    </row>
    <row r="1933" spans="1:18" s="43" customFormat="1" x14ac:dyDescent="0.25">
      <c r="A1933" s="52" t="s">
        <v>1189</v>
      </c>
      <c r="B1933" s="42"/>
      <c r="C1933" s="52"/>
      <c r="D1933" s="50"/>
      <c r="E1933" s="50"/>
      <c r="F1933" s="50">
        <v>30000</v>
      </c>
      <c r="G1933" s="50"/>
      <c r="H1933" s="50"/>
      <c r="I1933" s="50"/>
      <c r="J1933" s="50"/>
      <c r="K1933" s="50"/>
      <c r="L1933" s="50"/>
      <c r="M1933" s="50"/>
      <c r="N1933" s="50"/>
      <c r="O1933" s="50"/>
      <c r="P1933" s="50"/>
      <c r="Q1933" s="50"/>
      <c r="R1933" s="50"/>
    </row>
    <row r="1934" spans="1:18" s="43" customFormat="1" x14ac:dyDescent="0.25">
      <c r="A1934" s="52" t="s">
        <v>1190</v>
      </c>
      <c r="B1934" s="42"/>
      <c r="C1934" s="52"/>
      <c r="D1934" s="50">
        <v>20477</v>
      </c>
      <c r="E1934" s="50">
        <v>343</v>
      </c>
      <c r="F1934" s="50">
        <v>4082</v>
      </c>
      <c r="G1934" s="50"/>
      <c r="H1934" s="50"/>
      <c r="I1934" s="50"/>
      <c r="J1934" s="50"/>
      <c r="K1934" s="50"/>
      <c r="L1934" s="50"/>
      <c r="M1934" s="50"/>
      <c r="N1934" s="50"/>
      <c r="O1934" s="50"/>
      <c r="P1934" s="50"/>
      <c r="Q1934" s="50"/>
      <c r="R1934" s="50"/>
    </row>
    <row r="1935" spans="1:18" s="43" customFormat="1" x14ac:dyDescent="0.25">
      <c r="A1935" s="52" t="s">
        <v>806</v>
      </c>
      <c r="B1935" s="42"/>
      <c r="C1935" s="52"/>
      <c r="D1935" s="50"/>
      <c r="E1935" s="50">
        <v>480</v>
      </c>
      <c r="F1935" s="50"/>
      <c r="G1935" s="50"/>
      <c r="H1935" s="50"/>
      <c r="I1935" s="50"/>
      <c r="J1935" s="50"/>
      <c r="K1935" s="50"/>
      <c r="L1935" s="50"/>
      <c r="M1935" s="50"/>
      <c r="N1935" s="50"/>
      <c r="O1935" s="50"/>
      <c r="P1935" s="50"/>
      <c r="Q1935" s="50"/>
      <c r="R1935" s="50"/>
    </row>
    <row r="1936" spans="1:18" s="43" customFormat="1" x14ac:dyDescent="0.25">
      <c r="A1936" s="52" t="s">
        <v>872</v>
      </c>
      <c r="B1936" s="42"/>
      <c r="C1936" s="52"/>
      <c r="D1936" s="50"/>
      <c r="E1936" s="50">
        <v>10000</v>
      </c>
      <c r="F1936" s="50"/>
      <c r="G1936" s="50"/>
      <c r="H1936" s="50"/>
      <c r="I1936" s="50"/>
      <c r="J1936" s="50"/>
      <c r="K1936" s="50"/>
      <c r="L1936" s="50"/>
      <c r="M1936" s="50"/>
      <c r="N1936" s="50"/>
      <c r="O1936" s="50"/>
      <c r="P1936" s="50"/>
      <c r="Q1936" s="50"/>
      <c r="R1936" s="50"/>
    </row>
    <row r="1937" spans="1:18" s="43" customFormat="1" x14ac:dyDescent="0.25">
      <c r="A1937" s="52" t="s">
        <v>1191</v>
      </c>
      <c r="B1937" s="42"/>
      <c r="C1937" s="52"/>
      <c r="D1937" s="50"/>
      <c r="E1937" s="50">
        <v>10000</v>
      </c>
      <c r="F1937" s="50">
        <v>11053</v>
      </c>
      <c r="G1937" s="50"/>
      <c r="H1937" s="50"/>
      <c r="I1937" s="50"/>
      <c r="J1937" s="50"/>
      <c r="K1937" s="50"/>
      <c r="L1937" s="50"/>
      <c r="M1937" s="50"/>
      <c r="N1937" s="50"/>
      <c r="O1937" s="50"/>
      <c r="P1937" s="50"/>
      <c r="Q1937" s="50"/>
      <c r="R1937" s="50"/>
    </row>
    <row r="1938" spans="1:18" s="43" customFormat="1" x14ac:dyDescent="0.25">
      <c r="A1938" s="52" t="s">
        <v>951</v>
      </c>
      <c r="B1938" s="42"/>
      <c r="C1938" s="52"/>
      <c r="D1938" s="50"/>
      <c r="E1938" s="50">
        <v>6908</v>
      </c>
      <c r="F1938" s="50"/>
      <c r="G1938" s="50"/>
      <c r="H1938" s="50"/>
      <c r="I1938" s="50"/>
      <c r="J1938" s="50"/>
      <c r="K1938" s="50"/>
      <c r="L1938" s="50"/>
      <c r="M1938" s="50"/>
      <c r="N1938" s="50"/>
      <c r="O1938" s="50"/>
      <c r="P1938" s="50"/>
      <c r="Q1938" s="50"/>
      <c r="R1938" s="50"/>
    </row>
    <row r="1939" spans="1:18" s="43" customFormat="1" x14ac:dyDescent="0.25">
      <c r="A1939" s="41" t="s">
        <v>1192</v>
      </c>
      <c r="B1939" s="42"/>
      <c r="C1939" s="52"/>
      <c r="D1939" s="50"/>
      <c r="E1939" s="50"/>
      <c r="F1939" s="50"/>
      <c r="G1939" s="50"/>
      <c r="H1939" s="50"/>
      <c r="I1939" s="50"/>
      <c r="J1939" s="50"/>
      <c r="K1939" s="50"/>
      <c r="L1939" s="50"/>
      <c r="M1939" s="50"/>
      <c r="N1939" s="50"/>
      <c r="O1939" s="50"/>
      <c r="P1939" s="50"/>
      <c r="Q1939" s="50"/>
      <c r="R1939" s="50"/>
    </row>
    <row r="1940" spans="1:18" s="43" customFormat="1" x14ac:dyDescent="0.25">
      <c r="A1940" s="230" t="s">
        <v>487</v>
      </c>
      <c r="B1940" s="42"/>
      <c r="C1940" s="52"/>
      <c r="D1940" s="50"/>
      <c r="E1940" s="50"/>
      <c r="F1940" s="50">
        <v>77674</v>
      </c>
      <c r="G1940" s="50"/>
      <c r="H1940" s="50"/>
      <c r="I1940" s="50"/>
      <c r="J1940" s="50"/>
      <c r="K1940" s="50"/>
      <c r="L1940" s="50"/>
      <c r="M1940" s="50"/>
      <c r="N1940" s="50"/>
      <c r="O1940" s="50"/>
      <c r="P1940" s="50"/>
      <c r="Q1940" s="50"/>
      <c r="R1940" s="50"/>
    </row>
    <row r="1941" spans="1:18" s="43" customFormat="1" x14ac:dyDescent="0.25">
      <c r="A1941" s="214" t="s">
        <v>317</v>
      </c>
      <c r="B1941" s="42"/>
      <c r="C1941" s="52"/>
      <c r="D1941" s="50"/>
      <c r="E1941" s="50"/>
      <c r="F1941" s="50">
        <v>194156</v>
      </c>
      <c r="G1941" s="50"/>
      <c r="H1941" s="50"/>
      <c r="I1941" s="50"/>
      <c r="J1941" s="50"/>
      <c r="K1941" s="50"/>
      <c r="L1941" s="50"/>
      <c r="M1941" s="50"/>
      <c r="N1941" s="50"/>
      <c r="O1941" s="50"/>
      <c r="P1941" s="50"/>
      <c r="Q1941" s="50"/>
      <c r="R1941" s="50"/>
    </row>
    <row r="1942" spans="1:18" s="43" customFormat="1" x14ac:dyDescent="0.25">
      <c r="A1942" s="231" t="s">
        <v>1183</v>
      </c>
      <c r="B1942" s="42"/>
      <c r="C1942" s="52"/>
      <c r="D1942" s="50"/>
      <c r="E1942" s="50"/>
      <c r="F1942" s="50">
        <v>103577</v>
      </c>
      <c r="G1942" s="50"/>
      <c r="H1942" s="50"/>
      <c r="I1942" s="50"/>
      <c r="J1942" s="50"/>
      <c r="K1942" s="50"/>
      <c r="L1942" s="50"/>
      <c r="M1942" s="50"/>
      <c r="N1942" s="50"/>
      <c r="O1942" s="50"/>
      <c r="P1942" s="50"/>
      <c r="Q1942" s="50"/>
      <c r="R1942" s="50"/>
    </row>
    <row r="1943" spans="1:18" s="43" customFormat="1" x14ac:dyDescent="0.25">
      <c r="A1943" s="232" t="s">
        <v>839</v>
      </c>
      <c r="B1943" s="42"/>
      <c r="C1943" s="52"/>
      <c r="D1943" s="50"/>
      <c r="E1943" s="50"/>
      <c r="F1943" s="50">
        <v>0</v>
      </c>
      <c r="G1943" s="50"/>
      <c r="H1943" s="50"/>
      <c r="I1943" s="50"/>
      <c r="J1943" s="50"/>
      <c r="K1943" s="50"/>
      <c r="L1943" s="50"/>
      <c r="M1943" s="50"/>
      <c r="N1943" s="50"/>
      <c r="O1943" s="50"/>
      <c r="P1943" s="50"/>
      <c r="Q1943" s="50"/>
      <c r="R1943" s="50"/>
    </row>
    <row r="1944" spans="1:18" s="43" customFormat="1" x14ac:dyDescent="0.25">
      <c r="A1944" s="52" t="s">
        <v>1193</v>
      </c>
      <c r="B1944" s="42"/>
      <c r="C1944" s="52"/>
      <c r="D1944" s="50"/>
      <c r="E1944" s="50"/>
      <c r="F1944" s="50">
        <v>3336</v>
      </c>
      <c r="G1944" s="50"/>
      <c r="H1944" s="50"/>
      <c r="I1944" s="50"/>
      <c r="J1944" s="50"/>
      <c r="K1944" s="50"/>
      <c r="L1944" s="50"/>
      <c r="M1944" s="50"/>
      <c r="N1944" s="50"/>
      <c r="O1944" s="50"/>
      <c r="P1944" s="50"/>
      <c r="Q1944" s="50"/>
      <c r="R1944" s="50"/>
    </row>
    <row r="1945" spans="1:18" s="43" customFormat="1" x14ac:dyDescent="0.25">
      <c r="A1945" s="52" t="s">
        <v>1194</v>
      </c>
      <c r="B1945" s="42"/>
      <c r="C1945" s="52"/>
      <c r="D1945" s="50"/>
      <c r="E1945" s="50"/>
      <c r="F1945" s="50">
        <v>15088</v>
      </c>
      <c r="G1945" s="50"/>
      <c r="H1945" s="50"/>
      <c r="I1945" s="50"/>
      <c r="J1945" s="50"/>
      <c r="K1945" s="50"/>
      <c r="L1945" s="50"/>
      <c r="M1945" s="50"/>
      <c r="N1945" s="50"/>
      <c r="O1945" s="50"/>
      <c r="P1945" s="50"/>
      <c r="Q1945" s="50"/>
      <c r="R1945" s="50"/>
    </row>
    <row r="1946" spans="1:18" s="43" customFormat="1" x14ac:dyDescent="0.25">
      <c r="A1946" s="52" t="s">
        <v>1195</v>
      </c>
      <c r="B1946" s="42"/>
      <c r="C1946" s="52"/>
      <c r="D1946" s="50"/>
      <c r="E1946" s="50"/>
      <c r="F1946" s="50">
        <v>9719</v>
      </c>
      <c r="G1946" s="50"/>
      <c r="H1946" s="50"/>
      <c r="I1946" s="50"/>
      <c r="J1946" s="50"/>
      <c r="K1946" s="50"/>
      <c r="L1946" s="50"/>
      <c r="M1946" s="50"/>
      <c r="N1946" s="50"/>
      <c r="O1946" s="50"/>
      <c r="P1946" s="50"/>
      <c r="Q1946" s="50"/>
      <c r="R1946" s="50"/>
    </row>
    <row r="1947" spans="1:18" s="43" customFormat="1" x14ac:dyDescent="0.25">
      <c r="A1947" s="52" t="s">
        <v>952</v>
      </c>
      <c r="B1947" s="42"/>
      <c r="C1947" s="52"/>
      <c r="D1947" s="50"/>
      <c r="E1947" s="50"/>
      <c r="F1947" s="50">
        <v>12400</v>
      </c>
      <c r="G1947" s="50"/>
      <c r="H1947" s="50"/>
      <c r="I1947" s="50"/>
      <c r="J1947" s="50"/>
      <c r="K1947" s="50"/>
      <c r="L1947" s="50"/>
      <c r="M1947" s="50"/>
      <c r="N1947" s="50"/>
      <c r="O1947" s="50"/>
      <c r="P1947" s="50"/>
      <c r="Q1947" s="50"/>
      <c r="R1947" s="50"/>
    </row>
    <row r="1948" spans="1:18" s="43" customFormat="1" x14ac:dyDescent="0.25">
      <c r="A1948" s="52" t="s">
        <v>953</v>
      </c>
      <c r="B1948" s="42"/>
      <c r="C1948" s="52"/>
      <c r="D1948" s="50"/>
      <c r="E1948" s="50"/>
      <c r="F1948" s="50">
        <v>13877</v>
      </c>
      <c r="G1948" s="50"/>
      <c r="H1948" s="50"/>
      <c r="I1948" s="50"/>
      <c r="J1948" s="50"/>
      <c r="K1948" s="50"/>
      <c r="L1948" s="50"/>
      <c r="M1948" s="50"/>
      <c r="N1948" s="50"/>
      <c r="O1948" s="50"/>
      <c r="P1948" s="50"/>
      <c r="Q1948" s="50"/>
      <c r="R1948" s="50"/>
    </row>
    <row r="1949" spans="1:18" s="43" customFormat="1" x14ac:dyDescent="0.25">
      <c r="A1949" s="52" t="s">
        <v>1187</v>
      </c>
      <c r="B1949" s="42"/>
      <c r="C1949" s="52"/>
      <c r="D1949" s="50"/>
      <c r="E1949" s="50"/>
      <c r="F1949" s="50">
        <v>44930</v>
      </c>
      <c r="G1949" s="50"/>
      <c r="H1949" s="50"/>
      <c r="I1949" s="50"/>
      <c r="J1949" s="50"/>
      <c r="K1949" s="50"/>
      <c r="L1949" s="50"/>
      <c r="M1949" s="50"/>
      <c r="N1949" s="50"/>
      <c r="O1949" s="50"/>
      <c r="P1949" s="50"/>
      <c r="Q1949" s="50"/>
      <c r="R1949" s="50"/>
    </row>
    <row r="1950" spans="1:18" s="43" customFormat="1" x14ac:dyDescent="0.25">
      <c r="A1950" s="233" t="s">
        <v>1196</v>
      </c>
      <c r="B1950" s="234"/>
      <c r="C1950" s="52"/>
      <c r="D1950" s="50"/>
      <c r="E1950" s="50"/>
      <c r="F1950" s="50"/>
      <c r="G1950" s="50"/>
      <c r="H1950" s="50"/>
      <c r="I1950" s="50"/>
      <c r="J1950" s="50"/>
      <c r="K1950" s="50"/>
      <c r="L1950" s="50"/>
      <c r="M1950" s="50"/>
      <c r="N1950" s="50"/>
      <c r="O1950" s="50"/>
      <c r="P1950" s="50"/>
      <c r="Q1950" s="50"/>
      <c r="R1950" s="50"/>
    </row>
    <row r="1951" spans="1:18" s="43" customFormat="1" x14ac:dyDescent="0.25">
      <c r="A1951" s="235" t="s">
        <v>1197</v>
      </c>
      <c r="B1951" s="236" t="s">
        <v>317</v>
      </c>
      <c r="C1951" s="52"/>
      <c r="D1951" s="50"/>
      <c r="E1951" s="50"/>
      <c r="F1951" s="50"/>
      <c r="G1951" s="50"/>
      <c r="H1951" s="50"/>
      <c r="I1951" s="50"/>
      <c r="J1951" s="50"/>
      <c r="K1951" s="50"/>
      <c r="L1951" s="50"/>
      <c r="M1951" s="50"/>
      <c r="N1951" s="50"/>
      <c r="O1951" s="50"/>
      <c r="P1951" s="50"/>
      <c r="Q1951" s="50"/>
      <c r="R1951" s="50"/>
    </row>
    <row r="1952" spans="1:18" s="43" customFormat="1" x14ac:dyDescent="0.25">
      <c r="A1952" s="237" t="s">
        <v>1198</v>
      </c>
      <c r="B1952" s="238" t="s">
        <v>317</v>
      </c>
      <c r="C1952" s="52"/>
      <c r="D1952" s="50"/>
      <c r="E1952" s="50"/>
      <c r="F1952" s="50"/>
      <c r="G1952" s="50"/>
      <c r="H1952" s="50"/>
      <c r="I1952" s="50"/>
      <c r="J1952" s="50"/>
      <c r="K1952" s="50"/>
      <c r="L1952" s="50"/>
      <c r="M1952" s="50"/>
      <c r="N1952" s="50"/>
      <c r="O1952" s="50"/>
      <c r="P1952" s="50"/>
      <c r="Q1952" s="50"/>
      <c r="R1952" s="50"/>
    </row>
    <row r="1953" spans="1:18" s="43" customFormat="1" x14ac:dyDescent="0.25">
      <c r="A1953" s="237" t="s">
        <v>582</v>
      </c>
      <c r="B1953" s="238" t="s">
        <v>317</v>
      </c>
      <c r="C1953" s="52"/>
      <c r="D1953" s="50"/>
      <c r="E1953" s="50"/>
      <c r="F1953" s="50"/>
      <c r="G1953" s="50"/>
      <c r="H1953" s="50"/>
      <c r="I1953" s="50"/>
      <c r="J1953" s="50"/>
      <c r="K1953" s="50"/>
      <c r="L1953" s="50"/>
      <c r="M1953" s="50"/>
      <c r="N1953" s="50"/>
      <c r="O1953" s="50"/>
      <c r="P1953" s="50"/>
      <c r="Q1953" s="50"/>
      <c r="R1953" s="50"/>
    </row>
    <row r="1954" spans="1:18" s="43" customFormat="1" x14ac:dyDescent="0.25">
      <c r="A1954" s="237" t="s">
        <v>1199</v>
      </c>
      <c r="B1954" s="238" t="s">
        <v>317</v>
      </c>
      <c r="C1954" s="52"/>
      <c r="D1954" s="50"/>
      <c r="E1954" s="50"/>
      <c r="F1954" s="50"/>
      <c r="G1954" s="50"/>
      <c r="H1954" s="50"/>
      <c r="I1954" s="50"/>
      <c r="J1954" s="50"/>
      <c r="K1954" s="50"/>
      <c r="L1954" s="50"/>
      <c r="M1954" s="50"/>
      <c r="N1954" s="50"/>
      <c r="O1954" s="50"/>
      <c r="P1954" s="50"/>
      <c r="Q1954" s="50"/>
      <c r="R1954" s="50"/>
    </row>
    <row r="1955" spans="1:18" s="43" customFormat="1" x14ac:dyDescent="0.25">
      <c r="A1955" s="237" t="s">
        <v>1200</v>
      </c>
      <c r="B1955" s="238" t="s">
        <v>317</v>
      </c>
      <c r="C1955" s="52"/>
      <c r="D1955" s="50"/>
      <c r="E1955" s="50"/>
      <c r="F1955" s="50"/>
      <c r="G1955" s="50"/>
      <c r="H1955" s="50"/>
      <c r="I1955" s="50"/>
      <c r="J1955" s="50"/>
      <c r="K1955" s="50"/>
      <c r="L1955" s="50"/>
      <c r="M1955" s="50"/>
      <c r="N1955" s="50"/>
      <c r="O1955" s="50"/>
      <c r="P1955" s="50"/>
      <c r="Q1955" s="50"/>
      <c r="R1955" s="50"/>
    </row>
    <row r="1956" spans="1:18" s="43" customFormat="1" x14ac:dyDescent="0.25">
      <c r="A1956" s="237" t="s">
        <v>1201</v>
      </c>
      <c r="B1956" s="238" t="s">
        <v>317</v>
      </c>
      <c r="C1956" s="52"/>
      <c r="D1956" s="50"/>
      <c r="E1956" s="50"/>
      <c r="F1956" s="50"/>
      <c r="G1956" s="50"/>
      <c r="H1956" s="50"/>
      <c r="I1956" s="50"/>
      <c r="J1956" s="50"/>
      <c r="K1956" s="50"/>
      <c r="L1956" s="50"/>
      <c r="M1956" s="50"/>
      <c r="N1956" s="50"/>
      <c r="O1956" s="50"/>
      <c r="P1956" s="50"/>
      <c r="Q1956" s="50"/>
      <c r="R1956" s="50"/>
    </row>
    <row r="1957" spans="1:18" s="43" customFormat="1" x14ac:dyDescent="0.25">
      <c r="A1957" s="237" t="s">
        <v>1202</v>
      </c>
      <c r="B1957" s="238" t="s">
        <v>317</v>
      </c>
      <c r="C1957" s="52"/>
      <c r="D1957" s="50"/>
      <c r="E1957" s="50"/>
      <c r="F1957" s="50"/>
      <c r="G1957" s="50"/>
      <c r="H1957" s="50"/>
      <c r="I1957" s="50"/>
      <c r="J1957" s="50"/>
      <c r="K1957" s="50"/>
      <c r="L1957" s="50"/>
      <c r="M1957" s="50"/>
      <c r="N1957" s="50"/>
      <c r="O1957" s="50"/>
      <c r="P1957" s="50"/>
      <c r="Q1957" s="50"/>
      <c r="R1957" s="50"/>
    </row>
    <row r="1958" spans="1:18" s="43" customFormat="1" x14ac:dyDescent="0.25">
      <c r="A1958" s="237" t="s">
        <v>1203</v>
      </c>
      <c r="B1958" s="238" t="s">
        <v>317</v>
      </c>
      <c r="C1958" s="52"/>
      <c r="D1958" s="50"/>
      <c r="E1958" s="50"/>
      <c r="F1958" s="50"/>
      <c r="G1958" s="50"/>
      <c r="H1958" s="50"/>
      <c r="I1958" s="50"/>
      <c r="J1958" s="50"/>
      <c r="K1958" s="50"/>
      <c r="L1958" s="50"/>
      <c r="M1958" s="50"/>
      <c r="N1958" s="50"/>
      <c r="O1958" s="50"/>
      <c r="P1958" s="50"/>
      <c r="Q1958" s="50"/>
      <c r="R1958" s="50"/>
    </row>
    <row r="1959" spans="1:18" s="43" customFormat="1" x14ac:dyDescent="0.25">
      <c r="A1959" s="237" t="s">
        <v>1204</v>
      </c>
      <c r="B1959" s="238" t="s">
        <v>317</v>
      </c>
      <c r="C1959" s="52"/>
      <c r="D1959" s="50"/>
      <c r="E1959" s="50"/>
      <c r="F1959" s="50"/>
      <c r="G1959" s="50"/>
      <c r="H1959" s="50"/>
      <c r="I1959" s="50"/>
      <c r="J1959" s="50"/>
      <c r="K1959" s="50"/>
      <c r="L1959" s="50"/>
      <c r="M1959" s="50"/>
      <c r="N1959" s="50"/>
      <c r="O1959" s="50"/>
      <c r="P1959" s="50"/>
      <c r="Q1959" s="50"/>
      <c r="R1959" s="50"/>
    </row>
    <row r="1960" spans="1:18" s="43" customFormat="1" x14ac:dyDescent="0.25">
      <c r="A1960" s="237" t="s">
        <v>679</v>
      </c>
      <c r="B1960" s="238" t="s">
        <v>317</v>
      </c>
      <c r="C1960" s="52"/>
      <c r="D1960" s="50"/>
      <c r="E1960" s="50"/>
      <c r="F1960" s="50"/>
      <c r="G1960" s="50"/>
      <c r="H1960" s="50"/>
      <c r="I1960" s="50"/>
      <c r="J1960" s="50"/>
      <c r="K1960" s="50"/>
      <c r="L1960" s="50"/>
      <c r="M1960" s="50"/>
      <c r="N1960" s="50"/>
      <c r="O1960" s="50"/>
      <c r="P1960" s="50"/>
      <c r="Q1960" s="50"/>
      <c r="R1960" s="50"/>
    </row>
    <row r="1961" spans="1:18" s="43" customFormat="1" x14ac:dyDescent="0.25">
      <c r="A1961" s="237" t="s">
        <v>1205</v>
      </c>
      <c r="B1961" s="238" t="s">
        <v>317</v>
      </c>
      <c r="C1961" s="52"/>
      <c r="D1961" s="50"/>
      <c r="E1961" s="50"/>
      <c r="F1961" s="50"/>
      <c r="G1961" s="50"/>
      <c r="H1961" s="50"/>
      <c r="I1961" s="50"/>
      <c r="J1961" s="50"/>
      <c r="K1961" s="50"/>
      <c r="L1961" s="50"/>
      <c r="M1961" s="50"/>
      <c r="N1961" s="50"/>
      <c r="O1961" s="50"/>
      <c r="P1961" s="50"/>
      <c r="Q1961" s="50"/>
      <c r="R1961" s="50"/>
    </row>
    <row r="1962" spans="1:18" s="43" customFormat="1" x14ac:dyDescent="0.25">
      <c r="A1962" s="237" t="s">
        <v>1206</v>
      </c>
      <c r="B1962" s="238" t="s">
        <v>317</v>
      </c>
      <c r="C1962" s="52"/>
      <c r="D1962" s="50"/>
      <c r="E1962" s="50"/>
      <c r="F1962" s="50"/>
      <c r="G1962" s="50"/>
      <c r="H1962" s="50"/>
      <c r="I1962" s="50"/>
      <c r="J1962" s="50"/>
      <c r="K1962" s="50"/>
      <c r="L1962" s="50"/>
      <c r="M1962" s="50"/>
      <c r="N1962" s="50"/>
      <c r="O1962" s="50"/>
      <c r="P1962" s="50"/>
      <c r="Q1962" s="50"/>
      <c r="R1962" s="50"/>
    </row>
    <row r="1963" spans="1:18" s="43" customFormat="1" x14ac:dyDescent="0.25">
      <c r="A1963" s="237" t="s">
        <v>1207</v>
      </c>
      <c r="B1963" s="238" t="s">
        <v>317</v>
      </c>
      <c r="C1963" s="52"/>
      <c r="D1963" s="50"/>
      <c r="E1963" s="50"/>
      <c r="F1963" s="50"/>
      <c r="G1963" s="50"/>
      <c r="H1963" s="50"/>
      <c r="I1963" s="50"/>
      <c r="J1963" s="50"/>
      <c r="K1963" s="50"/>
      <c r="L1963" s="50"/>
      <c r="M1963" s="50"/>
      <c r="N1963" s="50"/>
      <c r="O1963" s="50"/>
      <c r="P1963" s="50"/>
      <c r="Q1963" s="50"/>
      <c r="R1963" s="50"/>
    </row>
    <row r="1964" spans="1:18" s="43" customFormat="1" x14ac:dyDescent="0.25">
      <c r="A1964" s="237" t="s">
        <v>508</v>
      </c>
      <c r="B1964" s="238" t="s">
        <v>317</v>
      </c>
      <c r="C1964" s="52"/>
      <c r="D1964" s="50"/>
      <c r="E1964" s="50"/>
      <c r="F1964" s="50"/>
      <c r="G1964" s="50"/>
      <c r="H1964" s="50"/>
      <c r="I1964" s="50"/>
      <c r="J1964" s="50"/>
      <c r="K1964" s="50"/>
      <c r="L1964" s="50"/>
      <c r="M1964" s="50"/>
      <c r="N1964" s="50"/>
      <c r="O1964" s="50"/>
      <c r="P1964" s="50"/>
      <c r="Q1964" s="50"/>
      <c r="R1964" s="50"/>
    </row>
    <row r="1965" spans="1:18" s="43" customFormat="1" x14ac:dyDescent="0.25">
      <c r="A1965" s="237" t="s">
        <v>495</v>
      </c>
      <c r="B1965" s="238" t="s">
        <v>317</v>
      </c>
      <c r="C1965" s="52"/>
      <c r="D1965" s="50"/>
      <c r="E1965" s="50"/>
      <c r="F1965" s="50"/>
      <c r="G1965" s="50"/>
      <c r="H1965" s="50"/>
      <c r="I1965" s="50"/>
      <c r="J1965" s="50"/>
      <c r="K1965" s="50"/>
      <c r="L1965" s="50"/>
      <c r="M1965" s="50"/>
      <c r="N1965" s="50"/>
      <c r="O1965" s="50"/>
      <c r="P1965" s="50"/>
      <c r="Q1965" s="50"/>
      <c r="R1965" s="50"/>
    </row>
    <row r="1966" spans="1:18" s="43" customFormat="1" x14ac:dyDescent="0.25">
      <c r="A1966" s="237" t="s">
        <v>1208</v>
      </c>
      <c r="B1966" s="238" t="s">
        <v>317</v>
      </c>
      <c r="C1966" s="52"/>
      <c r="D1966" s="50"/>
      <c r="E1966" s="50"/>
      <c r="F1966" s="50"/>
      <c r="G1966" s="50"/>
      <c r="H1966" s="50"/>
      <c r="I1966" s="50"/>
      <c r="J1966" s="50"/>
      <c r="K1966" s="50"/>
      <c r="L1966" s="50"/>
      <c r="M1966" s="50"/>
      <c r="N1966" s="50"/>
      <c r="O1966" s="50"/>
      <c r="P1966" s="50"/>
      <c r="Q1966" s="50"/>
      <c r="R1966" s="50"/>
    </row>
    <row r="1967" spans="1:18" s="43" customFormat="1" x14ac:dyDescent="0.25">
      <c r="A1967" s="237" t="s">
        <v>628</v>
      </c>
      <c r="B1967" s="238" t="s">
        <v>317</v>
      </c>
      <c r="C1967" s="52"/>
      <c r="D1967" s="50"/>
      <c r="E1967" s="50"/>
      <c r="F1967" s="50"/>
      <c r="G1967" s="50"/>
      <c r="H1967" s="50"/>
      <c r="I1967" s="50"/>
      <c r="J1967" s="50"/>
      <c r="K1967" s="50"/>
      <c r="L1967" s="50"/>
      <c r="M1967" s="50"/>
      <c r="N1967" s="50"/>
      <c r="O1967" s="50"/>
      <c r="P1967" s="50"/>
      <c r="Q1967" s="50"/>
      <c r="R1967" s="50"/>
    </row>
    <row r="1968" spans="1:18" s="43" customFormat="1" x14ac:dyDescent="0.25">
      <c r="A1968" s="237" t="s">
        <v>1015</v>
      </c>
      <c r="B1968" s="238" t="s">
        <v>317</v>
      </c>
      <c r="C1968" s="52"/>
      <c r="D1968" s="50"/>
      <c r="E1968" s="50"/>
      <c r="F1968" s="50"/>
      <c r="G1968" s="50">
        <v>1825</v>
      </c>
      <c r="H1968" s="50"/>
      <c r="I1968" s="50"/>
      <c r="J1968" s="50"/>
      <c r="K1968" s="50"/>
      <c r="L1968" s="50"/>
      <c r="M1968" s="50"/>
      <c r="N1968" s="50"/>
      <c r="O1968" s="50"/>
      <c r="P1968" s="50"/>
      <c r="Q1968" s="50"/>
      <c r="R1968" s="50"/>
    </row>
    <row r="1969" spans="1:18" s="43" customFormat="1" x14ac:dyDescent="0.25">
      <c r="A1969" s="235" t="s">
        <v>1209</v>
      </c>
      <c r="B1969" s="236"/>
      <c r="C1969" s="52"/>
      <c r="D1969" s="50"/>
      <c r="E1969" s="50"/>
      <c r="F1969" s="50"/>
      <c r="G1969" s="50"/>
      <c r="H1969" s="50"/>
      <c r="I1969" s="50"/>
      <c r="J1969" s="50"/>
      <c r="K1969" s="50"/>
      <c r="L1969" s="50"/>
      <c r="M1969" s="50"/>
      <c r="N1969" s="50"/>
      <c r="O1969" s="50"/>
      <c r="P1969" s="50"/>
      <c r="Q1969" s="50"/>
      <c r="R1969" s="50"/>
    </row>
    <row r="1970" spans="1:18" s="43" customFormat="1" x14ac:dyDescent="0.25">
      <c r="A1970" s="239" t="s">
        <v>1210</v>
      </c>
      <c r="B1970" s="240" t="s">
        <v>487</v>
      </c>
      <c r="C1970" s="52"/>
      <c r="D1970" s="50"/>
      <c r="E1970" s="50"/>
      <c r="F1970" s="50"/>
      <c r="G1970" s="50"/>
      <c r="H1970" s="50"/>
      <c r="I1970" s="50"/>
      <c r="J1970" s="50"/>
      <c r="K1970" s="50"/>
      <c r="L1970" s="50"/>
      <c r="M1970" s="50"/>
      <c r="N1970" s="50"/>
      <c r="O1970" s="50"/>
      <c r="P1970" s="50"/>
      <c r="Q1970" s="50"/>
      <c r="R1970" s="50"/>
    </row>
    <row r="1971" spans="1:18" s="43" customFormat="1" x14ac:dyDescent="0.25">
      <c r="A1971" s="239" t="s">
        <v>1211</v>
      </c>
      <c r="B1971" s="240" t="s">
        <v>487</v>
      </c>
      <c r="C1971" s="52"/>
      <c r="D1971" s="50"/>
      <c r="E1971" s="50"/>
      <c r="F1971" s="50"/>
      <c r="G1971" s="50"/>
      <c r="H1971" s="50"/>
      <c r="I1971" s="50"/>
      <c r="J1971" s="50"/>
      <c r="K1971" s="50"/>
      <c r="L1971" s="50"/>
      <c r="M1971" s="50"/>
      <c r="N1971" s="50"/>
      <c r="O1971" s="50"/>
      <c r="P1971" s="50"/>
      <c r="Q1971" s="50"/>
      <c r="R1971" s="50"/>
    </row>
    <row r="1972" spans="1:18" s="43" customFormat="1" x14ac:dyDescent="0.25">
      <c r="A1972" s="239" t="s">
        <v>862</v>
      </c>
      <c r="B1972" s="240" t="s">
        <v>487</v>
      </c>
      <c r="C1972" s="52"/>
      <c r="D1972" s="50"/>
      <c r="E1972" s="50"/>
      <c r="F1972" s="50"/>
      <c r="G1972" s="50"/>
      <c r="H1972" s="50"/>
      <c r="I1972" s="50"/>
      <c r="J1972" s="50"/>
      <c r="K1972" s="50"/>
      <c r="L1972" s="50"/>
      <c r="M1972" s="50"/>
      <c r="N1972" s="50"/>
      <c r="O1972" s="50"/>
      <c r="P1972" s="50"/>
      <c r="Q1972" s="50"/>
      <c r="R1972" s="50"/>
    </row>
    <row r="1973" spans="1:18" s="43" customFormat="1" x14ac:dyDescent="0.25">
      <c r="A1973" s="239" t="s">
        <v>525</v>
      </c>
      <c r="B1973" s="240" t="s">
        <v>487</v>
      </c>
      <c r="C1973" s="52"/>
      <c r="D1973" s="50"/>
      <c r="E1973" s="50"/>
      <c r="F1973" s="50"/>
      <c r="G1973" s="50"/>
      <c r="H1973" s="50"/>
      <c r="I1973" s="50"/>
      <c r="J1973" s="50"/>
      <c r="K1973" s="50"/>
      <c r="L1973" s="50"/>
      <c r="M1973" s="50"/>
      <c r="N1973" s="50"/>
      <c r="O1973" s="50"/>
      <c r="P1973" s="50"/>
      <c r="Q1973" s="50"/>
      <c r="R1973" s="50"/>
    </row>
    <row r="1974" spans="1:18" s="43" customFormat="1" x14ac:dyDescent="0.25">
      <c r="A1974" s="239" t="s">
        <v>549</v>
      </c>
      <c r="B1974" s="240" t="s">
        <v>487</v>
      </c>
      <c r="C1974" s="52"/>
      <c r="D1974" s="50"/>
      <c r="E1974" s="50"/>
      <c r="F1974" s="50"/>
      <c r="G1974" s="50"/>
      <c r="H1974" s="50"/>
      <c r="I1974" s="50"/>
      <c r="J1974" s="50"/>
      <c r="K1974" s="50"/>
      <c r="L1974" s="50"/>
      <c r="M1974" s="50"/>
      <c r="N1974" s="50"/>
      <c r="O1974" s="50"/>
      <c r="P1974" s="50"/>
      <c r="Q1974" s="50"/>
      <c r="R1974" s="50"/>
    </row>
    <row r="1975" spans="1:18" s="43" customFormat="1" x14ac:dyDescent="0.25">
      <c r="A1975" s="239" t="s">
        <v>858</v>
      </c>
      <c r="B1975" s="240" t="s">
        <v>487</v>
      </c>
      <c r="C1975" s="52"/>
      <c r="D1975" s="50"/>
      <c r="E1975" s="50"/>
      <c r="F1975" s="50"/>
      <c r="G1975" s="50"/>
      <c r="H1975" s="50"/>
      <c r="I1975" s="50"/>
      <c r="J1975" s="50"/>
      <c r="K1975" s="50"/>
      <c r="L1975" s="50"/>
      <c r="M1975" s="50"/>
      <c r="N1975" s="50"/>
      <c r="O1975" s="50"/>
      <c r="P1975" s="50"/>
      <c r="Q1975" s="50"/>
      <c r="R1975" s="50"/>
    </row>
    <row r="1976" spans="1:18" s="43" customFormat="1" x14ac:dyDescent="0.25">
      <c r="A1976" s="239" t="s">
        <v>860</v>
      </c>
      <c r="B1976" s="240" t="s">
        <v>487</v>
      </c>
      <c r="C1976" s="52"/>
      <c r="D1976" s="50"/>
      <c r="E1976" s="50"/>
      <c r="F1976" s="50"/>
      <c r="G1976" s="50"/>
      <c r="H1976" s="50"/>
      <c r="I1976" s="50"/>
      <c r="J1976" s="50"/>
      <c r="K1976" s="50"/>
      <c r="L1976" s="50"/>
      <c r="M1976" s="50"/>
      <c r="N1976" s="50"/>
      <c r="O1976" s="50"/>
      <c r="P1976" s="50"/>
      <c r="Q1976" s="50"/>
      <c r="R1976" s="50"/>
    </row>
    <row r="1977" spans="1:18" s="43" customFormat="1" x14ac:dyDescent="0.25">
      <c r="A1977" s="235" t="s">
        <v>1212</v>
      </c>
      <c r="B1977" s="236"/>
      <c r="C1977" s="52"/>
      <c r="D1977" s="50"/>
      <c r="E1977" s="50"/>
      <c r="F1977" s="50"/>
      <c r="G1977" s="50"/>
      <c r="H1977" s="50"/>
      <c r="I1977" s="50"/>
      <c r="J1977" s="50"/>
      <c r="K1977" s="50"/>
      <c r="L1977" s="50"/>
      <c r="M1977" s="50"/>
      <c r="N1977" s="50"/>
      <c r="O1977" s="50"/>
      <c r="P1977" s="50"/>
      <c r="Q1977" s="50"/>
      <c r="R1977" s="50"/>
    </row>
    <row r="1978" spans="1:18" s="43" customFormat="1" x14ac:dyDescent="0.25">
      <c r="A1978" s="233" t="s">
        <v>1213</v>
      </c>
      <c r="B1978" s="241" t="s">
        <v>1183</v>
      </c>
      <c r="C1978" s="52"/>
      <c r="D1978" s="50"/>
      <c r="E1978" s="50"/>
      <c r="F1978" s="50"/>
      <c r="G1978" s="50"/>
      <c r="H1978" s="50"/>
      <c r="I1978" s="50"/>
      <c r="J1978" s="50"/>
      <c r="K1978" s="50"/>
      <c r="L1978" s="50"/>
      <c r="M1978" s="50"/>
      <c r="N1978" s="50"/>
      <c r="O1978" s="50"/>
      <c r="P1978" s="50"/>
      <c r="Q1978" s="50"/>
      <c r="R1978" s="50"/>
    </row>
    <row r="1979" spans="1:18" s="43" customFormat="1" x14ac:dyDescent="0.25">
      <c r="A1979" s="147" t="s">
        <v>963</v>
      </c>
      <c r="B1979" s="241" t="s">
        <v>1183</v>
      </c>
      <c r="C1979" s="52"/>
      <c r="D1979" s="50"/>
      <c r="E1979" s="50"/>
      <c r="F1979" s="50"/>
      <c r="G1979" s="50"/>
      <c r="H1979" s="50"/>
      <c r="I1979" s="50"/>
      <c r="J1979" s="50"/>
      <c r="K1979" s="50"/>
      <c r="L1979" s="50"/>
      <c r="M1979" s="50"/>
      <c r="N1979" s="50"/>
      <c r="O1979" s="50"/>
      <c r="P1979" s="50"/>
      <c r="Q1979" s="50"/>
      <c r="R1979" s="50"/>
    </row>
    <row r="1980" spans="1:18" s="43" customFormat="1" x14ac:dyDescent="0.25">
      <c r="A1980" s="147" t="s">
        <v>1214</v>
      </c>
      <c r="B1980" s="241" t="s">
        <v>1183</v>
      </c>
      <c r="C1980" s="52"/>
      <c r="D1980" s="50"/>
      <c r="E1980" s="50"/>
      <c r="F1980" s="50"/>
      <c r="G1980" s="50"/>
      <c r="H1980" s="50"/>
      <c r="I1980" s="50"/>
      <c r="J1980" s="50"/>
      <c r="K1980" s="50"/>
      <c r="L1980" s="50"/>
      <c r="M1980" s="50"/>
      <c r="N1980" s="50"/>
      <c r="O1980" s="50"/>
      <c r="P1980" s="50"/>
      <c r="Q1980" s="50"/>
      <c r="R1980" s="50"/>
    </row>
    <row r="1981" spans="1:18" s="43" customFormat="1" x14ac:dyDescent="0.25">
      <c r="A1981" s="147" t="s">
        <v>1215</v>
      </c>
      <c r="B1981" s="241" t="s">
        <v>1183</v>
      </c>
      <c r="C1981" s="52"/>
      <c r="D1981" s="50"/>
      <c r="E1981" s="50"/>
      <c r="F1981" s="50"/>
      <c r="G1981" s="50"/>
      <c r="H1981" s="50"/>
      <c r="I1981" s="50"/>
      <c r="J1981" s="50"/>
      <c r="K1981" s="50"/>
      <c r="L1981" s="50"/>
      <c r="M1981" s="50"/>
      <c r="N1981" s="50"/>
      <c r="O1981" s="50"/>
      <c r="P1981" s="50"/>
      <c r="Q1981" s="50"/>
      <c r="R1981" s="50"/>
    </row>
    <row r="1982" spans="1:18" s="43" customFormat="1" x14ac:dyDescent="0.25">
      <c r="A1982" s="147" t="s">
        <v>1216</v>
      </c>
      <c r="B1982" s="241" t="s">
        <v>1183</v>
      </c>
      <c r="C1982" s="52"/>
      <c r="D1982" s="50"/>
      <c r="E1982" s="50"/>
      <c r="F1982" s="50"/>
      <c r="G1982" s="50"/>
      <c r="H1982" s="50"/>
      <c r="I1982" s="50"/>
      <c r="J1982" s="50"/>
      <c r="K1982" s="50"/>
      <c r="L1982" s="50"/>
      <c r="M1982" s="50"/>
      <c r="N1982" s="50"/>
      <c r="O1982" s="50"/>
      <c r="P1982" s="50"/>
      <c r="Q1982" s="50"/>
      <c r="R1982" s="50"/>
    </row>
    <row r="1983" spans="1:18" s="43" customFormat="1" x14ac:dyDescent="0.25">
      <c r="A1983" s="233" t="s">
        <v>1217</v>
      </c>
      <c r="B1983" s="241" t="s">
        <v>1183</v>
      </c>
      <c r="C1983" s="52"/>
      <c r="D1983" s="50"/>
      <c r="E1983" s="50"/>
      <c r="F1983" s="50"/>
      <c r="G1983" s="50"/>
      <c r="H1983" s="50"/>
      <c r="I1983" s="50"/>
      <c r="J1983" s="50"/>
      <c r="K1983" s="50"/>
      <c r="L1983" s="50"/>
      <c r="M1983" s="50"/>
      <c r="N1983" s="50"/>
      <c r="O1983" s="50"/>
      <c r="P1983" s="50"/>
      <c r="Q1983" s="50"/>
      <c r="R1983" s="50"/>
    </row>
    <row r="1984" spans="1:18" s="43" customFormat="1" x14ac:dyDescent="0.25">
      <c r="A1984" s="147" t="s">
        <v>1218</v>
      </c>
      <c r="B1984" s="241" t="s">
        <v>1183</v>
      </c>
      <c r="C1984" s="52"/>
      <c r="D1984" s="50"/>
      <c r="E1984" s="50"/>
      <c r="F1984" s="50"/>
      <c r="G1984" s="50"/>
      <c r="H1984" s="50"/>
      <c r="I1984" s="50"/>
      <c r="J1984" s="50"/>
      <c r="K1984" s="50"/>
      <c r="L1984" s="50"/>
      <c r="M1984" s="50"/>
      <c r="N1984" s="50"/>
      <c r="O1984" s="50"/>
      <c r="P1984" s="50"/>
      <c r="Q1984" s="50"/>
      <c r="R1984" s="50"/>
    </row>
    <row r="1985" spans="1:18" s="43" customFormat="1" x14ac:dyDescent="0.25">
      <c r="A1985" s="147" t="s">
        <v>1219</v>
      </c>
      <c r="B1985" s="241" t="s">
        <v>1183</v>
      </c>
      <c r="C1985" s="52"/>
      <c r="D1985" s="50"/>
      <c r="E1985" s="50"/>
      <c r="F1985" s="50"/>
      <c r="G1985" s="50"/>
      <c r="H1985" s="50"/>
      <c r="I1985" s="50"/>
      <c r="J1985" s="50"/>
      <c r="K1985" s="50"/>
      <c r="L1985" s="50"/>
      <c r="M1985" s="50"/>
      <c r="N1985" s="50"/>
      <c r="O1985" s="50"/>
      <c r="P1985" s="50"/>
      <c r="Q1985" s="50"/>
      <c r="R1985" s="50"/>
    </row>
    <row r="1986" spans="1:18" s="43" customFormat="1" x14ac:dyDescent="0.25">
      <c r="A1986" s="147" t="s">
        <v>1220</v>
      </c>
      <c r="B1986" s="241" t="s">
        <v>1183</v>
      </c>
      <c r="C1986" s="52"/>
      <c r="D1986" s="50"/>
      <c r="E1986" s="50"/>
      <c r="F1986" s="50"/>
      <c r="G1986" s="50"/>
      <c r="H1986" s="50"/>
      <c r="I1986" s="50"/>
      <c r="J1986" s="50"/>
      <c r="K1986" s="50"/>
      <c r="L1986" s="50"/>
      <c r="M1986" s="50"/>
      <c r="N1986" s="50"/>
      <c r="O1986" s="50"/>
      <c r="P1986" s="50"/>
      <c r="Q1986" s="50"/>
      <c r="R1986" s="50"/>
    </row>
    <row r="1987" spans="1:18" s="43" customFormat="1" x14ac:dyDescent="0.25">
      <c r="A1987" s="147" t="s">
        <v>1221</v>
      </c>
      <c r="B1987" s="241" t="s">
        <v>1183</v>
      </c>
      <c r="C1987" s="52"/>
      <c r="D1987" s="50"/>
      <c r="E1987" s="50"/>
      <c r="F1987" s="50"/>
      <c r="G1987" s="50"/>
      <c r="H1987" s="50"/>
      <c r="I1987" s="50"/>
      <c r="J1987" s="50"/>
      <c r="K1987" s="50"/>
      <c r="L1987" s="50"/>
      <c r="M1987" s="50"/>
      <c r="N1987" s="50"/>
      <c r="O1987" s="50"/>
      <c r="P1987" s="50"/>
      <c r="Q1987" s="50"/>
      <c r="R1987" s="50"/>
    </row>
    <row r="1988" spans="1:18" s="43" customFormat="1" x14ac:dyDescent="0.25">
      <c r="A1988" s="147" t="s">
        <v>1222</v>
      </c>
      <c r="B1988" s="241" t="s">
        <v>1183</v>
      </c>
      <c r="C1988" s="52"/>
      <c r="D1988" s="50"/>
      <c r="E1988" s="50"/>
      <c r="F1988" s="50"/>
      <c r="G1988" s="50"/>
      <c r="H1988" s="50"/>
      <c r="I1988" s="50"/>
      <c r="J1988" s="50"/>
      <c r="K1988" s="50"/>
      <c r="L1988" s="50"/>
      <c r="M1988" s="50"/>
      <c r="N1988" s="50"/>
      <c r="O1988" s="50"/>
      <c r="P1988" s="50"/>
      <c r="Q1988" s="50"/>
      <c r="R1988" s="50"/>
    </row>
    <row r="1989" spans="1:18" s="43" customFormat="1" x14ac:dyDescent="0.25">
      <c r="A1989" s="147" t="s">
        <v>1223</v>
      </c>
      <c r="B1989" s="241" t="s">
        <v>1183</v>
      </c>
      <c r="C1989" s="52"/>
      <c r="D1989" s="50"/>
      <c r="E1989" s="50"/>
      <c r="F1989" s="50"/>
      <c r="G1989" s="50"/>
      <c r="H1989" s="50"/>
      <c r="I1989" s="50"/>
      <c r="J1989" s="50"/>
      <c r="K1989" s="50"/>
      <c r="L1989" s="50"/>
      <c r="M1989" s="50"/>
      <c r="N1989" s="50"/>
      <c r="O1989" s="50"/>
      <c r="P1989" s="50"/>
      <c r="Q1989" s="50"/>
      <c r="R1989" s="50"/>
    </row>
    <row r="1990" spans="1:18" s="43" customFormat="1" x14ac:dyDescent="0.25">
      <c r="A1990" s="147" t="s">
        <v>972</v>
      </c>
      <c r="B1990" s="241" t="s">
        <v>1183</v>
      </c>
      <c r="C1990" s="52"/>
      <c r="D1990" s="50"/>
      <c r="E1990" s="50"/>
      <c r="F1990" s="50"/>
      <c r="G1990" s="50"/>
      <c r="H1990" s="50"/>
      <c r="I1990" s="50"/>
      <c r="J1990" s="50"/>
      <c r="K1990" s="50"/>
      <c r="L1990" s="50"/>
      <c r="M1990" s="50"/>
      <c r="N1990" s="50"/>
      <c r="O1990" s="50"/>
      <c r="P1990" s="50"/>
      <c r="Q1990" s="50"/>
      <c r="R1990" s="50"/>
    </row>
    <row r="1991" spans="1:18" s="43" customFormat="1" x14ac:dyDescent="0.25">
      <c r="A1991" s="233" t="s">
        <v>1016</v>
      </c>
      <c r="B1991" s="241" t="s">
        <v>1183</v>
      </c>
      <c r="C1991" s="52"/>
      <c r="D1991" s="50"/>
      <c r="E1991" s="50"/>
      <c r="F1991" s="50"/>
      <c r="G1991" s="50"/>
      <c r="H1991" s="50"/>
      <c r="I1991" s="50"/>
      <c r="J1991" s="50"/>
      <c r="K1991" s="50"/>
      <c r="L1991" s="50"/>
      <c r="M1991" s="50"/>
      <c r="N1991" s="50"/>
      <c r="O1991" s="50"/>
      <c r="P1991" s="50"/>
      <c r="Q1991" s="50"/>
      <c r="R1991" s="50"/>
    </row>
    <row r="1992" spans="1:18" s="43" customFormat="1" x14ac:dyDescent="0.25">
      <c r="A1992" s="147" t="s">
        <v>1018</v>
      </c>
      <c r="B1992" s="241" t="s">
        <v>1183</v>
      </c>
      <c r="C1992" s="52"/>
      <c r="D1992" s="50"/>
      <c r="E1992" s="50"/>
      <c r="F1992" s="50"/>
      <c r="G1992" s="50"/>
      <c r="H1992" s="50"/>
      <c r="I1992" s="50"/>
      <c r="J1992" s="50"/>
      <c r="K1992" s="50"/>
      <c r="L1992" s="50"/>
      <c r="M1992" s="50"/>
      <c r="N1992" s="50"/>
      <c r="O1992" s="50"/>
      <c r="P1992" s="50"/>
      <c r="Q1992" s="50"/>
      <c r="R1992" s="50"/>
    </row>
    <row r="1993" spans="1:18" s="43" customFormat="1" x14ac:dyDescent="0.25">
      <c r="A1993" s="147" t="s">
        <v>1020</v>
      </c>
      <c r="B1993" s="241" t="s">
        <v>1183</v>
      </c>
      <c r="C1993" s="52"/>
      <c r="D1993" s="50"/>
      <c r="E1993" s="50"/>
      <c r="F1993" s="50"/>
      <c r="G1993" s="50"/>
      <c r="H1993" s="50"/>
      <c r="I1993" s="50"/>
      <c r="J1993" s="50"/>
      <c r="K1993" s="50"/>
      <c r="L1993" s="50"/>
      <c r="M1993" s="50"/>
      <c r="N1993" s="50"/>
      <c r="O1993" s="50"/>
      <c r="P1993" s="50"/>
      <c r="Q1993" s="50"/>
      <c r="R1993" s="50"/>
    </row>
    <row r="1994" spans="1:18" s="43" customFormat="1" x14ac:dyDescent="0.25">
      <c r="A1994" s="147" t="s">
        <v>1224</v>
      </c>
      <c r="B1994" s="241" t="s">
        <v>1183</v>
      </c>
      <c r="C1994" s="52"/>
      <c r="D1994" s="50"/>
      <c r="E1994" s="50"/>
      <c r="F1994" s="50"/>
      <c r="G1994" s="50"/>
      <c r="H1994" s="50"/>
      <c r="I1994" s="50"/>
      <c r="J1994" s="50"/>
      <c r="K1994" s="50"/>
      <c r="L1994" s="50"/>
      <c r="M1994" s="50"/>
      <c r="N1994" s="50"/>
      <c r="O1994" s="50"/>
      <c r="P1994" s="50"/>
      <c r="Q1994" s="50"/>
      <c r="R1994" s="50"/>
    </row>
    <row r="1995" spans="1:18" s="43" customFormat="1" x14ac:dyDescent="0.25">
      <c r="A1995" s="233" t="s">
        <v>1225</v>
      </c>
      <c r="B1995" s="241" t="s">
        <v>1183</v>
      </c>
      <c r="C1995" s="52"/>
      <c r="D1995" s="50"/>
      <c r="E1995" s="50"/>
      <c r="F1995" s="50"/>
      <c r="G1995" s="50"/>
      <c r="H1995" s="50"/>
      <c r="I1995" s="50"/>
      <c r="J1995" s="50"/>
      <c r="K1995" s="50"/>
      <c r="L1995" s="50"/>
      <c r="M1995" s="50"/>
      <c r="N1995" s="50"/>
      <c r="O1995" s="50"/>
      <c r="P1995" s="50"/>
      <c r="Q1995" s="50"/>
      <c r="R1995" s="50"/>
    </row>
    <row r="1996" spans="1:18" s="43" customFormat="1" x14ac:dyDescent="0.25">
      <c r="A1996" s="147" t="s">
        <v>588</v>
      </c>
      <c r="B1996" s="241" t="s">
        <v>1183</v>
      </c>
      <c r="C1996" s="52"/>
      <c r="D1996" s="50"/>
      <c r="E1996" s="50"/>
      <c r="F1996" s="50"/>
      <c r="G1996" s="50"/>
      <c r="H1996" s="50"/>
      <c r="I1996" s="50"/>
      <c r="J1996" s="50"/>
      <c r="K1996" s="50"/>
      <c r="L1996" s="50"/>
      <c r="M1996" s="50"/>
      <c r="N1996" s="50"/>
      <c r="O1996" s="50"/>
      <c r="P1996" s="50"/>
      <c r="Q1996" s="50"/>
      <c r="R1996" s="50"/>
    </row>
    <row r="1997" spans="1:18" s="43" customFormat="1" x14ac:dyDescent="0.25">
      <c r="A1997" s="147" t="s">
        <v>596</v>
      </c>
      <c r="B1997" s="241" t="s">
        <v>1183</v>
      </c>
      <c r="C1997" s="52"/>
      <c r="D1997" s="50"/>
      <c r="E1997" s="50"/>
      <c r="F1997" s="50"/>
      <c r="G1997" s="50"/>
      <c r="H1997" s="50"/>
      <c r="I1997" s="50"/>
      <c r="J1997" s="50"/>
      <c r="K1997" s="50"/>
      <c r="L1997" s="50"/>
      <c r="M1997" s="50"/>
      <c r="N1997" s="50"/>
      <c r="O1997" s="50"/>
      <c r="P1997" s="50"/>
      <c r="Q1997" s="50"/>
      <c r="R1997" s="50"/>
    </row>
    <row r="1998" spans="1:18" s="43" customFormat="1" x14ac:dyDescent="0.25">
      <c r="A1998" s="242" t="s">
        <v>594</v>
      </c>
      <c r="B1998" s="241" t="s">
        <v>1183</v>
      </c>
      <c r="C1998" s="52"/>
      <c r="D1998" s="50"/>
      <c r="E1998" s="50"/>
      <c r="F1998" s="50"/>
      <c r="G1998" s="50"/>
      <c r="H1998" s="50"/>
      <c r="I1998" s="50"/>
      <c r="J1998" s="50"/>
      <c r="K1998" s="50"/>
      <c r="L1998" s="50"/>
      <c r="M1998" s="50"/>
      <c r="N1998" s="50"/>
      <c r="O1998" s="50"/>
      <c r="P1998" s="50"/>
      <c r="Q1998" s="50"/>
      <c r="R1998" s="50"/>
    </row>
    <row r="1999" spans="1:18" s="43" customFormat="1" x14ac:dyDescent="0.25">
      <c r="A1999" s="242" t="s">
        <v>595</v>
      </c>
      <c r="B1999" s="241" t="s">
        <v>1183</v>
      </c>
      <c r="C1999" s="52"/>
      <c r="D1999" s="50"/>
      <c r="E1999" s="50"/>
      <c r="F1999" s="50"/>
      <c r="G1999" s="50"/>
      <c r="H1999" s="50"/>
      <c r="I1999" s="50"/>
      <c r="J1999" s="50"/>
      <c r="K1999" s="50"/>
      <c r="L1999" s="50"/>
      <c r="M1999" s="50"/>
      <c r="N1999" s="50"/>
      <c r="O1999" s="50"/>
      <c r="P1999" s="50"/>
      <c r="Q1999" s="50"/>
      <c r="R1999" s="50"/>
    </row>
    <row r="2000" spans="1:18" s="43" customFormat="1" x14ac:dyDescent="0.25">
      <c r="A2000" s="243" t="s">
        <v>1226</v>
      </c>
      <c r="B2000" s="236"/>
      <c r="C2000" s="52"/>
      <c r="D2000" s="50"/>
      <c r="E2000" s="50"/>
      <c r="F2000" s="50"/>
      <c r="G2000" s="50"/>
      <c r="H2000" s="50"/>
      <c r="I2000" s="50"/>
      <c r="J2000" s="50"/>
      <c r="K2000" s="50"/>
      <c r="L2000" s="50"/>
      <c r="M2000" s="50"/>
      <c r="N2000" s="50"/>
      <c r="O2000" s="50"/>
      <c r="P2000" s="50"/>
      <c r="Q2000" s="50"/>
      <c r="R2000" s="50"/>
    </row>
    <row r="2001" spans="1:18" s="43" customFormat="1" x14ac:dyDescent="0.25">
      <c r="A2001" s="140" t="s">
        <v>505</v>
      </c>
      <c r="B2001" s="244" t="s">
        <v>506</v>
      </c>
      <c r="C2001" s="52"/>
      <c r="D2001" s="50"/>
      <c r="E2001" s="50"/>
      <c r="F2001" s="50"/>
      <c r="G2001" s="50">
        <v>20000</v>
      </c>
      <c r="H2001" s="50"/>
      <c r="I2001" s="50"/>
      <c r="J2001" s="50"/>
      <c r="K2001" s="50"/>
      <c r="L2001" s="50"/>
      <c r="M2001" s="50"/>
      <c r="N2001" s="50"/>
      <c r="O2001" s="50"/>
      <c r="P2001" s="50"/>
      <c r="Q2001" s="50"/>
      <c r="R2001" s="50"/>
    </row>
    <row r="2002" spans="1:18" s="43" customFormat="1" x14ac:dyDescent="0.25">
      <c r="A2002" s="140" t="s">
        <v>507</v>
      </c>
      <c r="B2002" s="244" t="s">
        <v>506</v>
      </c>
      <c r="C2002" s="52"/>
      <c r="D2002" s="50"/>
      <c r="E2002" s="50"/>
      <c r="F2002" s="50"/>
      <c r="G2002" s="50">
        <v>21900</v>
      </c>
      <c r="H2002" s="50"/>
      <c r="I2002" s="50"/>
      <c r="J2002" s="50"/>
      <c r="K2002" s="50"/>
      <c r="L2002" s="50"/>
      <c r="M2002" s="50"/>
      <c r="N2002" s="50"/>
      <c r="O2002" s="50"/>
      <c r="P2002" s="50"/>
      <c r="Q2002" s="50"/>
      <c r="R2002" s="50"/>
    </row>
    <row r="2003" spans="1:18" s="43" customFormat="1" x14ac:dyDescent="0.25">
      <c r="A2003" s="245" t="s">
        <v>810</v>
      </c>
      <c r="B2003" s="244" t="s">
        <v>506</v>
      </c>
      <c r="C2003" s="52"/>
      <c r="D2003" s="50"/>
      <c r="E2003" s="50"/>
      <c r="F2003" s="50"/>
      <c r="G2003" s="50">
        <v>6277</v>
      </c>
      <c r="H2003" s="50"/>
      <c r="I2003" s="50"/>
      <c r="J2003" s="50"/>
      <c r="K2003" s="50"/>
      <c r="L2003" s="50"/>
      <c r="M2003" s="50"/>
      <c r="N2003" s="50"/>
      <c r="O2003" s="50"/>
      <c r="P2003" s="50"/>
      <c r="Q2003" s="50"/>
      <c r="R2003" s="50"/>
    </row>
    <row r="2004" spans="1:18" s="43" customFormat="1" x14ac:dyDescent="0.25">
      <c r="A2004" s="140" t="s">
        <v>1227</v>
      </c>
      <c r="B2004" s="244" t="s">
        <v>506</v>
      </c>
      <c r="C2004" s="52"/>
      <c r="D2004" s="50"/>
      <c r="E2004" s="50"/>
      <c r="F2004" s="50"/>
      <c r="G2004" s="50">
        <v>7562</v>
      </c>
      <c r="H2004" s="50"/>
      <c r="I2004" s="50"/>
      <c r="J2004" s="50"/>
      <c r="K2004" s="50"/>
      <c r="L2004" s="50"/>
      <c r="M2004" s="50"/>
      <c r="N2004" s="50"/>
      <c r="O2004" s="50"/>
      <c r="P2004" s="50"/>
      <c r="Q2004" s="50"/>
      <c r="R2004" s="50"/>
    </row>
    <row r="2005" spans="1:18" s="43" customFormat="1" x14ac:dyDescent="0.25">
      <c r="A2005" s="246" t="s">
        <v>1228</v>
      </c>
      <c r="B2005" s="247" t="s">
        <v>691</v>
      </c>
      <c r="C2005" s="52"/>
      <c r="D2005" s="50"/>
      <c r="E2005" s="50"/>
      <c r="F2005" s="50"/>
      <c r="G2005" s="50">
        <v>20000</v>
      </c>
      <c r="H2005" s="50"/>
      <c r="I2005" s="50"/>
      <c r="J2005" s="50"/>
      <c r="K2005" s="50"/>
      <c r="L2005" s="50"/>
      <c r="M2005" s="50"/>
      <c r="N2005" s="50"/>
      <c r="O2005" s="50"/>
      <c r="P2005" s="50"/>
      <c r="Q2005" s="50"/>
      <c r="R2005" s="50"/>
    </row>
    <row r="2006" spans="1:18" s="43" customFormat="1" x14ac:dyDescent="0.25">
      <c r="A2006" s="147" t="s">
        <v>310</v>
      </c>
      <c r="B2006" s="247"/>
      <c r="C2006" s="52"/>
      <c r="D2006" s="50"/>
      <c r="E2006" s="50"/>
      <c r="F2006" s="50"/>
      <c r="G2006" s="50"/>
      <c r="H2006" s="50"/>
      <c r="I2006" s="50"/>
      <c r="J2006" s="50"/>
      <c r="K2006" s="50"/>
      <c r="L2006" s="50"/>
      <c r="M2006" s="50"/>
      <c r="N2006" s="50"/>
      <c r="O2006" s="50"/>
      <c r="P2006" s="50"/>
      <c r="Q2006" s="50"/>
      <c r="R2006" s="50"/>
    </row>
    <row r="2007" spans="1:18" s="43" customFormat="1" x14ac:dyDescent="0.25">
      <c r="A2007" s="147" t="s">
        <v>249</v>
      </c>
      <c r="B2007" s="247"/>
      <c r="C2007" s="52"/>
      <c r="D2007" s="50"/>
      <c r="E2007" s="50"/>
      <c r="F2007" s="50"/>
      <c r="G2007" s="50"/>
      <c r="H2007" s="50"/>
      <c r="I2007" s="50"/>
      <c r="J2007" s="50"/>
      <c r="K2007" s="50"/>
      <c r="L2007" s="50"/>
      <c r="M2007" s="50"/>
      <c r="N2007" s="50"/>
      <c r="O2007" s="50"/>
      <c r="P2007" s="50"/>
      <c r="Q2007" s="50"/>
      <c r="R2007" s="50"/>
    </row>
    <row r="2008" spans="1:18" s="43" customFormat="1" x14ac:dyDescent="0.25">
      <c r="A2008" s="147" t="s">
        <v>815</v>
      </c>
      <c r="B2008" s="247"/>
      <c r="C2008" s="52"/>
      <c r="D2008" s="50"/>
      <c r="E2008" s="50"/>
      <c r="F2008" s="50"/>
      <c r="G2008" s="50"/>
      <c r="H2008" s="50"/>
      <c r="I2008" s="50"/>
      <c r="J2008" s="50"/>
      <c r="K2008" s="50"/>
      <c r="L2008" s="50"/>
      <c r="M2008" s="50"/>
      <c r="N2008" s="50"/>
      <c r="O2008" s="50"/>
      <c r="P2008" s="50"/>
      <c r="Q2008" s="50"/>
      <c r="R2008" s="50"/>
    </row>
    <row r="2009" spans="1:18" s="43" customFormat="1" x14ac:dyDescent="0.25">
      <c r="A2009" s="147" t="s">
        <v>1229</v>
      </c>
      <c r="B2009" s="247"/>
      <c r="C2009" s="52"/>
      <c r="D2009" s="50"/>
      <c r="E2009" s="50"/>
      <c r="F2009" s="50"/>
      <c r="G2009" s="50"/>
      <c r="H2009" s="50"/>
      <c r="I2009" s="50"/>
      <c r="J2009" s="50"/>
      <c r="K2009" s="50"/>
      <c r="L2009" s="50"/>
      <c r="M2009" s="50"/>
      <c r="N2009" s="50"/>
      <c r="O2009" s="50"/>
      <c r="P2009" s="50"/>
      <c r="Q2009" s="50"/>
      <c r="R2009" s="50"/>
    </row>
    <row r="2010" spans="1:18" s="43" customFormat="1" x14ac:dyDescent="0.25">
      <c r="A2010" s="147" t="s">
        <v>1230</v>
      </c>
      <c r="B2010" s="247"/>
      <c r="C2010" s="52"/>
      <c r="D2010" s="50"/>
      <c r="E2010" s="50"/>
      <c r="F2010" s="50"/>
      <c r="G2010" s="50"/>
      <c r="H2010" s="50"/>
      <c r="I2010" s="50"/>
      <c r="J2010" s="50"/>
      <c r="K2010" s="50"/>
      <c r="L2010" s="50"/>
      <c r="M2010" s="50"/>
      <c r="N2010" s="50"/>
      <c r="O2010" s="50"/>
      <c r="P2010" s="50"/>
      <c r="Q2010" s="50"/>
      <c r="R2010" s="50"/>
    </row>
    <row r="2011" spans="1:18" s="43" customFormat="1" x14ac:dyDescent="0.25">
      <c r="A2011" s="147" t="s">
        <v>1231</v>
      </c>
      <c r="B2011" s="247"/>
      <c r="C2011" s="52"/>
      <c r="D2011" s="50"/>
      <c r="E2011" s="50"/>
      <c r="F2011" s="50"/>
      <c r="G2011" s="50"/>
      <c r="H2011" s="50"/>
      <c r="I2011" s="50"/>
      <c r="J2011" s="50"/>
      <c r="K2011" s="50"/>
      <c r="L2011" s="50"/>
      <c r="M2011" s="50"/>
      <c r="N2011" s="50"/>
      <c r="O2011" s="50"/>
      <c r="P2011" s="50"/>
      <c r="Q2011" s="50"/>
      <c r="R2011" s="50"/>
    </row>
    <row r="2012" spans="1:18" s="43" customFormat="1" x14ac:dyDescent="0.25">
      <c r="A2012" s="147" t="s">
        <v>1232</v>
      </c>
      <c r="B2012" s="247"/>
      <c r="C2012" s="52"/>
      <c r="D2012" s="50"/>
      <c r="E2012" s="50"/>
      <c r="F2012" s="50"/>
      <c r="G2012" s="50"/>
      <c r="H2012" s="50"/>
      <c r="I2012" s="50"/>
      <c r="J2012" s="50"/>
      <c r="K2012" s="50"/>
      <c r="L2012" s="50"/>
      <c r="M2012" s="50"/>
      <c r="N2012" s="50"/>
      <c r="O2012" s="50"/>
      <c r="P2012" s="50"/>
      <c r="Q2012" s="50"/>
      <c r="R2012" s="50"/>
    </row>
    <row r="2013" spans="1:18" s="43" customFormat="1" x14ac:dyDescent="0.25">
      <c r="A2013" s="246" t="s">
        <v>958</v>
      </c>
      <c r="B2013" s="247"/>
      <c r="C2013" s="52"/>
      <c r="D2013" s="50"/>
      <c r="E2013" s="50"/>
      <c r="F2013" s="50"/>
      <c r="G2013" s="50"/>
      <c r="H2013" s="50"/>
      <c r="I2013" s="50"/>
      <c r="J2013" s="50"/>
      <c r="K2013" s="50"/>
      <c r="L2013" s="50"/>
      <c r="M2013" s="50"/>
      <c r="N2013" s="50"/>
      <c r="O2013" s="50"/>
      <c r="P2013" s="50"/>
      <c r="Q2013" s="50"/>
      <c r="R2013" s="50"/>
    </row>
    <row r="2014" spans="1:18" s="43" customFormat="1" x14ac:dyDescent="0.25">
      <c r="A2014" s="59" t="s">
        <v>1010</v>
      </c>
      <c r="B2014" s="247"/>
      <c r="C2014" s="52"/>
      <c r="D2014" s="50"/>
      <c r="E2014" s="50"/>
      <c r="F2014" s="50"/>
      <c r="G2014" s="50"/>
      <c r="H2014" s="50"/>
      <c r="I2014" s="50"/>
      <c r="J2014" s="50"/>
      <c r="K2014" s="50"/>
      <c r="L2014" s="50"/>
      <c r="M2014" s="50"/>
      <c r="N2014" s="50"/>
      <c r="O2014" s="50"/>
      <c r="P2014" s="50"/>
      <c r="Q2014" s="50"/>
      <c r="R2014" s="50"/>
    </row>
    <row r="2015" spans="1:18" s="43" customFormat="1" x14ac:dyDescent="0.25">
      <c r="A2015" s="43" t="s">
        <v>1086</v>
      </c>
      <c r="B2015" s="247"/>
      <c r="C2015" s="52"/>
      <c r="D2015" s="50"/>
      <c r="E2015" s="50"/>
      <c r="F2015" s="50"/>
      <c r="H2015" s="50"/>
      <c r="I2015" s="50"/>
      <c r="J2015" s="50"/>
      <c r="K2015" s="50"/>
      <c r="L2015" s="50"/>
      <c r="M2015" s="50"/>
      <c r="N2015" s="50"/>
      <c r="O2015" s="50"/>
      <c r="P2015" s="50"/>
      <c r="Q2015" s="50"/>
      <c r="R2015" s="50"/>
    </row>
    <row r="2016" spans="1:18" s="43" customFormat="1" x14ac:dyDescent="0.25">
      <c r="A2016" s="43" t="s">
        <v>1233</v>
      </c>
      <c r="B2016" s="247"/>
      <c r="C2016" s="52"/>
      <c r="D2016" s="50"/>
      <c r="E2016" s="50"/>
      <c r="F2016" s="50"/>
      <c r="H2016" s="50"/>
      <c r="I2016" s="50"/>
      <c r="J2016" s="50"/>
      <c r="K2016" s="50"/>
      <c r="L2016" s="50"/>
      <c r="M2016" s="50"/>
      <c r="N2016" s="50"/>
      <c r="O2016" s="50"/>
      <c r="P2016" s="50"/>
      <c r="Q2016" s="50"/>
      <c r="R2016" s="50"/>
    </row>
    <row r="2017" spans="1:18" s="43" customFormat="1" x14ac:dyDescent="0.25">
      <c r="A2017" s="43" t="s">
        <v>1234</v>
      </c>
      <c r="B2017" s="247"/>
      <c r="C2017" s="52"/>
      <c r="D2017" s="50"/>
      <c r="E2017" s="50"/>
      <c r="F2017" s="50"/>
      <c r="H2017" s="50"/>
      <c r="I2017" s="50"/>
      <c r="J2017" s="50"/>
      <c r="K2017" s="50"/>
      <c r="L2017" s="50"/>
      <c r="M2017" s="50"/>
      <c r="N2017" s="50"/>
      <c r="O2017" s="50"/>
      <c r="P2017" s="50"/>
      <c r="Q2017" s="50"/>
      <c r="R2017" s="50"/>
    </row>
    <row r="2018" spans="1:18" s="43" customFormat="1" x14ac:dyDescent="0.25">
      <c r="A2018" s="52" t="s">
        <v>1235</v>
      </c>
      <c r="B2018" s="247"/>
      <c r="C2018" s="52"/>
      <c r="D2018" s="50"/>
      <c r="E2018" s="50"/>
      <c r="F2018" s="50"/>
      <c r="H2018" s="50"/>
      <c r="I2018" s="50"/>
      <c r="J2018" s="50"/>
      <c r="K2018" s="50"/>
      <c r="L2018" s="50"/>
      <c r="M2018" s="50"/>
      <c r="N2018" s="50"/>
      <c r="O2018" s="50"/>
      <c r="P2018" s="50"/>
      <c r="Q2018" s="50"/>
      <c r="R2018" s="50"/>
    </row>
    <row r="2019" spans="1:18" s="43" customFormat="1" x14ac:dyDescent="0.25">
      <c r="A2019" s="52" t="s">
        <v>1084</v>
      </c>
      <c r="B2019" s="247"/>
      <c r="C2019" s="52"/>
      <c r="D2019" s="50"/>
      <c r="E2019" s="50"/>
      <c r="F2019" s="50"/>
      <c r="H2019" s="50"/>
      <c r="I2019" s="50"/>
      <c r="J2019" s="50"/>
      <c r="K2019" s="50"/>
      <c r="L2019" s="50"/>
      <c r="M2019" s="50"/>
      <c r="N2019" s="50"/>
      <c r="O2019" s="50"/>
      <c r="P2019" s="50"/>
      <c r="Q2019" s="50"/>
      <c r="R2019" s="50"/>
    </row>
    <row r="2020" spans="1:18" s="43" customFormat="1" x14ac:dyDescent="0.25">
      <c r="A2020" s="235" t="s">
        <v>1197</v>
      </c>
      <c r="B2020" s="247"/>
      <c r="C2020" s="52"/>
      <c r="D2020" s="50"/>
      <c r="E2020" s="50"/>
      <c r="F2020" s="50"/>
      <c r="G2020" s="50"/>
      <c r="H2020" s="50"/>
      <c r="I2020" s="50"/>
      <c r="J2020" s="50"/>
      <c r="K2020" s="50"/>
      <c r="L2020" s="50"/>
      <c r="M2020" s="50"/>
      <c r="N2020" s="50"/>
      <c r="O2020" s="50"/>
      <c r="P2020" s="50"/>
      <c r="Q2020" s="50"/>
      <c r="R2020" s="50"/>
    </row>
    <row r="2021" spans="1:18" s="43" customFormat="1" x14ac:dyDescent="0.25">
      <c r="A2021" s="235" t="s">
        <v>1209</v>
      </c>
      <c r="B2021" s="247"/>
      <c r="C2021" s="52"/>
      <c r="D2021" s="50"/>
      <c r="E2021" s="50"/>
      <c r="F2021" s="50"/>
      <c r="G2021" s="50"/>
      <c r="H2021" s="50"/>
      <c r="I2021" s="50"/>
      <c r="J2021" s="50"/>
      <c r="K2021" s="50"/>
      <c r="L2021" s="50"/>
      <c r="M2021" s="50"/>
      <c r="N2021" s="50"/>
      <c r="O2021" s="50"/>
      <c r="P2021" s="50"/>
      <c r="Q2021" s="50"/>
      <c r="R2021" s="50"/>
    </row>
    <row r="2022" spans="1:18" s="43" customFormat="1" x14ac:dyDescent="0.25">
      <c r="A2022" s="52"/>
      <c r="B2022" s="42"/>
      <c r="C2022" s="52"/>
      <c r="D2022" s="50"/>
      <c r="E2022" s="50"/>
      <c r="F2022" s="50"/>
      <c r="G2022" s="50"/>
      <c r="H2022" s="50"/>
      <c r="I2022" s="50"/>
      <c r="J2022" s="50"/>
      <c r="K2022" s="50"/>
      <c r="L2022" s="50"/>
      <c r="M2022" s="50"/>
      <c r="N2022" s="50"/>
      <c r="O2022" s="50"/>
      <c r="P2022" s="50"/>
      <c r="Q2022" s="50"/>
      <c r="R2022" s="50"/>
    </row>
    <row r="2023" spans="1:18" x14ac:dyDescent="0.25">
      <c r="A2023" s="41" t="s">
        <v>254</v>
      </c>
      <c r="B2023" s="44"/>
      <c r="C2023" s="51">
        <f>SUM(C1801:C1926)</f>
        <v>3125054.42</v>
      </c>
      <c r="D2023" s="51">
        <f>SUM(D1801:D1926)</f>
        <v>4018888</v>
      </c>
      <c r="E2023" s="51">
        <f t="shared" ref="E2023:R2023" si="1067">SUM(E1801:E2022)</f>
        <v>3789725</v>
      </c>
      <c r="F2023" s="51">
        <f t="shared" si="1067"/>
        <v>3547253</v>
      </c>
      <c r="G2023" s="51">
        <f t="shared" si="1067"/>
        <v>2852540.36</v>
      </c>
      <c r="H2023" s="51">
        <f t="shared" si="1067"/>
        <v>3668076.9569942858</v>
      </c>
      <c r="I2023" s="51">
        <f t="shared" si="1067"/>
        <v>3178563.6236609523</v>
      </c>
      <c r="J2023" s="51">
        <f t="shared" si="1067"/>
        <v>3365144.2636609524</v>
      </c>
      <c r="K2023" s="51">
        <f t="shared" si="1067"/>
        <v>3293922.2184209526</v>
      </c>
      <c r="L2023" s="51">
        <f t="shared" si="1067"/>
        <v>3360720.6660080329</v>
      </c>
      <c r="M2023" s="51">
        <f t="shared" si="1067"/>
        <v>3456516.8871640987</v>
      </c>
      <c r="N2023" s="51">
        <f t="shared" si="1067"/>
        <v>3694756.0608455935</v>
      </c>
      <c r="O2023" s="51">
        <f t="shared" si="1067"/>
        <v>3490607.766987469</v>
      </c>
      <c r="P2023" s="51">
        <f t="shared" si="1067"/>
        <v>3766470.6508279061</v>
      </c>
      <c r="Q2023" s="51">
        <f t="shared" si="1067"/>
        <v>3765573.5190351889</v>
      </c>
      <c r="R2023" s="51">
        <f t="shared" si="1067"/>
        <v>3819615.6616525617</v>
      </c>
    </row>
    <row r="2024" spans="1:18" x14ac:dyDescent="0.25">
      <c r="C2024" s="50"/>
      <c r="D2024" s="50"/>
      <c r="E2024" s="50"/>
      <c r="F2024" s="50"/>
      <c r="G2024" s="50"/>
      <c r="H2024" s="50"/>
      <c r="I2024" s="50"/>
      <c r="J2024" s="50"/>
      <c r="K2024" s="50"/>
      <c r="L2024" s="50"/>
      <c r="M2024" s="50"/>
      <c r="N2024" s="50"/>
      <c r="O2024" s="50"/>
      <c r="P2024" s="50"/>
      <c r="Q2024" s="50"/>
      <c r="R2024" s="50"/>
    </row>
    <row r="2025" spans="1:18" x14ac:dyDescent="0.25">
      <c r="A2025" s="41" t="s">
        <v>171</v>
      </c>
      <c r="B2025" s="44"/>
      <c r="C2025" s="50"/>
      <c r="D2025" s="50"/>
      <c r="E2025" s="50"/>
      <c r="F2025" s="50"/>
      <c r="G2025" s="50"/>
      <c r="H2025" s="50"/>
      <c r="I2025" s="50"/>
      <c r="J2025" s="50"/>
      <c r="K2025" s="50"/>
      <c r="L2025" s="50"/>
      <c r="M2025" s="50"/>
      <c r="N2025" s="50"/>
      <c r="O2025" s="50"/>
      <c r="P2025" s="50"/>
      <c r="Q2025" s="50"/>
      <c r="R2025" s="50"/>
    </row>
    <row r="2026" spans="1:18" x14ac:dyDescent="0.25">
      <c r="A2026" s="41"/>
      <c r="B2026" s="44"/>
      <c r="C2026" s="50"/>
      <c r="D2026" s="50"/>
      <c r="E2026" s="50"/>
      <c r="F2026" s="50"/>
      <c r="G2026" s="50"/>
      <c r="H2026" s="50"/>
      <c r="I2026" s="50"/>
      <c r="J2026" s="50"/>
      <c r="K2026" s="50"/>
      <c r="L2026" s="50"/>
      <c r="M2026" s="50"/>
      <c r="N2026" s="50"/>
      <c r="O2026" s="50"/>
      <c r="P2026" s="50"/>
      <c r="Q2026" s="50"/>
      <c r="R2026" s="50"/>
    </row>
    <row r="2027" spans="1:18" x14ac:dyDescent="0.25">
      <c r="A2027" s="41" t="s">
        <v>1236</v>
      </c>
      <c r="B2027" s="44"/>
      <c r="C2027" s="50"/>
      <c r="D2027" s="50"/>
      <c r="E2027" s="50"/>
      <c r="F2027" s="50"/>
      <c r="G2027" s="50"/>
      <c r="H2027" s="50"/>
      <c r="I2027" s="50"/>
      <c r="J2027" s="50"/>
      <c r="K2027" s="50"/>
      <c r="L2027" s="248"/>
      <c r="M2027" s="248"/>
      <c r="N2027" s="248"/>
      <c r="O2027" s="248"/>
      <c r="P2027" s="248"/>
      <c r="Q2027" s="248"/>
      <c r="R2027" s="248"/>
    </row>
    <row r="2028" spans="1:18" x14ac:dyDescent="0.25">
      <c r="A2028" s="43" t="s">
        <v>1139</v>
      </c>
      <c r="C2028" s="67">
        <v>338476</v>
      </c>
      <c r="D2028" s="52">
        <v>415813</v>
      </c>
      <c r="E2028" s="59">
        <v>519266</v>
      </c>
      <c r="F2028" s="52">
        <v>525416</v>
      </c>
      <c r="G2028" s="67">
        <v>501251.77</v>
      </c>
      <c r="H2028" s="52">
        <v>877660</v>
      </c>
      <c r="I2028" s="52">
        <v>645476</v>
      </c>
      <c r="J2028" s="52">
        <v>610134</v>
      </c>
      <c r="K2028" s="52">
        <v>617836</v>
      </c>
      <c r="L2028" s="54">
        <f>K2028*1.033</f>
        <v>638224.58799999999</v>
      </c>
      <c r="M2028" s="54">
        <f>L2028*1.032</f>
        <v>658647.77481600002</v>
      </c>
      <c r="N2028" s="54">
        <f>M2028*1.03</f>
        <v>678407.20806048007</v>
      </c>
      <c r="O2028" s="54">
        <f>N2028*1.032</f>
        <v>700116.23871841549</v>
      </c>
      <c r="P2028" s="54">
        <f>O2028*1.034</f>
        <v>723920.19083484169</v>
      </c>
      <c r="Q2028" s="54">
        <f>P2028*1.034</f>
        <v>748533.47732322628</v>
      </c>
      <c r="R2028" s="54">
        <f>Q2028*1.034</f>
        <v>773983.61555221595</v>
      </c>
    </row>
    <row r="2029" spans="1:18" x14ac:dyDescent="0.25">
      <c r="A2029" s="43" t="s">
        <v>1140</v>
      </c>
      <c r="C2029" s="54">
        <v>112490</v>
      </c>
      <c r="D2029" s="50">
        <v>84478</v>
      </c>
      <c r="E2029" s="50">
        <v>83539</v>
      </c>
      <c r="F2029" s="50">
        <v>61232</v>
      </c>
      <c r="G2029" s="50">
        <v>0</v>
      </c>
      <c r="H2029" s="50">
        <v>111259.95699428571</v>
      </c>
      <c r="I2029" s="50">
        <v>140926.62366095238</v>
      </c>
      <c r="J2029" s="50">
        <v>139475.30366095237</v>
      </c>
      <c r="K2029" s="50">
        <v>136059.34366095238</v>
      </c>
      <c r="L2029" s="50">
        <v>131561.19238095239</v>
      </c>
      <c r="M2029" s="50">
        <v>91780.952380952367</v>
      </c>
      <c r="N2029" s="50">
        <v>105280.95238095237</v>
      </c>
      <c r="O2029" s="50">
        <v>76214.28571428571</v>
      </c>
      <c r="P2029" s="50">
        <v>106214.28571428571</v>
      </c>
      <c r="Q2029" s="50">
        <v>99381.28571428571</v>
      </c>
      <c r="R2029" s="50">
        <v>99381.28571428571</v>
      </c>
    </row>
    <row r="2030" spans="1:18" x14ac:dyDescent="0.25">
      <c r="A2030" s="43" t="s">
        <v>1237</v>
      </c>
      <c r="C2030" s="54">
        <v>0</v>
      </c>
      <c r="D2030" s="43">
        <v>0</v>
      </c>
      <c r="E2030" s="43">
        <v>0</v>
      </c>
      <c r="F2030" s="43">
        <v>0</v>
      </c>
      <c r="G2030" s="43">
        <v>0</v>
      </c>
      <c r="H2030" s="43">
        <v>0</v>
      </c>
      <c r="I2030" s="43">
        <v>0</v>
      </c>
      <c r="J2030" s="43">
        <v>0</v>
      </c>
      <c r="K2030" s="43">
        <v>0</v>
      </c>
      <c r="L2030" s="43">
        <v>0</v>
      </c>
      <c r="M2030" s="43">
        <v>0</v>
      </c>
      <c r="N2030" s="43">
        <v>0</v>
      </c>
      <c r="O2030" s="43">
        <v>0</v>
      </c>
      <c r="P2030" s="43">
        <v>0</v>
      </c>
      <c r="Q2030" s="43">
        <v>0</v>
      </c>
      <c r="R2030" s="43">
        <v>0</v>
      </c>
    </row>
    <row r="2031" spans="1:18" x14ac:dyDescent="0.25">
      <c r="A2031" s="43" t="s">
        <v>93</v>
      </c>
      <c r="C2031" s="54">
        <v>0</v>
      </c>
      <c r="D2031" s="50">
        <v>0</v>
      </c>
      <c r="E2031" s="50">
        <v>0</v>
      </c>
      <c r="F2031" s="50">
        <v>0</v>
      </c>
      <c r="G2031" s="50">
        <v>0</v>
      </c>
      <c r="H2031" s="50">
        <v>0</v>
      </c>
      <c r="I2031" s="50">
        <v>0</v>
      </c>
      <c r="J2031" s="50">
        <v>0</v>
      </c>
      <c r="K2031" s="50">
        <v>0</v>
      </c>
      <c r="L2031" s="50">
        <v>0</v>
      </c>
      <c r="M2031" s="50">
        <v>0</v>
      </c>
      <c r="N2031" s="50">
        <v>0</v>
      </c>
      <c r="O2031" s="50">
        <v>0</v>
      </c>
      <c r="P2031" s="50">
        <v>0</v>
      </c>
      <c r="Q2031" s="50">
        <v>0</v>
      </c>
      <c r="R2031" s="50">
        <v>0</v>
      </c>
    </row>
    <row r="2032" spans="1:18" x14ac:dyDescent="0.25">
      <c r="A2032" s="43" t="s">
        <v>1238</v>
      </c>
      <c r="C2032" s="54">
        <v>30000</v>
      </c>
      <c r="D2032" s="43">
        <v>0</v>
      </c>
      <c r="E2032" s="43">
        <v>0</v>
      </c>
      <c r="F2032" s="43">
        <v>0</v>
      </c>
      <c r="G2032" s="43">
        <v>0</v>
      </c>
      <c r="H2032" s="43">
        <v>0</v>
      </c>
      <c r="I2032" s="43">
        <v>0</v>
      </c>
      <c r="J2032" s="43">
        <v>0</v>
      </c>
      <c r="K2032" s="43">
        <v>0</v>
      </c>
      <c r="L2032" s="43">
        <v>0</v>
      </c>
      <c r="M2032" s="43">
        <v>0</v>
      </c>
      <c r="N2032" s="43">
        <v>0</v>
      </c>
      <c r="O2032" s="43">
        <v>0</v>
      </c>
      <c r="P2032" s="43">
        <v>0</v>
      </c>
      <c r="Q2032" s="43">
        <v>0</v>
      </c>
      <c r="R2032" s="43">
        <v>0</v>
      </c>
    </row>
    <row r="2033" spans="1:18" x14ac:dyDescent="0.25">
      <c r="A2033" s="43" t="s">
        <v>1070</v>
      </c>
      <c r="C2033" s="54">
        <v>25000</v>
      </c>
      <c r="D2033" s="43">
        <v>20000</v>
      </c>
      <c r="E2033" s="43">
        <v>20000</v>
      </c>
      <c r="F2033" s="43">
        <v>20000</v>
      </c>
      <c r="G2033" s="43">
        <v>26000</v>
      </c>
      <c r="H2033" s="43">
        <v>22000</v>
      </c>
      <c r="I2033" s="43">
        <v>22000</v>
      </c>
      <c r="J2033" s="43">
        <v>22000</v>
      </c>
      <c r="K2033" s="43">
        <v>25000</v>
      </c>
      <c r="L2033" s="43">
        <v>25000</v>
      </c>
      <c r="M2033" s="43">
        <v>25000</v>
      </c>
      <c r="N2033" s="43">
        <v>25000</v>
      </c>
      <c r="O2033" s="43">
        <v>27500</v>
      </c>
      <c r="P2033" s="43">
        <v>27500</v>
      </c>
      <c r="Q2033" s="43">
        <v>27500</v>
      </c>
      <c r="R2033" s="43">
        <v>27500</v>
      </c>
    </row>
    <row r="2034" spans="1:18" x14ac:dyDescent="0.25">
      <c r="A2034" s="43" t="s">
        <v>1239</v>
      </c>
      <c r="C2034" s="249">
        <v>365564</v>
      </c>
      <c r="D2034" s="50">
        <f>D706</f>
        <v>337574</v>
      </c>
      <c r="E2034" s="50">
        <v>360125</v>
      </c>
      <c r="F2034" s="50">
        <v>332407</v>
      </c>
      <c r="G2034" s="50">
        <v>553935</v>
      </c>
      <c r="H2034" s="50">
        <v>330000</v>
      </c>
      <c r="I2034" s="54">
        <f t="shared" ref="I2034" si="1068">H2034*1.023</f>
        <v>337589.99999999994</v>
      </c>
      <c r="J2034" s="54">
        <f t="shared" ref="J2034:K2034" si="1069">I2034*1.024</f>
        <v>345692.15999999997</v>
      </c>
      <c r="K2034" s="54">
        <f t="shared" si="1069"/>
        <v>353988.77184</v>
      </c>
      <c r="L2034" s="54">
        <f t="shared" ref="L2034" si="1070">K2034*1.023</f>
        <v>362130.51359231997</v>
      </c>
      <c r="M2034" s="54">
        <f t="shared" ref="M2034" si="1071">L2034*1.022</f>
        <v>370097.38489135104</v>
      </c>
      <c r="N2034" s="54">
        <f t="shared" ref="N2034" si="1072">M2034*1.023</f>
        <v>378609.62474385207</v>
      </c>
      <c r="O2034" s="54">
        <f t="shared" ref="O2034:P2034" si="1073">N2034*1.025</f>
        <v>388074.86536244833</v>
      </c>
      <c r="P2034" s="54">
        <f t="shared" si="1073"/>
        <v>397776.73699650948</v>
      </c>
      <c r="Q2034" s="54">
        <f t="shared" ref="Q2034:R2034" si="1074">P2034*1.024</f>
        <v>407323.37868442573</v>
      </c>
      <c r="R2034" s="54">
        <f t="shared" si="1074"/>
        <v>417099.13977285195</v>
      </c>
    </row>
    <row r="2035" spans="1:18" x14ac:dyDescent="0.25">
      <c r="A2035" s="43" t="s">
        <v>1240</v>
      </c>
      <c r="C2035" s="249">
        <v>45679</v>
      </c>
      <c r="D2035" s="43">
        <v>47186</v>
      </c>
      <c r="E2035">
        <v>32665</v>
      </c>
      <c r="F2035" s="43">
        <v>28698</v>
      </c>
      <c r="G2035" s="43">
        <v>27931</v>
      </c>
      <c r="H2035" s="43">
        <v>11900</v>
      </c>
      <c r="I2035" s="43">
        <v>12700</v>
      </c>
      <c r="J2035" s="50">
        <v>15600</v>
      </c>
      <c r="K2035" s="50">
        <v>16600</v>
      </c>
      <c r="L2035" s="50">
        <v>17100</v>
      </c>
      <c r="M2035" s="50">
        <v>16500</v>
      </c>
      <c r="N2035" s="50">
        <v>15800</v>
      </c>
      <c r="O2035" s="50">
        <v>18600</v>
      </c>
      <c r="P2035" s="50">
        <v>21700</v>
      </c>
      <c r="Q2035" s="50">
        <v>23100</v>
      </c>
      <c r="R2035" s="50">
        <v>23100</v>
      </c>
    </row>
    <row r="2036" spans="1:18" x14ac:dyDescent="0.25">
      <c r="A2036" s="43" t="s">
        <v>901</v>
      </c>
      <c r="C2036" s="67">
        <v>12182</v>
      </c>
      <c r="D2036" s="50">
        <v>0</v>
      </c>
      <c r="E2036" s="50"/>
      <c r="F2036" s="50">
        <v>0</v>
      </c>
      <c r="G2036" s="50">
        <v>22000</v>
      </c>
      <c r="H2036" s="50">
        <v>0</v>
      </c>
      <c r="I2036" s="50">
        <v>0</v>
      </c>
      <c r="J2036" s="50">
        <v>0</v>
      </c>
      <c r="K2036" s="50">
        <v>0</v>
      </c>
      <c r="L2036" s="50">
        <v>0</v>
      </c>
      <c r="M2036" s="50">
        <v>0</v>
      </c>
      <c r="N2036" s="50">
        <v>0</v>
      </c>
      <c r="O2036" s="50">
        <v>0</v>
      </c>
      <c r="P2036" s="50">
        <v>0</v>
      </c>
      <c r="Q2036" s="50">
        <v>0</v>
      </c>
      <c r="R2036" s="50">
        <v>0</v>
      </c>
    </row>
    <row r="2037" spans="1:18" x14ac:dyDescent="0.25">
      <c r="A2037" s="43" t="s">
        <v>1241</v>
      </c>
      <c r="C2037" s="50"/>
      <c r="D2037" s="50"/>
      <c r="E2037" s="50"/>
      <c r="F2037" s="50"/>
      <c r="G2037" s="50"/>
      <c r="H2037" s="50"/>
      <c r="I2037" s="50"/>
      <c r="J2037" s="50"/>
      <c r="K2037" s="50"/>
      <c r="L2037" s="50"/>
      <c r="M2037" s="50"/>
      <c r="N2037" s="50"/>
      <c r="O2037" s="50"/>
      <c r="P2037" s="50"/>
      <c r="Q2037" s="50"/>
      <c r="R2037" s="50"/>
    </row>
    <row r="2038" spans="1:18" x14ac:dyDescent="0.25">
      <c r="A2038" s="43" t="s">
        <v>1242</v>
      </c>
      <c r="C2038" s="54"/>
      <c r="D2038" s="43">
        <v>0</v>
      </c>
      <c r="F2038" s="43">
        <v>0</v>
      </c>
      <c r="G2038" s="43">
        <v>0</v>
      </c>
      <c r="H2038" s="43">
        <v>0</v>
      </c>
      <c r="I2038" s="43">
        <v>0</v>
      </c>
      <c r="J2038" s="43">
        <v>0</v>
      </c>
      <c r="K2038" s="43">
        <v>0</v>
      </c>
      <c r="L2038" s="43">
        <v>0</v>
      </c>
      <c r="M2038" s="43">
        <v>0</v>
      </c>
      <c r="N2038" s="43">
        <v>0</v>
      </c>
      <c r="O2038" s="43">
        <v>0</v>
      </c>
      <c r="P2038" s="43">
        <v>0</v>
      </c>
      <c r="Q2038" s="43">
        <v>0</v>
      </c>
      <c r="R2038" s="43">
        <v>0</v>
      </c>
    </row>
    <row r="2039" spans="1:18" x14ac:dyDescent="0.25">
      <c r="A2039" s="43" t="s">
        <v>1243</v>
      </c>
      <c r="C2039" s="54">
        <v>52510</v>
      </c>
      <c r="D2039" s="43">
        <v>56555</v>
      </c>
      <c r="E2039">
        <v>63122</v>
      </c>
      <c r="F2039" s="43">
        <v>65328</v>
      </c>
      <c r="G2039" s="43">
        <v>34471</v>
      </c>
      <c r="H2039" s="43">
        <v>0</v>
      </c>
      <c r="I2039" s="43">
        <v>0</v>
      </c>
      <c r="J2039" s="43">
        <v>0</v>
      </c>
      <c r="K2039" s="43">
        <v>0</v>
      </c>
      <c r="L2039" s="43">
        <v>0</v>
      </c>
      <c r="M2039" s="43">
        <v>0</v>
      </c>
      <c r="N2039" s="43">
        <v>0</v>
      </c>
      <c r="O2039" s="43">
        <v>0</v>
      </c>
      <c r="P2039" s="43">
        <v>0</v>
      </c>
      <c r="Q2039" s="43">
        <v>0</v>
      </c>
      <c r="R2039" s="43">
        <v>0</v>
      </c>
    </row>
    <row r="2040" spans="1:18" x14ac:dyDescent="0.25">
      <c r="A2040" s="43" t="s">
        <v>1145</v>
      </c>
      <c r="C2040" s="59">
        <v>30000</v>
      </c>
    </row>
    <row r="2041" spans="1:18" x14ac:dyDescent="0.25">
      <c r="A2041" s="43" t="s">
        <v>1244</v>
      </c>
      <c r="C2041" s="59"/>
      <c r="E2041" s="50"/>
      <c r="F2041" s="50"/>
      <c r="G2041" s="50">
        <v>0</v>
      </c>
      <c r="H2041" s="50">
        <v>420100</v>
      </c>
      <c r="I2041" s="50">
        <v>7060</v>
      </c>
      <c r="J2041" s="43">
        <v>0</v>
      </c>
      <c r="K2041" s="43">
        <v>0</v>
      </c>
      <c r="L2041" s="43">
        <v>0</v>
      </c>
      <c r="M2041" s="43">
        <v>0</v>
      </c>
      <c r="N2041" s="43">
        <v>0</v>
      </c>
      <c r="O2041" s="43">
        <v>0</v>
      </c>
      <c r="P2041" s="43">
        <v>0</v>
      </c>
      <c r="Q2041" s="43">
        <v>0</v>
      </c>
      <c r="R2041" s="43">
        <v>0</v>
      </c>
    </row>
    <row r="2042" spans="1:18" x14ac:dyDescent="0.25">
      <c r="A2042" s="43" t="s">
        <v>1245</v>
      </c>
      <c r="C2042" s="50"/>
      <c r="D2042" s="50"/>
      <c r="E2042" s="50"/>
      <c r="F2042" s="50"/>
      <c r="G2042" s="50"/>
      <c r="H2042" s="50"/>
      <c r="I2042" s="50"/>
      <c r="J2042" s="50"/>
      <c r="K2042" s="50"/>
      <c r="L2042" s="50"/>
      <c r="M2042" s="50"/>
      <c r="N2042" s="50"/>
      <c r="O2042" s="50"/>
      <c r="P2042" s="50"/>
      <c r="Q2042" s="50"/>
      <c r="R2042" s="50"/>
    </row>
    <row r="2043" spans="1:18" x14ac:dyDescent="0.25">
      <c r="A2043" s="52" t="s">
        <v>1148</v>
      </c>
      <c r="C2043" s="50"/>
      <c r="D2043" s="50"/>
      <c r="E2043" s="50"/>
      <c r="F2043" s="50"/>
      <c r="G2043" s="50"/>
      <c r="H2043" s="50"/>
      <c r="I2043" s="50"/>
      <c r="J2043" s="50"/>
      <c r="K2043" s="50"/>
      <c r="L2043" s="50"/>
      <c r="M2043" s="50"/>
      <c r="N2043" s="50"/>
      <c r="O2043" s="50"/>
      <c r="P2043" s="50"/>
      <c r="Q2043" s="50"/>
      <c r="R2043" s="50"/>
    </row>
    <row r="2044" spans="1:18" s="43" customFormat="1" x14ac:dyDescent="0.25">
      <c r="A2044" s="41" t="s">
        <v>1246</v>
      </c>
      <c r="B2044" s="53"/>
      <c r="C2044" s="50"/>
      <c r="D2044" s="50"/>
      <c r="E2044" s="50"/>
      <c r="F2044" s="50"/>
      <c r="G2044" s="50"/>
      <c r="H2044" s="50"/>
      <c r="I2044" s="50"/>
      <c r="J2044" s="50"/>
      <c r="K2044" s="50"/>
      <c r="L2044" s="50"/>
      <c r="M2044" s="50"/>
      <c r="N2044" s="50"/>
      <c r="O2044" s="50"/>
      <c r="P2044" s="50"/>
      <c r="Q2044" s="50"/>
      <c r="R2044" s="50"/>
    </row>
    <row r="2045" spans="1:18" s="43" customFormat="1" x14ac:dyDescent="0.25">
      <c r="A2045" s="109" t="s">
        <v>1176</v>
      </c>
      <c r="B2045" s="53"/>
      <c r="C2045" s="50"/>
      <c r="D2045" s="50"/>
      <c r="E2045" s="50"/>
      <c r="F2045" s="50"/>
      <c r="G2045" s="50"/>
      <c r="H2045" s="50"/>
      <c r="I2045" s="50"/>
      <c r="J2045" s="50"/>
      <c r="K2045" s="50"/>
      <c r="L2045" s="50"/>
      <c r="M2045" s="50"/>
      <c r="N2045" s="50"/>
      <c r="O2045" s="50"/>
      <c r="P2045" s="50"/>
      <c r="Q2045" s="50"/>
      <c r="R2045" s="50"/>
    </row>
    <row r="2046" spans="1:18" s="43" customFormat="1" x14ac:dyDescent="0.25">
      <c r="A2046" s="52" t="s">
        <v>1247</v>
      </c>
      <c r="B2046" s="53"/>
      <c r="C2046" s="50"/>
      <c r="D2046" s="50"/>
      <c r="E2046" s="50"/>
      <c r="F2046" s="50"/>
      <c r="G2046" s="50"/>
      <c r="H2046" s="50"/>
      <c r="I2046" s="50"/>
      <c r="J2046" s="50"/>
      <c r="K2046" s="50"/>
      <c r="L2046" s="50"/>
      <c r="M2046" s="50"/>
      <c r="N2046" s="50"/>
      <c r="O2046" s="50"/>
      <c r="P2046" s="50"/>
      <c r="Q2046" s="50"/>
      <c r="R2046" s="50"/>
    </row>
    <row r="2047" spans="1:18" s="43" customFormat="1" x14ac:dyDescent="0.25">
      <c r="A2047" s="52" t="s">
        <v>1248</v>
      </c>
      <c r="B2047" s="53"/>
      <c r="C2047" s="50"/>
      <c r="D2047" s="50"/>
      <c r="E2047" s="50"/>
      <c r="F2047" s="50"/>
      <c r="G2047" s="50"/>
      <c r="H2047" s="50"/>
      <c r="I2047" s="50"/>
      <c r="J2047" s="50"/>
      <c r="K2047" s="50"/>
      <c r="L2047" s="50"/>
      <c r="M2047" s="50"/>
      <c r="N2047" s="50"/>
      <c r="O2047" s="50"/>
      <c r="P2047" s="50"/>
      <c r="Q2047" s="50"/>
      <c r="R2047" s="50"/>
    </row>
    <row r="2048" spans="1:18" s="43" customFormat="1" x14ac:dyDescent="0.25">
      <c r="A2048" s="52" t="s">
        <v>954</v>
      </c>
      <c r="B2048" s="53"/>
      <c r="C2048" s="50"/>
      <c r="D2048" s="50"/>
      <c r="E2048" s="50"/>
      <c r="F2048" s="50"/>
      <c r="G2048" s="50"/>
      <c r="H2048" s="50"/>
      <c r="I2048" s="50"/>
      <c r="J2048" s="50"/>
      <c r="K2048" s="50"/>
      <c r="L2048" s="50"/>
      <c r="M2048" s="50"/>
      <c r="N2048" s="50"/>
      <c r="O2048" s="50"/>
      <c r="P2048" s="50"/>
      <c r="Q2048" s="50"/>
      <c r="R2048" s="50"/>
    </row>
    <row r="2049" spans="1:18" s="43" customFormat="1" x14ac:dyDescent="0.25">
      <c r="A2049" s="43" t="s">
        <v>1084</v>
      </c>
      <c r="B2049" s="53"/>
      <c r="C2049" s="50"/>
      <c r="D2049" s="50"/>
      <c r="E2049" s="50"/>
      <c r="F2049" s="50"/>
      <c r="G2049" s="50"/>
      <c r="H2049" s="50"/>
      <c r="I2049" s="50"/>
      <c r="J2049" s="50"/>
      <c r="K2049" s="50"/>
      <c r="L2049" s="50"/>
      <c r="M2049" s="50"/>
      <c r="N2049" s="50"/>
      <c r="O2049" s="50"/>
      <c r="P2049" s="50"/>
      <c r="Q2049" s="50"/>
      <c r="R2049" s="50"/>
    </row>
    <row r="2050" spans="1:18" s="43" customFormat="1" x14ac:dyDescent="0.25">
      <c r="A2050" s="59" t="s">
        <v>1177</v>
      </c>
      <c r="B2050" s="53"/>
      <c r="C2050" s="50"/>
      <c r="D2050" s="50"/>
      <c r="E2050" s="50"/>
      <c r="F2050" s="50"/>
      <c r="G2050" s="50"/>
      <c r="H2050" s="50"/>
      <c r="I2050" s="50"/>
      <c r="J2050" s="50"/>
      <c r="K2050" s="50"/>
      <c r="L2050" s="50"/>
      <c r="M2050" s="50"/>
      <c r="N2050" s="50"/>
      <c r="O2050" s="50"/>
      <c r="P2050" s="50"/>
      <c r="Q2050" s="50"/>
      <c r="R2050" s="50"/>
    </row>
    <row r="2051" spans="1:18" s="43" customFormat="1" x14ac:dyDescent="0.25">
      <c r="A2051" s="43" t="s">
        <v>627</v>
      </c>
      <c r="B2051" s="53"/>
      <c r="C2051" s="50"/>
      <c r="D2051" s="50"/>
      <c r="E2051" s="50"/>
      <c r="F2051" s="50"/>
      <c r="G2051" s="50"/>
      <c r="H2051" s="50"/>
      <c r="I2051" s="50"/>
      <c r="J2051" s="50"/>
      <c r="K2051" s="50"/>
      <c r="L2051" s="50"/>
      <c r="M2051" s="50"/>
      <c r="N2051" s="50"/>
      <c r="O2051" s="50"/>
      <c r="P2051" s="50"/>
      <c r="Q2051" s="50"/>
      <c r="R2051" s="50"/>
    </row>
    <row r="2052" spans="1:18" s="43" customFormat="1" x14ac:dyDescent="0.25">
      <c r="A2052" s="52" t="s">
        <v>1249</v>
      </c>
      <c r="B2052" s="53"/>
      <c r="C2052" s="50"/>
      <c r="D2052" s="50"/>
      <c r="E2052" s="50"/>
      <c r="F2052" s="50"/>
      <c r="G2052" s="50"/>
      <c r="H2052" s="50"/>
      <c r="I2052" s="50"/>
      <c r="J2052" s="50"/>
      <c r="K2052" s="50"/>
      <c r="L2052" s="50"/>
      <c r="M2052" s="50"/>
      <c r="N2052" s="50"/>
      <c r="O2052" s="50"/>
      <c r="P2052" s="50"/>
      <c r="Q2052" s="50"/>
      <c r="R2052" s="50"/>
    </row>
    <row r="2053" spans="1:18" s="43" customFormat="1" x14ac:dyDescent="0.25">
      <c r="A2053" s="52" t="s">
        <v>1250</v>
      </c>
      <c r="B2053" s="53"/>
      <c r="C2053" s="50"/>
      <c r="D2053" s="50"/>
      <c r="E2053" s="50"/>
      <c r="F2053" s="50"/>
      <c r="G2053" s="50"/>
      <c r="H2053" s="50"/>
      <c r="I2053" s="50"/>
      <c r="J2053" s="50"/>
      <c r="K2053" s="50"/>
      <c r="L2053" s="50"/>
      <c r="M2053" s="50"/>
      <c r="N2053" s="50"/>
      <c r="O2053" s="50"/>
      <c r="P2053" s="50"/>
      <c r="Q2053" s="50"/>
      <c r="R2053" s="50"/>
    </row>
    <row r="2054" spans="1:18" s="43" customFormat="1" x14ac:dyDescent="0.25">
      <c r="A2054" s="52" t="s">
        <v>1027</v>
      </c>
      <c r="B2054" s="53"/>
      <c r="C2054" s="50"/>
      <c r="D2054" s="50"/>
      <c r="E2054" s="50"/>
      <c r="F2054" s="50"/>
      <c r="G2054" s="50"/>
      <c r="H2054" s="50"/>
      <c r="I2054" s="50"/>
      <c r="J2054" s="50"/>
      <c r="K2054" s="50"/>
      <c r="L2054" s="50"/>
      <c r="M2054" s="50"/>
      <c r="N2054" s="50"/>
      <c r="O2054" s="50"/>
      <c r="P2054" s="50"/>
      <c r="Q2054" s="50"/>
      <c r="R2054" s="50"/>
    </row>
    <row r="2055" spans="1:18" s="43" customFormat="1" x14ac:dyDescent="0.25">
      <c r="A2055" s="43" t="s">
        <v>1178</v>
      </c>
      <c r="B2055" s="53"/>
      <c r="C2055" s="50"/>
      <c r="D2055" s="50"/>
      <c r="E2055" s="50"/>
      <c r="F2055" s="50"/>
      <c r="G2055" s="50"/>
      <c r="H2055" s="50"/>
      <c r="I2055" s="50"/>
      <c r="J2055" s="50"/>
      <c r="K2055" s="50"/>
      <c r="L2055" s="50"/>
      <c r="M2055" s="50"/>
      <c r="N2055" s="50"/>
      <c r="O2055" s="50"/>
      <c r="P2055" s="50"/>
      <c r="Q2055" s="50"/>
      <c r="R2055" s="50"/>
    </row>
    <row r="2056" spans="1:18" s="43" customFormat="1" x14ac:dyDescent="0.25">
      <c r="A2056" s="52" t="s">
        <v>792</v>
      </c>
      <c r="B2056" s="53"/>
      <c r="C2056" s="50"/>
      <c r="D2056" s="50"/>
      <c r="E2056" s="50"/>
      <c r="F2056" s="50"/>
      <c r="G2056" s="50"/>
      <c r="H2056" s="50"/>
      <c r="I2056" s="50"/>
      <c r="J2056" s="50"/>
      <c r="K2056" s="50"/>
      <c r="L2056" s="50"/>
      <c r="M2056" s="50"/>
      <c r="N2056" s="50"/>
      <c r="O2056" s="50"/>
      <c r="P2056" s="50"/>
      <c r="Q2056" s="50"/>
      <c r="R2056" s="50"/>
    </row>
    <row r="2057" spans="1:18" s="43" customFormat="1" x14ac:dyDescent="0.25">
      <c r="A2057" s="41" t="s">
        <v>1251</v>
      </c>
      <c r="B2057" s="53"/>
      <c r="C2057" s="50"/>
      <c r="D2057" s="50"/>
      <c r="E2057" s="50"/>
      <c r="F2057" s="50"/>
      <c r="G2057" s="50"/>
      <c r="H2057" s="50"/>
      <c r="I2057" s="50"/>
      <c r="J2057" s="50"/>
      <c r="K2057" s="50"/>
      <c r="L2057" s="50"/>
      <c r="M2057" s="50"/>
      <c r="N2057" s="50"/>
      <c r="O2057" s="50"/>
      <c r="P2057" s="50"/>
      <c r="Q2057" s="50"/>
      <c r="R2057" s="50"/>
    </row>
    <row r="2058" spans="1:18" s="43" customFormat="1" x14ac:dyDescent="0.25">
      <c r="A2058" s="52" t="s">
        <v>1252</v>
      </c>
      <c r="B2058" s="53"/>
      <c r="C2058" s="67"/>
      <c r="D2058" s="50"/>
      <c r="E2058" s="50"/>
      <c r="F2058" s="50"/>
      <c r="G2058" s="50"/>
      <c r="H2058" s="50"/>
      <c r="I2058" s="50"/>
      <c r="J2058" s="50"/>
      <c r="K2058" s="50"/>
      <c r="L2058" s="50"/>
      <c r="M2058" s="50"/>
      <c r="N2058" s="50"/>
      <c r="O2058" s="50"/>
      <c r="P2058" s="50"/>
      <c r="Q2058" s="50"/>
      <c r="R2058" s="50"/>
    </row>
    <row r="2059" spans="1:18" s="43" customFormat="1" x14ac:dyDescent="0.25">
      <c r="A2059" s="52" t="s">
        <v>1253</v>
      </c>
      <c r="B2059" s="53"/>
      <c r="C2059" s="67"/>
      <c r="D2059" s="50"/>
      <c r="E2059" s="50"/>
      <c r="F2059" s="50"/>
      <c r="G2059" s="50"/>
      <c r="H2059" s="50"/>
      <c r="I2059" s="50"/>
      <c r="J2059" s="50"/>
      <c r="K2059" s="50"/>
      <c r="L2059" s="50"/>
      <c r="M2059" s="50"/>
      <c r="N2059" s="50"/>
      <c r="O2059" s="50"/>
      <c r="P2059" s="50"/>
      <c r="Q2059" s="50"/>
      <c r="R2059" s="50"/>
    </row>
    <row r="2060" spans="1:18" s="43" customFormat="1" x14ac:dyDescent="0.25">
      <c r="A2060" s="52" t="s">
        <v>1254</v>
      </c>
      <c r="B2060" s="53"/>
      <c r="C2060" s="67"/>
      <c r="D2060" s="50"/>
      <c r="E2060" s="50"/>
      <c r="F2060" s="50"/>
      <c r="G2060" s="50"/>
      <c r="H2060" s="50"/>
      <c r="I2060" s="50"/>
      <c r="J2060" s="50"/>
      <c r="K2060" s="50"/>
      <c r="L2060" s="50"/>
      <c r="M2060" s="50"/>
      <c r="N2060" s="50"/>
      <c r="O2060" s="50"/>
      <c r="P2060" s="50"/>
      <c r="Q2060" s="50"/>
      <c r="R2060" s="50"/>
    </row>
    <row r="2061" spans="1:18" s="43" customFormat="1" x14ac:dyDescent="0.25">
      <c r="A2061" s="52" t="s">
        <v>1255</v>
      </c>
      <c r="B2061" s="53"/>
      <c r="C2061" s="67"/>
      <c r="D2061" s="50"/>
      <c r="E2061" s="50"/>
      <c r="F2061" s="50"/>
      <c r="G2061" s="50"/>
      <c r="H2061" s="50"/>
      <c r="I2061" s="50"/>
      <c r="J2061" s="50"/>
      <c r="K2061" s="50"/>
      <c r="L2061" s="50"/>
      <c r="M2061" s="50"/>
      <c r="N2061" s="50"/>
      <c r="O2061" s="50"/>
      <c r="P2061" s="50"/>
      <c r="Q2061" s="50"/>
      <c r="R2061" s="50"/>
    </row>
    <row r="2062" spans="1:18" s="43" customFormat="1" x14ac:dyDescent="0.25">
      <c r="A2062" s="52" t="s">
        <v>999</v>
      </c>
      <c r="B2062" s="53"/>
      <c r="C2062" s="52"/>
      <c r="D2062" s="50"/>
      <c r="E2062" s="50"/>
      <c r="F2062" s="50"/>
      <c r="G2062" s="50"/>
      <c r="H2062" s="50"/>
      <c r="I2062" s="50"/>
      <c r="J2062" s="50"/>
      <c r="K2062" s="50"/>
      <c r="L2062" s="50"/>
      <c r="M2062" s="50"/>
      <c r="N2062" s="50"/>
      <c r="O2062" s="50"/>
      <c r="P2062" s="50"/>
      <c r="Q2062" s="50"/>
      <c r="R2062" s="50"/>
    </row>
    <row r="2063" spans="1:18" s="43" customFormat="1" x14ac:dyDescent="0.25">
      <c r="A2063" s="52" t="s">
        <v>1054</v>
      </c>
      <c r="B2063" s="53"/>
      <c r="C2063" s="52"/>
      <c r="D2063" s="50"/>
      <c r="E2063" s="50"/>
      <c r="F2063" s="50"/>
      <c r="G2063" s="50"/>
      <c r="H2063" s="50"/>
      <c r="I2063" s="50"/>
      <c r="J2063" s="50"/>
      <c r="K2063" s="50"/>
      <c r="L2063" s="50"/>
      <c r="M2063" s="50"/>
      <c r="N2063" s="50"/>
      <c r="O2063" s="50"/>
      <c r="P2063" s="50"/>
      <c r="Q2063" s="50"/>
      <c r="R2063" s="50"/>
    </row>
    <row r="2064" spans="1:18" s="43" customFormat="1" x14ac:dyDescent="0.25">
      <c r="A2064" s="52" t="s">
        <v>1055</v>
      </c>
      <c r="B2064" s="53"/>
      <c r="C2064" s="52"/>
      <c r="D2064" s="50"/>
      <c r="E2064" s="50"/>
      <c r="F2064" s="50"/>
      <c r="G2064" s="50"/>
      <c r="H2064" s="50"/>
      <c r="I2064" s="50"/>
      <c r="J2064" s="50"/>
      <c r="K2064" s="50"/>
      <c r="L2064" s="50"/>
      <c r="M2064" s="50"/>
      <c r="N2064" s="50"/>
      <c r="O2064" s="50"/>
      <c r="P2064" s="50"/>
      <c r="Q2064" s="50"/>
      <c r="R2064" s="50"/>
    </row>
    <row r="2065" spans="1:18" s="43" customFormat="1" x14ac:dyDescent="0.25">
      <c r="A2065" s="52" t="s">
        <v>1082</v>
      </c>
      <c r="B2065" s="53"/>
      <c r="C2065" s="67"/>
      <c r="D2065" s="50"/>
      <c r="E2065" s="50"/>
      <c r="F2065" s="50"/>
      <c r="G2065" s="50"/>
      <c r="H2065" s="50"/>
      <c r="I2065" s="50"/>
      <c r="J2065" s="50"/>
      <c r="K2065" s="50"/>
      <c r="L2065" s="50"/>
      <c r="M2065" s="50"/>
      <c r="N2065" s="50"/>
      <c r="O2065" s="50"/>
      <c r="P2065" s="50"/>
      <c r="Q2065" s="50"/>
      <c r="R2065" s="50"/>
    </row>
    <row r="2066" spans="1:18" s="43" customFormat="1" x14ac:dyDescent="0.25">
      <c r="A2066" s="52" t="s">
        <v>1094</v>
      </c>
      <c r="B2066" s="53"/>
      <c r="C2066" s="52"/>
      <c r="D2066" s="50"/>
      <c r="E2066" s="50"/>
      <c r="F2066" s="50"/>
      <c r="G2066" s="50"/>
      <c r="H2066" s="50"/>
      <c r="I2066" s="50"/>
      <c r="J2066" s="50"/>
      <c r="K2066" s="50"/>
      <c r="L2066" s="50"/>
      <c r="M2066" s="50"/>
      <c r="N2066" s="50"/>
      <c r="O2066" s="50"/>
      <c r="P2066" s="50"/>
      <c r="Q2066" s="50"/>
      <c r="R2066" s="50"/>
    </row>
    <row r="2067" spans="1:18" s="43" customFormat="1" x14ac:dyDescent="0.25">
      <c r="A2067" s="52" t="s">
        <v>1096</v>
      </c>
      <c r="B2067" s="53"/>
      <c r="C2067" s="52"/>
      <c r="D2067" s="50"/>
      <c r="E2067" s="50"/>
      <c r="F2067" s="50"/>
      <c r="G2067" s="50"/>
      <c r="H2067" s="50"/>
      <c r="I2067" s="50"/>
      <c r="J2067" s="50"/>
      <c r="K2067" s="50"/>
      <c r="L2067" s="50"/>
      <c r="M2067" s="50"/>
      <c r="N2067" s="50"/>
      <c r="O2067" s="50"/>
      <c r="P2067" s="50"/>
      <c r="Q2067" s="50"/>
      <c r="R2067" s="50"/>
    </row>
    <row r="2068" spans="1:18" s="43" customFormat="1" x14ac:dyDescent="0.25">
      <c r="A2068" s="59" t="s">
        <v>1177</v>
      </c>
      <c r="B2068" s="53"/>
      <c r="C2068" s="52"/>
      <c r="D2068" s="50"/>
      <c r="E2068" s="50"/>
      <c r="F2068" s="50"/>
      <c r="G2068" s="50">
        <v>41744</v>
      </c>
      <c r="H2068" s="50"/>
      <c r="I2068" s="50"/>
      <c r="J2068" s="50"/>
      <c r="K2068" s="50"/>
      <c r="L2068" s="50"/>
      <c r="M2068" s="50"/>
      <c r="N2068" s="50"/>
      <c r="O2068" s="50"/>
      <c r="P2068" s="50"/>
      <c r="Q2068" s="50"/>
      <c r="R2068" s="50"/>
    </row>
    <row r="2069" spans="1:18" s="43" customFormat="1" x14ac:dyDescent="0.25">
      <c r="A2069" s="52" t="s">
        <v>1102</v>
      </c>
      <c r="B2069" s="53"/>
      <c r="C2069" s="52"/>
      <c r="D2069" s="50"/>
      <c r="E2069" s="50"/>
      <c r="F2069" s="50"/>
      <c r="G2069" s="50"/>
      <c r="H2069" s="50"/>
      <c r="I2069" s="50"/>
      <c r="J2069" s="50"/>
      <c r="K2069" s="50"/>
      <c r="L2069" s="50"/>
      <c r="M2069" s="50"/>
      <c r="N2069" s="50"/>
      <c r="O2069" s="50"/>
      <c r="P2069" s="50"/>
      <c r="Q2069" s="50"/>
      <c r="R2069" s="50"/>
    </row>
    <row r="2070" spans="1:18" s="43" customFormat="1" x14ac:dyDescent="0.25">
      <c r="A2070" s="52" t="s">
        <v>1176</v>
      </c>
      <c r="B2070" s="53"/>
      <c r="C2070" s="52"/>
      <c r="D2070" s="50"/>
      <c r="E2070" s="50"/>
      <c r="F2070" s="50"/>
      <c r="G2070" s="50"/>
      <c r="H2070" s="50"/>
      <c r="I2070" s="50"/>
      <c r="J2070" s="50"/>
      <c r="K2070" s="50"/>
      <c r="L2070" s="50"/>
      <c r="M2070" s="50"/>
      <c r="N2070" s="50"/>
      <c r="O2070" s="50"/>
      <c r="P2070" s="50"/>
      <c r="Q2070" s="50"/>
      <c r="R2070" s="50"/>
    </row>
    <row r="2071" spans="1:18" s="43" customFormat="1" x14ac:dyDescent="0.25">
      <c r="A2071" s="52" t="s">
        <v>632</v>
      </c>
      <c r="B2071" s="53"/>
      <c r="C2071" s="52"/>
      <c r="D2071" s="50"/>
      <c r="E2071" s="50"/>
      <c r="F2071" s="50"/>
      <c r="G2071" s="50"/>
      <c r="H2071" s="50"/>
      <c r="I2071" s="50"/>
      <c r="J2071" s="50"/>
      <c r="K2071" s="50"/>
      <c r="L2071" s="50"/>
      <c r="M2071" s="50"/>
      <c r="N2071" s="50"/>
      <c r="O2071" s="50"/>
      <c r="P2071" s="50"/>
      <c r="Q2071" s="50"/>
      <c r="R2071" s="50"/>
    </row>
    <row r="2072" spans="1:18" s="43" customFormat="1" x14ac:dyDescent="0.25">
      <c r="A2072" s="52" t="s">
        <v>749</v>
      </c>
      <c r="B2072" s="53"/>
      <c r="C2072" s="52"/>
      <c r="D2072" s="50"/>
      <c r="E2072" s="50"/>
      <c r="F2072" s="50"/>
      <c r="G2072" s="50"/>
      <c r="H2072" s="50"/>
      <c r="I2072" s="50"/>
      <c r="J2072" s="50"/>
      <c r="K2072" s="50"/>
      <c r="L2072" s="50"/>
      <c r="M2072" s="50"/>
      <c r="N2072" s="50"/>
      <c r="O2072" s="50"/>
      <c r="P2072" s="50"/>
      <c r="Q2072" s="50"/>
      <c r="R2072" s="50"/>
    </row>
    <row r="2073" spans="1:18" s="43" customFormat="1" x14ac:dyDescent="0.25">
      <c r="A2073" s="52" t="s">
        <v>752</v>
      </c>
      <c r="B2073" s="53"/>
      <c r="C2073" s="52"/>
      <c r="D2073" s="50"/>
      <c r="E2073" s="50"/>
      <c r="F2073" s="50"/>
      <c r="G2073" s="50"/>
      <c r="H2073" s="50"/>
      <c r="I2073" s="50"/>
      <c r="J2073" s="50"/>
      <c r="K2073" s="50"/>
      <c r="L2073" s="50"/>
      <c r="M2073" s="50"/>
      <c r="N2073" s="50"/>
      <c r="O2073" s="50"/>
      <c r="P2073" s="50"/>
      <c r="Q2073" s="50"/>
      <c r="R2073" s="50"/>
    </row>
    <row r="2074" spans="1:18" s="43" customFormat="1" x14ac:dyDescent="0.25">
      <c r="A2074" s="52" t="s">
        <v>751</v>
      </c>
      <c r="B2074" s="53"/>
      <c r="C2074" s="52"/>
      <c r="D2074" s="50"/>
      <c r="E2074" s="50"/>
      <c r="F2074" s="50"/>
      <c r="G2074" s="50"/>
      <c r="H2074" s="50"/>
      <c r="I2074" s="50"/>
      <c r="J2074" s="50"/>
      <c r="K2074" s="50"/>
      <c r="L2074" s="50"/>
      <c r="M2074" s="50"/>
      <c r="N2074" s="50"/>
      <c r="O2074" s="50"/>
      <c r="P2074" s="50"/>
      <c r="Q2074" s="50"/>
      <c r="R2074" s="50"/>
    </row>
    <row r="2075" spans="1:18" x14ac:dyDescent="0.25">
      <c r="A2075" s="52" t="s">
        <v>1256</v>
      </c>
      <c r="B2075" s="44"/>
      <c r="C2075" s="52"/>
      <c r="D2075" s="50"/>
      <c r="E2075" s="50"/>
      <c r="F2075" s="50"/>
      <c r="G2075" s="50"/>
      <c r="H2075" s="50"/>
      <c r="I2075" s="50"/>
      <c r="J2075" s="50"/>
      <c r="K2075" s="50"/>
      <c r="L2075" s="50"/>
      <c r="M2075" s="50"/>
      <c r="N2075" s="50"/>
      <c r="O2075" s="50"/>
      <c r="P2075" s="50"/>
      <c r="Q2075" s="50"/>
      <c r="R2075" s="50"/>
    </row>
    <row r="2076" spans="1:18" x14ac:dyDescent="0.25">
      <c r="A2076" s="41" t="s">
        <v>1181</v>
      </c>
      <c r="B2076" s="44"/>
      <c r="C2076" s="52"/>
      <c r="D2076" s="50"/>
      <c r="E2076" s="50"/>
      <c r="F2076" s="50"/>
      <c r="G2076" s="50"/>
      <c r="H2076" s="50"/>
      <c r="I2076" s="50"/>
      <c r="J2076" s="50"/>
      <c r="K2076" s="50"/>
      <c r="L2076" s="50"/>
      <c r="M2076" s="50"/>
      <c r="N2076" s="50"/>
      <c r="O2076" s="50"/>
      <c r="P2076" s="50"/>
      <c r="Q2076" s="50"/>
      <c r="R2076" s="50"/>
    </row>
    <row r="2077" spans="1:18" x14ac:dyDescent="0.25">
      <c r="A2077" s="131" t="s">
        <v>486</v>
      </c>
      <c r="B2077" s="44"/>
      <c r="C2077" s="50">
        <v>12727</v>
      </c>
      <c r="D2077" s="50"/>
      <c r="E2077" s="50"/>
      <c r="F2077" s="50"/>
      <c r="G2077" s="50"/>
      <c r="H2077" s="50"/>
      <c r="I2077" s="50"/>
      <c r="J2077" s="50"/>
      <c r="K2077" s="50"/>
      <c r="L2077" s="50"/>
      <c r="M2077" s="50"/>
      <c r="N2077" s="50"/>
      <c r="O2077" s="50"/>
      <c r="P2077" s="50"/>
      <c r="Q2077" s="50"/>
      <c r="R2077" s="50"/>
    </row>
    <row r="2078" spans="1:18" x14ac:dyDescent="0.25">
      <c r="A2078" s="131" t="s">
        <v>535</v>
      </c>
      <c r="B2078" s="44"/>
      <c r="C2078" s="50">
        <v>3000</v>
      </c>
      <c r="D2078" s="50"/>
      <c r="E2078" s="50"/>
      <c r="F2078" s="50"/>
      <c r="G2078" s="50"/>
      <c r="H2078" s="50"/>
      <c r="I2078" s="50"/>
      <c r="J2078" s="50"/>
      <c r="K2078" s="50"/>
      <c r="L2078" s="50"/>
      <c r="M2078" s="50"/>
      <c r="N2078" s="50"/>
      <c r="O2078" s="50"/>
      <c r="P2078" s="50"/>
      <c r="Q2078" s="50"/>
      <c r="R2078" s="50"/>
    </row>
    <row r="2079" spans="1:18" x14ac:dyDescent="0.25">
      <c r="A2079" s="131" t="s">
        <v>548</v>
      </c>
      <c r="B2079" s="44"/>
      <c r="C2079" s="50">
        <v>5000</v>
      </c>
      <c r="D2079" s="50"/>
      <c r="E2079" s="50"/>
      <c r="F2079" s="50"/>
      <c r="G2079" s="50"/>
      <c r="H2079" s="50"/>
      <c r="I2079" s="50"/>
      <c r="J2079" s="50"/>
      <c r="K2079" s="50"/>
      <c r="L2079" s="50"/>
      <c r="M2079" s="50"/>
      <c r="N2079" s="50"/>
      <c r="O2079" s="50"/>
      <c r="P2079" s="50"/>
      <c r="Q2079" s="50"/>
      <c r="R2079" s="50"/>
    </row>
    <row r="2080" spans="1:18" x14ac:dyDescent="0.25">
      <c r="A2080" s="91" t="s">
        <v>561</v>
      </c>
      <c r="B2080" s="44"/>
      <c r="C2080" s="50">
        <v>140467</v>
      </c>
      <c r="D2080" s="50"/>
      <c r="E2080" s="50"/>
      <c r="F2080" s="50"/>
      <c r="G2080" s="50"/>
      <c r="H2080" s="50"/>
      <c r="I2080" s="50"/>
      <c r="J2080" s="50"/>
      <c r="K2080" s="50"/>
      <c r="L2080" s="50"/>
      <c r="M2080" s="50"/>
      <c r="N2080" s="50"/>
      <c r="O2080" s="50"/>
      <c r="P2080" s="50"/>
      <c r="Q2080" s="50"/>
      <c r="R2080" s="50"/>
    </row>
    <row r="2081" spans="1:18" s="43" customFormat="1" x14ac:dyDescent="0.25">
      <c r="A2081" s="233" t="s">
        <v>1257</v>
      </c>
      <c r="B2081" s="44"/>
      <c r="C2081" s="50"/>
      <c r="D2081" s="50"/>
      <c r="E2081" s="50"/>
      <c r="F2081" s="50"/>
      <c r="H2081" s="50"/>
      <c r="I2081" s="50"/>
      <c r="J2081" s="50"/>
      <c r="K2081" s="50"/>
      <c r="L2081" s="50"/>
      <c r="M2081" s="50"/>
      <c r="N2081" s="50"/>
      <c r="O2081" s="50"/>
      <c r="P2081" s="50"/>
      <c r="Q2081" s="50"/>
      <c r="R2081" s="50"/>
    </row>
    <row r="2082" spans="1:18" s="43" customFormat="1" x14ac:dyDescent="0.25">
      <c r="A2082" s="147" t="s">
        <v>310</v>
      </c>
      <c r="B2082" s="44"/>
      <c r="C2082" s="50"/>
      <c r="D2082" s="50"/>
      <c r="E2082" s="50"/>
      <c r="F2082" s="50"/>
      <c r="G2082" s="250">
        <v>45511</v>
      </c>
      <c r="H2082" s="50"/>
      <c r="I2082" s="50"/>
      <c r="J2082" s="50"/>
      <c r="K2082" s="50"/>
      <c r="L2082" s="50"/>
      <c r="M2082" s="50"/>
      <c r="N2082" s="50"/>
      <c r="O2082" s="50"/>
      <c r="P2082" s="50"/>
      <c r="Q2082" s="50"/>
      <c r="R2082" s="50"/>
    </row>
    <row r="2083" spans="1:18" s="43" customFormat="1" x14ac:dyDescent="0.25">
      <c r="A2083" s="147" t="s">
        <v>249</v>
      </c>
      <c r="B2083" s="44"/>
      <c r="C2083" s="50"/>
      <c r="D2083" s="50"/>
      <c r="E2083" s="50"/>
      <c r="F2083" s="50"/>
      <c r="G2083" s="234">
        <v>5000</v>
      </c>
      <c r="H2083" s="50"/>
      <c r="I2083" s="50"/>
      <c r="J2083" s="50"/>
      <c r="K2083" s="50"/>
      <c r="L2083" s="50"/>
      <c r="M2083" s="50"/>
      <c r="N2083" s="50"/>
      <c r="O2083" s="50"/>
      <c r="P2083" s="50"/>
      <c r="Q2083" s="50"/>
      <c r="R2083" s="50"/>
    </row>
    <row r="2084" spans="1:18" s="43" customFormat="1" x14ac:dyDescent="0.25">
      <c r="A2084" s="251" t="s">
        <v>815</v>
      </c>
      <c r="B2084" s="44"/>
      <c r="C2084" s="50"/>
      <c r="D2084" s="50"/>
      <c r="E2084" s="50"/>
      <c r="F2084" s="50"/>
      <c r="G2084" s="250">
        <v>5040</v>
      </c>
      <c r="H2084" s="50"/>
      <c r="I2084" s="50"/>
      <c r="J2084" s="50"/>
      <c r="K2084" s="50"/>
      <c r="L2084" s="50"/>
      <c r="M2084" s="50"/>
      <c r="N2084" s="50"/>
      <c r="O2084" s="50"/>
      <c r="P2084" s="50"/>
      <c r="Q2084" s="50"/>
      <c r="R2084" s="50"/>
    </row>
    <row r="2085" spans="1:18" s="43" customFormat="1" x14ac:dyDescent="0.25">
      <c r="A2085" s="251" t="s">
        <v>1229</v>
      </c>
      <c r="B2085" s="44"/>
      <c r="C2085" s="50"/>
      <c r="D2085" s="50"/>
      <c r="E2085" s="50"/>
      <c r="F2085" s="50"/>
      <c r="G2085" s="250">
        <v>6968</v>
      </c>
      <c r="H2085" s="50"/>
      <c r="I2085" s="50"/>
      <c r="J2085" s="50"/>
      <c r="K2085" s="50"/>
      <c r="L2085" s="50"/>
      <c r="M2085" s="50"/>
      <c r="N2085" s="50"/>
      <c r="O2085" s="50"/>
      <c r="P2085" s="50"/>
      <c r="Q2085" s="50"/>
      <c r="R2085" s="50"/>
    </row>
    <row r="2086" spans="1:18" s="43" customFormat="1" x14ac:dyDescent="0.25">
      <c r="A2086" s="147" t="s">
        <v>1230</v>
      </c>
      <c r="B2086" s="44"/>
      <c r="C2086" s="50"/>
      <c r="D2086" s="50"/>
      <c r="E2086" s="50"/>
      <c r="F2086" s="50"/>
      <c r="G2086" s="250">
        <v>3373</v>
      </c>
      <c r="H2086" s="50"/>
      <c r="I2086" s="50"/>
      <c r="J2086" s="50"/>
      <c r="K2086" s="50"/>
      <c r="L2086" s="50"/>
      <c r="M2086" s="50"/>
      <c r="N2086" s="50"/>
      <c r="O2086" s="50"/>
      <c r="P2086" s="50"/>
      <c r="Q2086" s="50"/>
      <c r="R2086" s="50"/>
    </row>
    <row r="2087" spans="1:18" s="43" customFormat="1" x14ac:dyDescent="0.25">
      <c r="A2087" s="147" t="s">
        <v>1231</v>
      </c>
      <c r="B2087" s="44"/>
      <c r="C2087" s="50"/>
      <c r="D2087" s="50"/>
      <c r="E2087" s="50"/>
      <c r="F2087" s="50"/>
      <c r="G2087" s="250">
        <v>5018</v>
      </c>
      <c r="H2087" s="50"/>
      <c r="I2087" s="50"/>
      <c r="J2087" s="50"/>
      <c r="K2087" s="50"/>
      <c r="L2087" s="50"/>
      <c r="M2087" s="50"/>
      <c r="N2087" s="50"/>
      <c r="O2087" s="50"/>
      <c r="P2087" s="50"/>
      <c r="Q2087" s="50"/>
      <c r="R2087" s="50"/>
    </row>
    <row r="2088" spans="1:18" s="43" customFormat="1" x14ac:dyDescent="0.25">
      <c r="A2088" s="147" t="s">
        <v>1232</v>
      </c>
      <c r="B2088" s="44"/>
      <c r="C2088" s="50"/>
      <c r="D2088" s="50"/>
      <c r="E2088" s="50"/>
      <c r="F2088" s="50"/>
      <c r="G2088" s="250">
        <v>14474</v>
      </c>
      <c r="H2088" s="50"/>
      <c r="I2088" s="50"/>
      <c r="J2088" s="50"/>
      <c r="K2088" s="50"/>
      <c r="L2088" s="50"/>
      <c r="M2088" s="50"/>
      <c r="N2088" s="50"/>
      <c r="O2088" s="50"/>
      <c r="P2088" s="50"/>
      <c r="Q2088" s="50"/>
      <c r="R2088" s="50"/>
    </row>
    <row r="2089" spans="1:18" s="43" customFormat="1" x14ac:dyDescent="0.25">
      <c r="A2089" s="52" t="s">
        <v>958</v>
      </c>
      <c r="B2089" s="44"/>
      <c r="C2089" s="50"/>
      <c r="D2089" s="50"/>
      <c r="E2089" s="50"/>
      <c r="F2089" s="50"/>
      <c r="G2089">
        <v>85000</v>
      </c>
      <c r="H2089" s="50"/>
      <c r="I2089" s="50"/>
      <c r="J2089" s="50"/>
      <c r="K2089" s="50"/>
      <c r="L2089" s="50"/>
      <c r="M2089" s="50"/>
      <c r="N2089" s="50"/>
      <c r="O2089" s="50"/>
      <c r="P2089" s="50"/>
      <c r="Q2089" s="50"/>
      <c r="R2089" s="50"/>
    </row>
    <row r="2090" spans="1:18" s="43" customFormat="1" x14ac:dyDescent="0.25">
      <c r="A2090" s="52" t="s">
        <v>1258</v>
      </c>
      <c r="B2090" s="44"/>
      <c r="C2090" s="50"/>
      <c r="D2090" s="50"/>
      <c r="E2090" s="50"/>
      <c r="F2090" s="50"/>
      <c r="G2090">
        <v>18000</v>
      </c>
      <c r="H2090" s="50"/>
      <c r="I2090" s="50"/>
      <c r="J2090" s="50"/>
      <c r="K2090" s="50"/>
      <c r="L2090" s="50"/>
      <c r="M2090" s="50"/>
      <c r="N2090" s="50"/>
      <c r="O2090" s="50"/>
      <c r="P2090" s="50"/>
      <c r="Q2090" s="50"/>
      <c r="R2090" s="50"/>
    </row>
    <row r="2091" spans="1:18" s="43" customFormat="1" x14ac:dyDescent="0.25">
      <c r="A2091" s="252" t="s">
        <v>1086</v>
      </c>
      <c r="B2091" s="44"/>
      <c r="C2091" s="50"/>
      <c r="D2091" s="50"/>
      <c r="E2091" s="50"/>
      <c r="F2091" s="50"/>
      <c r="G2091" s="43">
        <v>64000</v>
      </c>
      <c r="H2091" s="50"/>
      <c r="I2091" s="50"/>
      <c r="J2091" s="50"/>
      <c r="K2091" s="50"/>
      <c r="L2091" s="50"/>
      <c r="M2091" s="50"/>
      <c r="N2091" s="50"/>
      <c r="O2091" s="50"/>
      <c r="P2091" s="50"/>
      <c r="Q2091" s="50"/>
      <c r="R2091" s="50"/>
    </row>
    <row r="2092" spans="1:18" s="43" customFormat="1" x14ac:dyDescent="0.25">
      <c r="A2092" s="141" t="s">
        <v>1233</v>
      </c>
      <c r="B2092" s="44"/>
      <c r="C2092" s="50"/>
      <c r="D2092" s="50"/>
      <c r="E2092" s="50"/>
      <c r="F2092" s="50"/>
      <c r="G2092" s="43">
        <v>13500</v>
      </c>
      <c r="H2092" s="50"/>
      <c r="I2092" s="50"/>
      <c r="J2092" s="50"/>
      <c r="K2092" s="50"/>
      <c r="L2092" s="50"/>
      <c r="M2092" s="50"/>
      <c r="N2092" s="50"/>
      <c r="O2092" s="50"/>
      <c r="P2092" s="50"/>
      <c r="Q2092" s="50"/>
      <c r="R2092" s="50"/>
    </row>
    <row r="2093" spans="1:18" s="43" customFormat="1" x14ac:dyDescent="0.25">
      <c r="A2093" s="141" t="s">
        <v>1259</v>
      </c>
      <c r="B2093" s="44"/>
      <c r="C2093" s="50"/>
      <c r="D2093" s="50"/>
      <c r="E2093" s="50"/>
      <c r="F2093" s="50"/>
      <c r="G2093" s="43">
        <v>20532</v>
      </c>
      <c r="H2093" s="50"/>
      <c r="I2093" s="50"/>
      <c r="J2093" s="50"/>
      <c r="K2093" s="50"/>
      <c r="L2093" s="50"/>
      <c r="M2093" s="50"/>
      <c r="N2093" s="50"/>
      <c r="O2093" s="50"/>
      <c r="P2093" s="50"/>
      <c r="Q2093" s="50"/>
      <c r="R2093" s="50"/>
    </row>
    <row r="2094" spans="1:18" s="43" customFormat="1" x14ac:dyDescent="0.25">
      <c r="A2094" s="141" t="s">
        <v>1234</v>
      </c>
      <c r="B2094" s="44"/>
      <c r="C2094" s="50"/>
      <c r="D2094" s="50"/>
      <c r="E2094" s="50"/>
      <c r="F2094" s="50"/>
      <c r="G2094" s="43">
        <v>17000</v>
      </c>
      <c r="H2094" s="50"/>
      <c r="I2094" s="50"/>
      <c r="J2094" s="50"/>
      <c r="K2094" s="50"/>
      <c r="L2094" s="50"/>
      <c r="M2094" s="50"/>
      <c r="N2094" s="50"/>
      <c r="O2094" s="50"/>
      <c r="P2094" s="50"/>
      <c r="Q2094" s="50"/>
      <c r="R2094" s="50"/>
    </row>
    <row r="2095" spans="1:18" s="43" customFormat="1" x14ac:dyDescent="0.25">
      <c r="A2095" s="235" t="s">
        <v>1197</v>
      </c>
      <c r="B2095" s="44"/>
      <c r="C2095" s="50"/>
      <c r="D2095" s="50"/>
      <c r="E2095" s="50"/>
      <c r="F2095" s="50"/>
      <c r="G2095" s="250">
        <v>925600</v>
      </c>
      <c r="H2095" s="50"/>
      <c r="I2095" s="50"/>
      <c r="J2095" s="50"/>
      <c r="K2095" s="50"/>
      <c r="L2095" s="50"/>
      <c r="M2095" s="50"/>
      <c r="N2095" s="50"/>
      <c r="O2095" s="50"/>
      <c r="P2095" s="50"/>
      <c r="Q2095" s="50"/>
      <c r="R2095" s="50"/>
    </row>
    <row r="2096" spans="1:18" s="43" customFormat="1" x14ac:dyDescent="0.25">
      <c r="A2096" s="235" t="s">
        <v>1209</v>
      </c>
      <c r="B2096" s="44"/>
      <c r="C2096" s="50"/>
      <c r="D2096" s="50"/>
      <c r="E2096" s="50"/>
      <c r="F2096" s="50"/>
      <c r="G2096" s="250">
        <v>185338</v>
      </c>
      <c r="H2096" s="50"/>
      <c r="I2096" s="50"/>
      <c r="J2096" s="50"/>
      <c r="K2096" s="50"/>
      <c r="L2096" s="50"/>
      <c r="M2096" s="50"/>
      <c r="N2096" s="50"/>
      <c r="O2096" s="50"/>
      <c r="P2096" s="50"/>
      <c r="Q2096" s="50"/>
      <c r="R2096" s="50"/>
    </row>
    <row r="2097" spans="1:18" s="43" customFormat="1" x14ac:dyDescent="0.25">
      <c r="A2097" s="41" t="s">
        <v>1260</v>
      </c>
      <c r="B2097" s="44"/>
      <c r="C2097" s="50"/>
      <c r="D2097" s="50"/>
      <c r="E2097" s="50"/>
      <c r="F2097" s="50"/>
      <c r="G2097">
        <v>204714</v>
      </c>
      <c r="H2097" s="50"/>
      <c r="I2097" s="50"/>
      <c r="J2097" s="50"/>
      <c r="K2097" s="50"/>
      <c r="L2097" s="50"/>
      <c r="M2097" s="50"/>
      <c r="N2097" s="50"/>
      <c r="O2097" s="50"/>
      <c r="P2097" s="50"/>
      <c r="Q2097" s="50"/>
      <c r="R2097" s="50"/>
    </row>
    <row r="2098" spans="1:18" s="43" customFormat="1" x14ac:dyDescent="0.25">
      <c r="A2098" s="52"/>
      <c r="B2098" s="44"/>
      <c r="C2098" s="50"/>
      <c r="D2098" s="50"/>
      <c r="E2098" s="50"/>
      <c r="F2098" s="50"/>
      <c r="G2098" s="50"/>
      <c r="H2098" s="50"/>
      <c r="I2098" s="50"/>
      <c r="J2098" s="50"/>
      <c r="K2098" s="50"/>
      <c r="L2098" s="50"/>
      <c r="M2098" s="50"/>
      <c r="N2098" s="50"/>
      <c r="O2098" s="50"/>
      <c r="P2098" s="50"/>
      <c r="Q2098" s="50"/>
      <c r="R2098" s="50"/>
    </row>
    <row r="2099" spans="1:18" s="43" customFormat="1" x14ac:dyDescent="0.25">
      <c r="A2099" s="52"/>
      <c r="B2099" s="44"/>
      <c r="C2099" s="50"/>
      <c r="D2099" s="50"/>
      <c r="E2099" s="50"/>
      <c r="F2099" s="50"/>
      <c r="G2099" s="50"/>
      <c r="H2099" s="50"/>
      <c r="I2099" s="50"/>
      <c r="J2099" s="50"/>
      <c r="K2099" s="50"/>
      <c r="L2099" s="50"/>
      <c r="M2099" s="50"/>
      <c r="N2099" s="50"/>
      <c r="O2099" s="50"/>
      <c r="P2099" s="50"/>
      <c r="Q2099" s="50"/>
      <c r="R2099" s="50"/>
    </row>
    <row r="2100" spans="1:18" s="43" customFormat="1" x14ac:dyDescent="0.25">
      <c r="A2100" s="52"/>
      <c r="B2100" s="44"/>
      <c r="C2100" s="50"/>
      <c r="D2100" s="50"/>
      <c r="E2100" s="50"/>
      <c r="F2100" s="50"/>
      <c r="G2100" s="50"/>
      <c r="H2100" s="50"/>
      <c r="I2100" s="50"/>
      <c r="J2100" s="50"/>
      <c r="K2100" s="50"/>
      <c r="L2100" s="50"/>
      <c r="M2100" s="50"/>
      <c r="N2100" s="50"/>
      <c r="O2100" s="50"/>
      <c r="P2100" s="50"/>
      <c r="Q2100" s="50"/>
      <c r="R2100" s="50"/>
    </row>
    <row r="2101" spans="1:18" s="43" customFormat="1" x14ac:dyDescent="0.25">
      <c r="A2101" s="52"/>
      <c r="B2101" s="44"/>
      <c r="C2101" s="50"/>
      <c r="D2101" s="50"/>
      <c r="E2101" s="50"/>
      <c r="F2101" s="50"/>
      <c r="G2101" s="50"/>
      <c r="H2101" s="50"/>
      <c r="I2101" s="50"/>
      <c r="J2101" s="50"/>
      <c r="K2101" s="50"/>
      <c r="L2101" s="50"/>
      <c r="M2101" s="50"/>
      <c r="N2101" s="50"/>
      <c r="O2101" s="50"/>
      <c r="P2101" s="50"/>
      <c r="Q2101" s="50"/>
      <c r="R2101" s="50"/>
    </row>
    <row r="2102" spans="1:18" s="43" customFormat="1" x14ac:dyDescent="0.25">
      <c r="A2102" s="52"/>
      <c r="B2102" s="44"/>
      <c r="C2102" s="50"/>
      <c r="D2102" s="50"/>
      <c r="E2102" s="50"/>
      <c r="F2102" s="50"/>
      <c r="G2102" s="50"/>
      <c r="H2102" s="50"/>
      <c r="I2102" s="50"/>
      <c r="J2102" s="50"/>
      <c r="K2102" s="50"/>
      <c r="L2102" s="50"/>
      <c r="M2102" s="50"/>
      <c r="N2102" s="50"/>
      <c r="O2102" s="50"/>
      <c r="P2102" s="50"/>
      <c r="Q2102" s="50"/>
      <c r="R2102" s="50"/>
    </row>
    <row r="2103" spans="1:18" s="43" customFormat="1" x14ac:dyDescent="0.25">
      <c r="A2103" s="52"/>
      <c r="B2103" s="44"/>
      <c r="C2103" s="50"/>
      <c r="D2103" s="50"/>
      <c r="E2103" s="50"/>
      <c r="F2103" s="50"/>
      <c r="G2103" s="50"/>
      <c r="H2103" s="50"/>
      <c r="I2103" s="50"/>
      <c r="J2103" s="50"/>
      <c r="K2103" s="50"/>
      <c r="L2103" s="50"/>
      <c r="M2103" s="50"/>
      <c r="N2103" s="50"/>
      <c r="O2103" s="50"/>
      <c r="P2103" s="50"/>
      <c r="Q2103" s="50"/>
      <c r="R2103" s="50"/>
    </row>
    <row r="2104" spans="1:18" s="43" customFormat="1" x14ac:dyDescent="0.25">
      <c r="A2104" s="52"/>
      <c r="B2104" s="44"/>
      <c r="C2104" s="50"/>
      <c r="D2104" s="50"/>
      <c r="E2104" s="50"/>
      <c r="F2104" s="50"/>
      <c r="G2104" s="50"/>
      <c r="H2104" s="50"/>
      <c r="I2104" s="50"/>
      <c r="J2104" s="50"/>
      <c r="K2104" s="50"/>
      <c r="L2104" s="50"/>
      <c r="M2104" s="50"/>
      <c r="N2104" s="50"/>
      <c r="O2104" s="50"/>
      <c r="P2104" s="50"/>
      <c r="Q2104" s="50"/>
      <c r="R2104" s="50"/>
    </row>
    <row r="2105" spans="1:18" x14ac:dyDescent="0.25">
      <c r="A2105" s="52"/>
      <c r="B2105" s="44"/>
      <c r="C2105" s="52"/>
      <c r="D2105" s="50"/>
      <c r="E2105" s="50"/>
      <c r="F2105" s="50"/>
      <c r="G2105" s="50"/>
      <c r="H2105" s="50"/>
      <c r="I2105" s="50"/>
      <c r="J2105" s="50"/>
      <c r="K2105" s="50"/>
      <c r="L2105" s="50"/>
      <c r="M2105" s="50"/>
      <c r="N2105" s="50"/>
      <c r="O2105" s="50"/>
      <c r="P2105" s="50"/>
      <c r="Q2105" s="50"/>
      <c r="R2105" s="50"/>
    </row>
    <row r="2106" spans="1:18" x14ac:dyDescent="0.25">
      <c r="A2106" s="41" t="s">
        <v>107</v>
      </c>
      <c r="B2106" s="44"/>
      <c r="C2106" s="51">
        <f>SUM(C2028:C2105)</f>
        <v>1173095</v>
      </c>
      <c r="D2106" s="51">
        <f>SUM(D2028:D2075)</f>
        <v>961606</v>
      </c>
      <c r="E2106" s="51">
        <f>SUM(E2028:E2075)</f>
        <v>1078717</v>
      </c>
      <c r="F2106" s="51">
        <f t="shared" ref="F2106" si="1075">SUM(F2028:F2105)</f>
        <v>1033081</v>
      </c>
      <c r="G2106" s="51">
        <f>SUM(G2028:G2105)</f>
        <v>2826400.77</v>
      </c>
      <c r="H2106" s="51">
        <f>SUM(H2028:H2105)</f>
        <v>1772919.9569942858</v>
      </c>
      <c r="I2106" s="51">
        <f t="shared" ref="I2106:R2106" si="1076">SUM(I2028:I2075)</f>
        <v>1165752.6236609523</v>
      </c>
      <c r="J2106" s="51">
        <f t="shared" si="1076"/>
        <v>1132901.4636609524</v>
      </c>
      <c r="K2106" s="51">
        <f t="shared" si="1076"/>
        <v>1149484.1155009523</v>
      </c>
      <c r="L2106" s="51">
        <f t="shared" si="1076"/>
        <v>1174016.2939732724</v>
      </c>
      <c r="M2106" s="51">
        <f t="shared" si="1076"/>
        <v>1162026.1120883033</v>
      </c>
      <c r="N2106" s="51">
        <f t="shared" si="1076"/>
        <v>1203097.7851852844</v>
      </c>
      <c r="O2106" s="51">
        <f t="shared" si="1076"/>
        <v>1210505.3897951494</v>
      </c>
      <c r="P2106" s="51">
        <f t="shared" si="1076"/>
        <v>1277111.2135456367</v>
      </c>
      <c r="Q2106" s="51">
        <f t="shared" si="1076"/>
        <v>1305838.1417219378</v>
      </c>
      <c r="R2106" s="51">
        <f t="shared" si="1076"/>
        <v>1341064.0410393537</v>
      </c>
    </row>
    <row r="2107" spans="1:18" x14ac:dyDescent="0.25">
      <c r="C2107" s="50"/>
      <c r="D2107" s="50"/>
      <c r="E2107" s="50"/>
      <c r="F2107" s="50"/>
      <c r="G2107" s="50"/>
      <c r="H2107" s="50"/>
      <c r="I2107" s="50"/>
      <c r="J2107" s="50"/>
      <c r="K2107" s="50"/>
      <c r="L2107" s="50"/>
      <c r="M2107" s="50"/>
      <c r="N2107" s="50"/>
      <c r="O2107" s="50"/>
      <c r="P2107" s="50"/>
      <c r="Q2107" s="50"/>
      <c r="R2107" s="50"/>
    </row>
    <row r="2108" spans="1:18" x14ac:dyDescent="0.25">
      <c r="A2108" s="41" t="s">
        <v>1261</v>
      </c>
      <c r="B2108" s="44"/>
      <c r="C2108" s="51">
        <f t="shared" ref="C2108:R2108" si="1077">C2106-C2023+C1796</f>
        <v>-1703368.42</v>
      </c>
      <c r="D2108" s="51">
        <f t="shared" si="1077"/>
        <v>-2784171</v>
      </c>
      <c r="E2108" s="51">
        <f t="shared" si="1077"/>
        <v>-2486182</v>
      </c>
      <c r="F2108" s="51">
        <f t="shared" si="1077"/>
        <v>-2242985</v>
      </c>
      <c r="G2108" s="51">
        <f t="shared" si="1077"/>
        <v>249539.41000000015</v>
      </c>
      <c r="H2108" s="51">
        <f t="shared" si="1077"/>
        <v>-1608957</v>
      </c>
      <c r="I2108" s="51">
        <f t="shared" si="1077"/>
        <v>-1678388.5</v>
      </c>
      <c r="J2108" s="51">
        <f t="shared" si="1077"/>
        <v>-1922281.0724999998</v>
      </c>
      <c r="K2108" s="51">
        <f t="shared" si="1077"/>
        <v>-1826307.1919475005</v>
      </c>
      <c r="L2108" s="51">
        <f t="shared" si="1077"/>
        <v>-1809973.6581457676</v>
      </c>
      <c r="M2108" s="51">
        <f t="shared" si="1077"/>
        <v>-1958717.3101823037</v>
      </c>
      <c r="N2108" s="51">
        <f t="shared" si="1077"/>
        <v>-2106314.3045983124</v>
      </c>
      <c r="O2108" s="51">
        <f t="shared" si="1077"/>
        <v>-1925299.321883539</v>
      </c>
      <c r="P2108" s="51">
        <f t="shared" si="1077"/>
        <v>-2123941.4678188367</v>
      </c>
      <c r="Q2108" s="51">
        <f t="shared" si="1077"/>
        <v>-2084142.7796313863</v>
      </c>
      <c r="R2108" s="51">
        <f t="shared" si="1077"/>
        <v>-2092371.3065393241</v>
      </c>
    </row>
    <row r="2109" spans="1:18" x14ac:dyDescent="0.25">
      <c r="C2109" s="50"/>
      <c r="D2109" s="50"/>
      <c r="E2109" s="50"/>
      <c r="F2109" s="50"/>
      <c r="G2109" s="50"/>
      <c r="H2109" s="50"/>
      <c r="I2109" s="50"/>
      <c r="J2109" s="50"/>
      <c r="K2109" s="50"/>
      <c r="L2109" s="50"/>
      <c r="M2109" s="50"/>
      <c r="N2109" s="50"/>
      <c r="O2109" s="50"/>
      <c r="P2109" s="50"/>
      <c r="Q2109" s="50"/>
      <c r="R2109" s="50"/>
    </row>
    <row r="2110" spans="1:18" x14ac:dyDescent="0.25">
      <c r="A2110" s="41" t="s">
        <v>1262</v>
      </c>
      <c r="B2110" s="44"/>
      <c r="C2110" s="50"/>
      <c r="D2110" s="50"/>
      <c r="E2110" s="50"/>
      <c r="F2110" s="50"/>
      <c r="G2110" s="50"/>
      <c r="H2110" s="50"/>
      <c r="I2110" s="50"/>
      <c r="J2110" s="50"/>
      <c r="K2110" s="50"/>
      <c r="L2110" s="50"/>
      <c r="M2110" s="50"/>
      <c r="N2110" s="50"/>
      <c r="O2110" s="50"/>
      <c r="P2110" s="50"/>
      <c r="Q2110" s="50"/>
      <c r="R2110" s="50"/>
    </row>
    <row r="2111" spans="1:18" x14ac:dyDescent="0.25">
      <c r="A2111" s="41"/>
      <c r="B2111" s="44"/>
      <c r="C2111" s="50"/>
      <c r="D2111" s="50"/>
      <c r="E2111" s="50"/>
      <c r="F2111" s="50"/>
      <c r="G2111" s="50"/>
      <c r="H2111" s="50"/>
      <c r="I2111" s="50"/>
      <c r="J2111" s="50"/>
      <c r="K2111" s="50"/>
      <c r="L2111" s="50"/>
      <c r="M2111" s="50"/>
      <c r="N2111" s="50"/>
      <c r="O2111" s="50"/>
      <c r="P2111" s="50"/>
      <c r="Q2111" s="50"/>
      <c r="R2111" s="50"/>
    </row>
    <row r="2112" spans="1:18" x14ac:dyDescent="0.25">
      <c r="A2112" s="41" t="s">
        <v>202</v>
      </c>
      <c r="B2112" s="44"/>
      <c r="C2112" s="50"/>
      <c r="D2112" s="50"/>
      <c r="E2112" s="50"/>
      <c r="F2112" s="50"/>
      <c r="G2112" s="50"/>
      <c r="H2112" s="50"/>
      <c r="I2112" s="50"/>
      <c r="J2112" s="50"/>
      <c r="K2112" s="50"/>
      <c r="L2112" s="50"/>
      <c r="M2112" s="50"/>
      <c r="N2112" s="50"/>
      <c r="O2112" s="50"/>
      <c r="P2112" s="50"/>
      <c r="Q2112" s="50"/>
      <c r="R2112" s="50"/>
    </row>
    <row r="2113" spans="1:25" x14ac:dyDescent="0.25">
      <c r="A2113" s="41"/>
      <c r="B2113" s="44"/>
      <c r="C2113" s="50"/>
      <c r="D2113" s="50"/>
      <c r="E2113" s="50"/>
      <c r="F2113" s="50"/>
      <c r="G2113" s="50"/>
      <c r="H2113" s="50"/>
      <c r="I2113" s="50"/>
      <c r="J2113" s="50"/>
      <c r="K2113" s="50"/>
      <c r="L2113" s="50"/>
      <c r="M2113" s="50"/>
      <c r="N2113" s="50"/>
      <c r="O2113" s="50"/>
      <c r="P2113" s="50"/>
      <c r="Q2113" s="50"/>
      <c r="R2113" s="50"/>
    </row>
    <row r="2114" spans="1:25" x14ac:dyDescent="0.25">
      <c r="C2114" s="50"/>
      <c r="D2114" s="50"/>
      <c r="E2114" s="50"/>
      <c r="F2114" s="50"/>
      <c r="G2114" s="50"/>
      <c r="H2114" s="50"/>
      <c r="I2114" s="50"/>
      <c r="J2114" s="50"/>
      <c r="K2114" s="50"/>
      <c r="L2114" s="50"/>
      <c r="M2114" s="50"/>
      <c r="N2114" s="50"/>
      <c r="O2114" s="50"/>
      <c r="P2114" s="50"/>
      <c r="Q2114" s="50"/>
      <c r="R2114" s="50"/>
    </row>
    <row r="2115" spans="1:25" x14ac:dyDescent="0.25">
      <c r="A2115" s="43" t="s">
        <v>1263</v>
      </c>
      <c r="C2115" s="54">
        <v>3305</v>
      </c>
      <c r="D2115" s="54">
        <v>650</v>
      </c>
      <c r="E2115">
        <v>1616</v>
      </c>
      <c r="F2115" s="54">
        <v>1250</v>
      </c>
      <c r="G2115" s="54">
        <v>4020</v>
      </c>
      <c r="H2115" s="54">
        <v>2000</v>
      </c>
      <c r="I2115" s="54">
        <f t="shared" ref="I2115:I2118" si="1078">H2115*1.023</f>
        <v>2045.9999999999998</v>
      </c>
      <c r="J2115" s="54">
        <f t="shared" ref="J2115:K2118" si="1079">I2115*1.024</f>
        <v>2095.1039999999998</v>
      </c>
      <c r="K2115" s="54">
        <f t="shared" si="1079"/>
        <v>2145.3864960000001</v>
      </c>
      <c r="L2115" s="54">
        <f t="shared" ref="L2115:L2118" si="1080">K2115*1.023</f>
        <v>2194.7303854080001</v>
      </c>
      <c r="M2115" s="54">
        <f t="shared" ref="M2115:M2118" si="1081">L2115*1.022</f>
        <v>2243.0144538869763</v>
      </c>
      <c r="N2115" s="54">
        <f t="shared" ref="N2115:N2118" si="1082">M2115*1.023</f>
        <v>2294.6037863263764</v>
      </c>
      <c r="O2115" s="54">
        <f t="shared" ref="O2115:P2118" si="1083">N2115*1.025</f>
        <v>2351.9688809845356</v>
      </c>
      <c r="P2115" s="54">
        <f t="shared" si="1083"/>
        <v>2410.7681030091489</v>
      </c>
      <c r="Q2115" s="54">
        <f t="shared" ref="Q2115:R2118" si="1084">P2115*1.024</f>
        <v>2468.6265374813684</v>
      </c>
      <c r="R2115" s="54">
        <f t="shared" si="1084"/>
        <v>2527.8735743809211</v>
      </c>
    </row>
    <row r="2116" spans="1:25" x14ac:dyDescent="0.25">
      <c r="A2116" s="43" t="s">
        <v>1264</v>
      </c>
      <c r="C2116" s="54">
        <v>24640</v>
      </c>
      <c r="D2116" s="54">
        <v>21647</v>
      </c>
      <c r="E2116">
        <v>21312</v>
      </c>
      <c r="F2116" s="54">
        <v>18900</v>
      </c>
      <c r="G2116" s="54">
        <v>18635</v>
      </c>
      <c r="H2116" s="54">
        <v>20000</v>
      </c>
      <c r="I2116" s="54">
        <f t="shared" si="1078"/>
        <v>20460</v>
      </c>
      <c r="J2116" s="54">
        <f t="shared" si="1079"/>
        <v>20951.04</v>
      </c>
      <c r="K2116" s="54">
        <f t="shared" si="1079"/>
        <v>21453.864960000003</v>
      </c>
      <c r="L2116" s="54">
        <f t="shared" si="1080"/>
        <v>21947.303854080001</v>
      </c>
      <c r="M2116" s="54">
        <f t="shared" si="1081"/>
        <v>22430.144538869761</v>
      </c>
      <c r="N2116" s="54">
        <f t="shared" si="1082"/>
        <v>22946.037863263762</v>
      </c>
      <c r="O2116" s="54">
        <f t="shared" si="1083"/>
        <v>23519.688809845353</v>
      </c>
      <c r="P2116" s="54">
        <f t="shared" si="1083"/>
        <v>24107.681030091484</v>
      </c>
      <c r="Q2116" s="54">
        <f t="shared" si="1084"/>
        <v>24686.26537481368</v>
      </c>
      <c r="R2116" s="54">
        <f t="shared" si="1084"/>
        <v>25278.735743809208</v>
      </c>
    </row>
    <row r="2117" spans="1:25" x14ac:dyDescent="0.25">
      <c r="A2117" s="43" t="s">
        <v>1265</v>
      </c>
      <c r="C2117" s="54">
        <v>54376</v>
      </c>
      <c r="D2117" s="54">
        <v>56776</v>
      </c>
      <c r="E2117">
        <v>58873</v>
      </c>
      <c r="F2117" s="54">
        <v>59120</v>
      </c>
      <c r="G2117" s="54">
        <v>61336</v>
      </c>
      <c r="H2117" s="54">
        <v>61000</v>
      </c>
      <c r="I2117" s="54">
        <f t="shared" si="1078"/>
        <v>62402.999999999993</v>
      </c>
      <c r="J2117" s="54">
        <f t="shared" si="1079"/>
        <v>63900.671999999991</v>
      </c>
      <c r="K2117" s="54">
        <f t="shared" si="1079"/>
        <v>65434.288127999993</v>
      </c>
      <c r="L2117" s="54">
        <f t="shared" si="1080"/>
        <v>66939.276754943989</v>
      </c>
      <c r="M2117" s="54">
        <f t="shared" si="1081"/>
        <v>68411.940843552758</v>
      </c>
      <c r="N2117" s="54">
        <f t="shared" si="1082"/>
        <v>69985.415482954471</v>
      </c>
      <c r="O2117" s="54">
        <f t="shared" si="1083"/>
        <v>71735.050870028324</v>
      </c>
      <c r="P2117" s="54">
        <f t="shared" si="1083"/>
        <v>73528.42714177903</v>
      </c>
      <c r="Q2117" s="54">
        <f t="shared" si="1084"/>
        <v>75293.10939318173</v>
      </c>
      <c r="R2117" s="54">
        <f t="shared" si="1084"/>
        <v>77100.144018618099</v>
      </c>
    </row>
    <row r="2118" spans="1:25" x14ac:dyDescent="0.25">
      <c r="A2118" s="43" t="s">
        <v>1266</v>
      </c>
      <c r="C2118" s="54">
        <v>50</v>
      </c>
      <c r="D2118" s="43">
        <v>50</v>
      </c>
      <c r="E2118">
        <v>45</v>
      </c>
      <c r="F2118" s="50">
        <v>20</v>
      </c>
      <c r="G2118" s="50">
        <v>0</v>
      </c>
      <c r="H2118" s="50">
        <v>100</v>
      </c>
      <c r="I2118" s="54">
        <f t="shared" si="1078"/>
        <v>102.3</v>
      </c>
      <c r="J2118" s="54">
        <f t="shared" si="1079"/>
        <v>104.7552</v>
      </c>
      <c r="K2118" s="54">
        <f t="shared" si="1079"/>
        <v>107.26932480000001</v>
      </c>
      <c r="L2118" s="54">
        <f t="shared" si="1080"/>
        <v>109.7365192704</v>
      </c>
      <c r="M2118" s="54">
        <f t="shared" si="1081"/>
        <v>112.1507226943488</v>
      </c>
      <c r="N2118" s="54">
        <f t="shared" si="1082"/>
        <v>114.73018931631881</v>
      </c>
      <c r="O2118" s="54">
        <f t="shared" si="1083"/>
        <v>117.59844404922677</v>
      </c>
      <c r="P2118" s="54">
        <f t="shared" si="1083"/>
        <v>120.53840515045744</v>
      </c>
      <c r="Q2118" s="54">
        <f t="shared" si="1084"/>
        <v>123.43132687406842</v>
      </c>
      <c r="R2118" s="54">
        <f t="shared" si="1084"/>
        <v>126.39367871904606</v>
      </c>
    </row>
    <row r="2119" spans="1:25" x14ac:dyDescent="0.25">
      <c r="A2119" s="52" t="s">
        <v>1267</v>
      </c>
      <c r="C2119" s="54"/>
      <c r="E2119">
        <v>3986244</v>
      </c>
      <c r="F2119" s="50">
        <v>0</v>
      </c>
      <c r="G2119" s="50">
        <v>0</v>
      </c>
      <c r="H2119" s="50">
        <v>0</v>
      </c>
      <c r="I2119" s="50">
        <v>0</v>
      </c>
      <c r="J2119" s="50">
        <v>0</v>
      </c>
      <c r="K2119" s="50">
        <v>0</v>
      </c>
      <c r="L2119" s="50">
        <v>0</v>
      </c>
      <c r="M2119" s="50">
        <v>0</v>
      </c>
      <c r="N2119" s="50">
        <v>0</v>
      </c>
      <c r="O2119" s="50">
        <v>0</v>
      </c>
      <c r="P2119" s="50">
        <v>0</v>
      </c>
      <c r="Q2119" s="50">
        <v>0</v>
      </c>
      <c r="R2119" s="50">
        <v>0</v>
      </c>
    </row>
    <row r="2120" spans="1:25" x14ac:dyDescent="0.25">
      <c r="A2120" s="43" t="s">
        <v>1268</v>
      </c>
      <c r="C2120" s="54">
        <v>26375</v>
      </c>
      <c r="D2120" s="50">
        <v>15452</v>
      </c>
      <c r="E2120">
        <v>31227</v>
      </c>
      <c r="F2120" s="50">
        <v>9005</v>
      </c>
      <c r="G2120" s="50">
        <v>2959</v>
      </c>
      <c r="H2120" s="50">
        <v>32900</v>
      </c>
      <c r="I2120" s="50">
        <v>81600</v>
      </c>
      <c r="J2120" s="50">
        <v>26700</v>
      </c>
      <c r="K2120" s="50">
        <v>0</v>
      </c>
      <c r="L2120" s="50">
        <v>0</v>
      </c>
      <c r="M2120" s="50">
        <v>38100</v>
      </c>
      <c r="N2120" s="50">
        <v>39700</v>
      </c>
      <c r="O2120" s="50">
        <v>19800</v>
      </c>
      <c r="P2120" s="50">
        <v>64900</v>
      </c>
      <c r="Q2120" s="43">
        <v>19400</v>
      </c>
      <c r="R2120" s="43">
        <v>19400</v>
      </c>
    </row>
    <row r="2121" spans="1:25" x14ac:dyDescent="0.25">
      <c r="A2121" s="43" t="s">
        <v>1269</v>
      </c>
      <c r="C2121" s="54">
        <f>96+1037+253</f>
        <v>1386</v>
      </c>
      <c r="D2121" s="54">
        <v>5834</v>
      </c>
      <c r="E2121">
        <f>370+5177+253</f>
        <v>5800</v>
      </c>
      <c r="F2121" s="54">
        <v>504</v>
      </c>
      <c r="G2121" s="54">
        <v>904</v>
      </c>
      <c r="H2121" s="54">
        <v>1200</v>
      </c>
      <c r="I2121" s="54">
        <f t="shared" ref="I2121:I2122" si="1085">H2121*1.023</f>
        <v>1227.5999999999999</v>
      </c>
      <c r="J2121" s="54">
        <f t="shared" ref="J2121:K2122" si="1086">I2121*1.024</f>
        <v>1257.0624</v>
      </c>
      <c r="K2121" s="54">
        <f t="shared" si="1086"/>
        <v>1287.2318976000001</v>
      </c>
      <c r="L2121" s="54">
        <f t="shared" ref="L2121:L2122" si="1087">K2121*1.023</f>
        <v>1316.8382312448</v>
      </c>
      <c r="M2121" s="54">
        <f t="shared" ref="M2121:M2122" si="1088">L2121*1.022</f>
        <v>1345.8086723321856</v>
      </c>
      <c r="N2121" s="54">
        <f t="shared" ref="N2121:N2122" si="1089">M2121*1.023</f>
        <v>1376.7622717958257</v>
      </c>
      <c r="O2121" s="54">
        <f t="shared" ref="O2121:P2122" si="1090">N2121*1.025</f>
        <v>1411.1813285907213</v>
      </c>
      <c r="P2121" s="54">
        <f t="shared" si="1090"/>
        <v>1446.4608618054892</v>
      </c>
      <c r="Q2121" s="54">
        <f t="shared" ref="Q2121:R2122" si="1091">P2121*1.024</f>
        <v>1481.175922488821</v>
      </c>
      <c r="R2121" s="54">
        <f t="shared" si="1091"/>
        <v>1516.7241446285527</v>
      </c>
    </row>
    <row r="2122" spans="1:25" x14ac:dyDescent="0.25">
      <c r="A2122" s="43" t="s">
        <v>1270</v>
      </c>
      <c r="C2122" s="54">
        <f>3239</f>
        <v>3239</v>
      </c>
      <c r="D2122" s="54">
        <v>3573</v>
      </c>
      <c r="E2122">
        <v>3975</v>
      </c>
      <c r="F2122" s="54">
        <v>11999</v>
      </c>
      <c r="G2122" s="54">
        <v>14183</v>
      </c>
      <c r="H2122" s="54">
        <v>13700</v>
      </c>
      <c r="I2122" s="54">
        <f t="shared" si="1085"/>
        <v>14015.099999999999</v>
      </c>
      <c r="J2122" s="54">
        <f t="shared" si="1086"/>
        <v>14351.462399999999</v>
      </c>
      <c r="K2122" s="54">
        <f t="shared" si="1086"/>
        <v>14695.897497599999</v>
      </c>
      <c r="L2122" s="54">
        <f t="shared" si="1087"/>
        <v>15033.903140044798</v>
      </c>
      <c r="M2122" s="54">
        <f t="shared" si="1088"/>
        <v>15364.649009125784</v>
      </c>
      <c r="N2122" s="54">
        <f t="shared" si="1089"/>
        <v>15718.035936335675</v>
      </c>
      <c r="O2122" s="54">
        <f t="shared" si="1090"/>
        <v>16110.986834744066</v>
      </c>
      <c r="P2122" s="54">
        <f t="shared" si="1090"/>
        <v>16513.761505612667</v>
      </c>
      <c r="Q2122" s="54">
        <f t="shared" si="1091"/>
        <v>16910.091781747371</v>
      </c>
      <c r="R2122" s="54">
        <f t="shared" si="1091"/>
        <v>17315.933984509309</v>
      </c>
    </row>
    <row r="2123" spans="1:25" x14ac:dyDescent="0.25">
      <c r="A2123" s="52" t="s">
        <v>1271</v>
      </c>
      <c r="C2123" s="54">
        <v>6819937</v>
      </c>
      <c r="D2123" s="50">
        <v>6978871</v>
      </c>
      <c r="E2123">
        <v>7193586</v>
      </c>
      <c r="F2123" s="50">
        <v>7345366</v>
      </c>
      <c r="G2123" s="50">
        <v>7453142</v>
      </c>
      <c r="H2123" s="50">
        <f>7849500-161200-53400</f>
        <v>7634900</v>
      </c>
      <c r="I2123" s="50">
        <f>8078900-I2131-53000</f>
        <v>7860300</v>
      </c>
      <c r="J2123" s="50">
        <f t="shared" ref="J2123:R2123" si="1092">I2123*1.025</f>
        <v>8056807.4999999991</v>
      </c>
      <c r="K2123" s="50">
        <f t="shared" si="1092"/>
        <v>8258227.6874999981</v>
      </c>
      <c r="L2123" s="50">
        <f t="shared" si="1092"/>
        <v>8464683.3796874974</v>
      </c>
      <c r="M2123" s="50">
        <f t="shared" si="1092"/>
        <v>8676300.4641796835</v>
      </c>
      <c r="N2123" s="50">
        <f t="shared" si="1092"/>
        <v>8893207.9757841751</v>
      </c>
      <c r="O2123" s="50">
        <f t="shared" si="1092"/>
        <v>9115538.1751787793</v>
      </c>
      <c r="P2123" s="50">
        <f t="shared" si="1092"/>
        <v>9343426.6295582484</v>
      </c>
      <c r="Q2123" s="50">
        <f t="shared" si="1092"/>
        <v>9577012.2952972036</v>
      </c>
      <c r="R2123" s="50">
        <f t="shared" si="1092"/>
        <v>9816437.6026796326</v>
      </c>
      <c r="T2123" s="54"/>
    </row>
    <row r="2124" spans="1:25" ht="12" customHeight="1" x14ac:dyDescent="0.25">
      <c r="A2124" s="209" t="s">
        <v>1272</v>
      </c>
      <c r="B2124" s="204" t="s">
        <v>950</v>
      </c>
      <c r="C2124" s="253"/>
      <c r="D2124" s="205">
        <v>0</v>
      </c>
      <c r="E2124" s="205">
        <v>0</v>
      </c>
      <c r="F2124" s="205">
        <v>-34</v>
      </c>
      <c r="G2124" s="205">
        <v>0</v>
      </c>
      <c r="H2124" s="205">
        <v>0</v>
      </c>
      <c r="I2124" s="205">
        <v>0</v>
      </c>
      <c r="J2124" s="205">
        <v>0</v>
      </c>
      <c r="K2124" s="205">
        <v>0</v>
      </c>
      <c r="L2124" s="205">
        <v>0</v>
      </c>
      <c r="M2124" s="207">
        <v>0</v>
      </c>
      <c r="N2124" s="207">
        <v>0</v>
      </c>
      <c r="O2124" s="207">
        <v>0</v>
      </c>
      <c r="P2124" s="207">
        <v>0</v>
      </c>
      <c r="Q2124" s="207">
        <f t="shared" ref="Q2124:R2124" si="1093">P2124*1.03</f>
        <v>0</v>
      </c>
      <c r="R2124" s="207">
        <f t="shared" si="1093"/>
        <v>0</v>
      </c>
    </row>
    <row r="2125" spans="1:25" ht="12" customHeight="1" x14ac:dyDescent="0.25">
      <c r="A2125" s="253" t="s">
        <v>1273</v>
      </c>
      <c r="B2125" s="204"/>
      <c r="C2125" s="206">
        <f>335020-54</f>
        <v>334966</v>
      </c>
      <c r="D2125" s="205">
        <v>342421</v>
      </c>
      <c r="E2125" s="205">
        <v>354401</v>
      </c>
      <c r="F2125" s="205">
        <v>361788</v>
      </c>
      <c r="G2125" s="205">
        <v>366922</v>
      </c>
      <c r="H2125" s="205">
        <v>375900</v>
      </c>
      <c r="I2125" s="205">
        <v>387000</v>
      </c>
      <c r="J2125" s="205">
        <f t="shared" ref="J2125:L2125" si="1094">I2125*1.025</f>
        <v>396674.99999999994</v>
      </c>
      <c r="K2125" s="205">
        <f t="shared" si="1094"/>
        <v>406591.87499999988</v>
      </c>
      <c r="L2125" s="205">
        <f t="shared" si="1094"/>
        <v>416756.67187499983</v>
      </c>
      <c r="M2125" s="207">
        <f>L2125*1.025</f>
        <v>427175.58867187478</v>
      </c>
      <c r="N2125" s="207">
        <f t="shared" ref="N2125:R2125" si="1095">M2125*1.025</f>
        <v>437854.97838867159</v>
      </c>
      <c r="O2125" s="207">
        <f t="shared" si="1095"/>
        <v>448801.35284838831</v>
      </c>
      <c r="P2125" s="207">
        <f t="shared" si="1095"/>
        <v>460021.386669598</v>
      </c>
      <c r="Q2125" s="207">
        <f t="shared" si="1095"/>
        <v>471521.92133633792</v>
      </c>
      <c r="R2125" s="207">
        <f t="shared" si="1095"/>
        <v>483309.96936974634</v>
      </c>
      <c r="T2125" s="54"/>
      <c r="W2125">
        <f>7829200</f>
        <v>7829200</v>
      </c>
      <c r="X2125">
        <v>-159700</v>
      </c>
      <c r="Y2125">
        <f>SUM(W2125:X2125)</f>
        <v>7669500</v>
      </c>
    </row>
    <row r="2126" spans="1:25" x14ac:dyDescent="0.25">
      <c r="A2126" s="213" t="s">
        <v>1272</v>
      </c>
      <c r="B2126" s="254" t="s">
        <v>590</v>
      </c>
      <c r="C2126" s="54">
        <f>225781-64</f>
        <v>225717</v>
      </c>
      <c r="D2126" s="255">
        <v>0</v>
      </c>
      <c r="E2126" s="255">
        <v>0</v>
      </c>
      <c r="F2126" s="255">
        <v>0</v>
      </c>
      <c r="G2126" s="255">
        <v>0</v>
      </c>
      <c r="H2126" s="255">
        <v>0</v>
      </c>
      <c r="I2126" s="255">
        <v>0</v>
      </c>
      <c r="J2126" s="255">
        <v>0</v>
      </c>
      <c r="K2126" s="255">
        <v>0</v>
      </c>
      <c r="L2126" s="255">
        <v>0</v>
      </c>
      <c r="M2126" s="161">
        <v>0</v>
      </c>
      <c r="N2126" s="161">
        <v>0</v>
      </c>
      <c r="O2126" s="161">
        <v>0</v>
      </c>
      <c r="P2126" s="161">
        <v>0</v>
      </c>
      <c r="Q2126" s="161">
        <f t="shared" ref="Q2126:R2126" si="1096">P2126*1.03</f>
        <v>0</v>
      </c>
      <c r="R2126" s="161">
        <f t="shared" si="1096"/>
        <v>0</v>
      </c>
      <c r="W2126">
        <v>249700</v>
      </c>
      <c r="X2126">
        <v>-5900</v>
      </c>
      <c r="Y2126">
        <f t="shared" ref="Y2126:Y2127" si="1097">SUM(W2126:X2126)</f>
        <v>243800</v>
      </c>
    </row>
    <row r="2127" spans="1:25" x14ac:dyDescent="0.25">
      <c r="A2127" s="158" t="s">
        <v>1274</v>
      </c>
      <c r="B2127" s="256"/>
      <c r="C2127" s="59"/>
      <c r="D2127" s="255">
        <v>230760</v>
      </c>
      <c r="E2127" s="255">
        <v>238735</v>
      </c>
      <c r="F2127" s="255">
        <v>243703</v>
      </c>
      <c r="G2127" s="255">
        <v>247145</v>
      </c>
      <c r="H2127" s="255">
        <v>251200</v>
      </c>
      <c r="I2127" s="255">
        <v>258100</v>
      </c>
      <c r="J2127" s="255">
        <f t="shared" ref="J2127:R2131" si="1098">I2127*1.025</f>
        <v>264552.5</v>
      </c>
      <c r="K2127" s="255">
        <f t="shared" si="1098"/>
        <v>271166.3125</v>
      </c>
      <c r="L2127" s="255">
        <f t="shared" si="1098"/>
        <v>277945.47031249997</v>
      </c>
      <c r="M2127" s="161">
        <f t="shared" si="1098"/>
        <v>284894.10707031243</v>
      </c>
      <c r="N2127" s="161">
        <f t="shared" si="1098"/>
        <v>292016.45974707021</v>
      </c>
      <c r="O2127" s="161">
        <f t="shared" si="1098"/>
        <v>299316.87124074693</v>
      </c>
      <c r="P2127" s="161">
        <f t="shared" si="1098"/>
        <v>306799.7930217656</v>
      </c>
      <c r="Q2127" s="161">
        <f t="shared" si="1098"/>
        <v>314469.78784730972</v>
      </c>
      <c r="R2127" s="161">
        <f t="shared" si="1098"/>
        <v>322331.53254349245</v>
      </c>
      <c r="W2127">
        <f>SUM(W2125:W2126)</f>
        <v>8078900</v>
      </c>
      <c r="X2127">
        <f>SUM(X2125:X2126)</f>
        <v>-165600</v>
      </c>
      <c r="Y2127">
        <f t="shared" si="1097"/>
        <v>7913300</v>
      </c>
    </row>
    <row r="2128" spans="1:25" x14ac:dyDescent="0.25">
      <c r="A2128" s="257" t="s">
        <v>1275</v>
      </c>
      <c r="B2128" s="258" t="s">
        <v>832</v>
      </c>
      <c r="C2128" s="54">
        <v>79018</v>
      </c>
      <c r="D2128" s="259">
        <v>80762</v>
      </c>
      <c r="E2128" s="259">
        <v>83579</v>
      </c>
      <c r="F2128" s="259">
        <f>170628/2</f>
        <v>85314</v>
      </c>
      <c r="G2128" s="259">
        <v>86536</v>
      </c>
      <c r="H2128" s="259">
        <v>88700</v>
      </c>
      <c r="I2128" s="259">
        <v>91300</v>
      </c>
      <c r="J2128" s="259">
        <f t="shared" si="1098"/>
        <v>93582.499999999985</v>
      </c>
      <c r="K2128" s="259">
        <f t="shared" si="1098"/>
        <v>95922.062499999971</v>
      </c>
      <c r="L2128" s="259">
        <f t="shared" si="1098"/>
        <v>98320.114062499968</v>
      </c>
      <c r="M2128" s="190">
        <f t="shared" si="1098"/>
        <v>100778.11691406246</v>
      </c>
      <c r="N2128" s="190">
        <f t="shared" si="1098"/>
        <v>103297.569836914</v>
      </c>
      <c r="O2128" s="190">
        <f t="shared" si="1098"/>
        <v>105880.00908283684</v>
      </c>
      <c r="P2128" s="190">
        <f t="shared" si="1098"/>
        <v>108527.00930990775</v>
      </c>
      <c r="Q2128" s="190">
        <f t="shared" si="1098"/>
        <v>111240.18454265544</v>
      </c>
      <c r="R2128" s="190">
        <f t="shared" si="1098"/>
        <v>114021.18915622181</v>
      </c>
      <c r="Y2128">
        <v>-53000</v>
      </c>
    </row>
    <row r="2129" spans="1:25" x14ac:dyDescent="0.25">
      <c r="A2129" s="260" t="s">
        <v>1276</v>
      </c>
      <c r="B2129" s="127" t="s">
        <v>468</v>
      </c>
      <c r="C2129" s="54">
        <v>79017</v>
      </c>
      <c r="D2129" s="134">
        <v>80762</v>
      </c>
      <c r="E2129" s="134">
        <v>83579</v>
      </c>
      <c r="F2129" s="134">
        <v>85314</v>
      </c>
      <c r="G2129" s="134">
        <v>86535</v>
      </c>
      <c r="H2129" s="134">
        <v>88700</v>
      </c>
      <c r="I2129" s="134">
        <v>91300</v>
      </c>
      <c r="J2129" s="134">
        <f t="shared" si="1098"/>
        <v>93582.499999999985</v>
      </c>
      <c r="K2129" s="134">
        <f t="shared" si="1098"/>
        <v>95922.062499999971</v>
      </c>
      <c r="L2129" s="134">
        <f t="shared" si="1098"/>
        <v>98320.114062499968</v>
      </c>
      <c r="M2129" s="195">
        <f t="shared" si="1098"/>
        <v>100778.11691406246</v>
      </c>
      <c r="N2129" s="195">
        <f t="shared" si="1098"/>
        <v>103297.569836914</v>
      </c>
      <c r="O2129" s="195">
        <f t="shared" si="1098"/>
        <v>105880.00908283684</v>
      </c>
      <c r="P2129" s="195">
        <f t="shared" si="1098"/>
        <v>108527.00930990775</v>
      </c>
      <c r="Q2129" s="195">
        <f t="shared" si="1098"/>
        <v>111240.18454265544</v>
      </c>
      <c r="R2129" s="195">
        <f t="shared" si="1098"/>
        <v>114021.18915622181</v>
      </c>
      <c r="Y2129">
        <f>SUM(Y2127:Y2128)</f>
        <v>7860300</v>
      </c>
    </row>
    <row r="2130" spans="1:25" x14ac:dyDescent="0.25">
      <c r="A2130" s="83" t="s">
        <v>1277</v>
      </c>
      <c r="B2130" s="84" t="s">
        <v>317</v>
      </c>
      <c r="C2130" s="54">
        <v>311846</v>
      </c>
      <c r="D2130" s="261">
        <v>318766</v>
      </c>
      <c r="E2130" s="261">
        <v>329686</v>
      </c>
      <c r="F2130" s="261">
        <v>336471</v>
      </c>
      <c r="G2130" s="89">
        <v>-81</v>
      </c>
      <c r="H2130" s="89">
        <v>0</v>
      </c>
      <c r="I2130" s="89">
        <v>350000</v>
      </c>
      <c r="J2130" s="89">
        <f>I2130*1.025</f>
        <v>358749.99999999994</v>
      </c>
      <c r="K2130" s="89">
        <f t="shared" si="1098"/>
        <v>367718.74999999988</v>
      </c>
      <c r="L2130" s="89">
        <f t="shared" si="1098"/>
        <v>376911.71874999983</v>
      </c>
      <c r="M2130" s="89">
        <f t="shared" si="1098"/>
        <v>386334.51171874977</v>
      </c>
      <c r="N2130" s="89">
        <f t="shared" si="1098"/>
        <v>395992.87451171846</v>
      </c>
      <c r="O2130" s="89">
        <f t="shared" si="1098"/>
        <v>405892.6963745114</v>
      </c>
      <c r="P2130" s="89">
        <f t="shared" si="1098"/>
        <v>416040.01378387416</v>
      </c>
      <c r="Q2130" s="89">
        <f t="shared" si="1098"/>
        <v>426441.01412847097</v>
      </c>
      <c r="R2130" s="89">
        <f t="shared" si="1098"/>
        <v>437102.0394816827</v>
      </c>
      <c r="S2130" s="43"/>
    </row>
    <row r="2131" spans="1:25" s="43" customFormat="1" x14ac:dyDescent="0.25">
      <c r="A2131" s="262" t="s">
        <v>1278</v>
      </c>
      <c r="B2131" s="263">
        <v>0.02</v>
      </c>
      <c r="C2131" s="54">
        <v>145600</v>
      </c>
      <c r="D2131" s="264">
        <v>148900</v>
      </c>
      <c r="E2131" s="264">
        <v>152500</v>
      </c>
      <c r="F2131" s="264">
        <v>155300</v>
      </c>
      <c r="G2131" s="264">
        <v>157600</v>
      </c>
      <c r="H2131" s="264">
        <v>161200</v>
      </c>
      <c r="I2131" s="264">
        <v>165600</v>
      </c>
      <c r="J2131" s="264">
        <f t="shared" ref="J2131:K2131" si="1099">I2131*1.025</f>
        <v>169739.99999999997</v>
      </c>
      <c r="K2131" s="264">
        <f t="shared" si="1099"/>
        <v>173983.49999999994</v>
      </c>
      <c r="L2131" s="190">
        <f>K2131*1.025</f>
        <v>178333.08749999994</v>
      </c>
      <c r="M2131" s="190">
        <f>L2131*1.025</f>
        <v>182791.41468749993</v>
      </c>
      <c r="N2131" s="190">
        <f t="shared" si="1098"/>
        <v>187361.20005468742</v>
      </c>
      <c r="O2131" s="190">
        <f t="shared" si="1098"/>
        <v>192045.2300560546</v>
      </c>
      <c r="P2131" s="190">
        <f t="shared" si="1098"/>
        <v>196846.36080745596</v>
      </c>
      <c r="Q2131" s="190">
        <f t="shared" si="1098"/>
        <v>201767.51982764233</v>
      </c>
      <c r="R2131" s="190">
        <f t="shared" si="1098"/>
        <v>206811.70782333336</v>
      </c>
      <c r="T2131" s="54"/>
    </row>
    <row r="2132" spans="1:25" s="43" customFormat="1" x14ac:dyDescent="0.25">
      <c r="A2132" s="265" t="s">
        <v>1279</v>
      </c>
      <c r="B2132" s="266">
        <v>0.03</v>
      </c>
      <c r="C2132" s="50"/>
      <c r="D2132" s="50"/>
      <c r="E2132" s="50"/>
      <c r="F2132" s="50"/>
      <c r="G2132" s="50">
        <v>0</v>
      </c>
      <c r="H2132" s="50"/>
      <c r="I2132" s="267">
        <v>259700</v>
      </c>
      <c r="J2132" s="267">
        <f>I2132*1.025</f>
        <v>266192.5</v>
      </c>
      <c r="K2132" s="267">
        <f>J2132*1.025</f>
        <v>272847.3125</v>
      </c>
      <c r="L2132" s="267">
        <f t="shared" ref="L2132:R2132" si="1100">K2132*1.025</f>
        <v>279668.49531249999</v>
      </c>
      <c r="M2132" s="267">
        <f t="shared" si="1100"/>
        <v>286660.20769531245</v>
      </c>
      <c r="N2132" s="267">
        <f t="shared" si="1100"/>
        <v>293826.71288769523</v>
      </c>
      <c r="O2132" s="267">
        <f t="shared" si="1100"/>
        <v>301172.3807098876</v>
      </c>
      <c r="P2132" s="267">
        <f t="shared" si="1100"/>
        <v>308701.69022763474</v>
      </c>
      <c r="Q2132" s="267">
        <f t="shared" si="1100"/>
        <v>316419.23248332558</v>
      </c>
      <c r="R2132" s="267">
        <f t="shared" si="1100"/>
        <v>324329.7132954087</v>
      </c>
    </row>
    <row r="2133" spans="1:25" x14ac:dyDescent="0.25">
      <c r="A2133" s="52" t="s">
        <v>1280</v>
      </c>
      <c r="B2133" s="53"/>
      <c r="C2133" s="54">
        <v>19127</v>
      </c>
      <c r="D2133" s="54">
        <v>17247</v>
      </c>
      <c r="E2133" s="43">
        <v>20437</v>
      </c>
      <c r="F2133" s="54">
        <v>20351</v>
      </c>
      <c r="G2133" s="54">
        <v>17799</v>
      </c>
      <c r="H2133" s="54">
        <v>17400</v>
      </c>
      <c r="I2133" s="54">
        <f>H2133*1.025</f>
        <v>17835</v>
      </c>
      <c r="J2133" s="54">
        <f t="shared" ref="J2133:R2133" si="1101">I2133*1.025</f>
        <v>18280.875</v>
      </c>
      <c r="K2133" s="54">
        <f t="shared" si="1101"/>
        <v>18737.896874999999</v>
      </c>
      <c r="L2133" s="54">
        <f t="shared" si="1101"/>
        <v>19206.344296874995</v>
      </c>
      <c r="M2133" s="54">
        <f t="shared" si="1101"/>
        <v>19686.502904296867</v>
      </c>
      <c r="N2133" s="54">
        <f t="shared" si="1101"/>
        <v>20178.665476904287</v>
      </c>
      <c r="O2133" s="54">
        <f t="shared" si="1101"/>
        <v>20683.132113826894</v>
      </c>
      <c r="P2133" s="54">
        <f t="shared" si="1101"/>
        <v>21200.210416672566</v>
      </c>
      <c r="Q2133" s="54">
        <f t="shared" si="1101"/>
        <v>21730.215677089378</v>
      </c>
      <c r="R2133" s="54">
        <f t="shared" si="1101"/>
        <v>22273.47106901661</v>
      </c>
      <c r="S2133" s="43"/>
    </row>
    <row r="2134" spans="1:25" x14ac:dyDescent="0.25">
      <c r="A2134" s="43" t="s">
        <v>1281</v>
      </c>
      <c r="C2134" s="54">
        <v>337545</v>
      </c>
      <c r="D2134" s="50">
        <v>303584</v>
      </c>
      <c r="E2134" s="50">
        <v>326320</v>
      </c>
      <c r="F2134" s="50">
        <v>478024</v>
      </c>
      <c r="G2134" s="50">
        <v>466439</v>
      </c>
      <c r="H2134" s="54">
        <f>473400+12000</f>
        <v>485400</v>
      </c>
      <c r="I2134" s="54">
        <f>493100+12000</f>
        <v>505100</v>
      </c>
      <c r="J2134" s="54">
        <f>591700+12000</f>
        <v>603700</v>
      </c>
      <c r="K2134" s="50">
        <f>611500+12000</f>
        <v>623500</v>
      </c>
      <c r="L2134" s="50">
        <f>572048.387096774+12000</f>
        <v>584048.38709677395</v>
      </c>
      <c r="M2134" s="50">
        <f>532596.774193548+12000</f>
        <v>544596.77419354802</v>
      </c>
      <c r="N2134" s="50">
        <f>611500+12000</f>
        <v>623500</v>
      </c>
      <c r="O2134" s="50">
        <f>690403.225806452+12000</f>
        <v>702403.22580645198</v>
      </c>
      <c r="P2134" s="50">
        <f>710129.032258064+12000</f>
        <v>722129.03225806402</v>
      </c>
      <c r="Q2134" s="50">
        <f>670677.419354839+12000</f>
        <v>682677.41935483902</v>
      </c>
      <c r="R2134" s="50">
        <f>670677.419354839+12000</f>
        <v>682677.41935483902</v>
      </c>
      <c r="S2134" s="43"/>
    </row>
    <row r="2135" spans="1:25" x14ac:dyDescent="0.25">
      <c r="A2135" s="43" t="s">
        <v>1282</v>
      </c>
      <c r="C2135" s="54">
        <v>141407</v>
      </c>
      <c r="D2135">
        <v>299461</v>
      </c>
      <c r="E2135" s="43">
        <v>297821</v>
      </c>
      <c r="F2135" s="54">
        <v>447463</v>
      </c>
      <c r="G2135" s="50">
        <v>306229</v>
      </c>
      <c r="H2135" s="50">
        <f>294900+6500</f>
        <v>301400</v>
      </c>
      <c r="I2135" s="54">
        <f t="shared" ref="I2135" si="1102">H2135*1.023</f>
        <v>308332.19999999995</v>
      </c>
      <c r="J2135" s="54">
        <f t="shared" ref="J2135:K2135" si="1103">I2135*1.024</f>
        <v>315732.17279999994</v>
      </c>
      <c r="K2135" s="54">
        <f t="shared" si="1103"/>
        <v>323309.74494719994</v>
      </c>
      <c r="L2135" s="54">
        <f t="shared" ref="L2135" si="1104">K2135*1.023</f>
        <v>330745.86908098549</v>
      </c>
      <c r="M2135" s="54">
        <f t="shared" ref="M2135" si="1105">L2135*1.022</f>
        <v>338022.27820076718</v>
      </c>
      <c r="N2135" s="54">
        <f t="shared" ref="N2135" si="1106">M2135*1.023</f>
        <v>345796.79059938481</v>
      </c>
      <c r="O2135" s="54">
        <f t="shared" ref="O2135:P2135" si="1107">N2135*1.025</f>
        <v>354441.71036436938</v>
      </c>
      <c r="P2135" s="54">
        <f t="shared" si="1107"/>
        <v>363302.75312347861</v>
      </c>
      <c r="Q2135" s="54">
        <f t="shared" ref="Q2135:R2135" si="1108">P2135*1.024</f>
        <v>372022.01919844211</v>
      </c>
      <c r="R2135" s="54">
        <f t="shared" si="1108"/>
        <v>380950.54765920475</v>
      </c>
      <c r="S2135" s="43"/>
    </row>
    <row r="2136" spans="1:25" x14ac:dyDescent="0.25">
      <c r="A2136" s="43" t="s">
        <v>1283</v>
      </c>
      <c r="C2136" s="54">
        <v>52613</v>
      </c>
      <c r="D2136" s="54">
        <v>51981</v>
      </c>
      <c r="E2136" s="52">
        <v>50567</v>
      </c>
      <c r="F2136" s="54">
        <v>49034</v>
      </c>
      <c r="G2136" s="50">
        <v>28452</v>
      </c>
      <c r="H2136" s="50">
        <v>29400</v>
      </c>
      <c r="I2136" s="50">
        <f>53000*0.55</f>
        <v>29150.000000000004</v>
      </c>
      <c r="J2136" s="50">
        <f t="shared" ref="J2136:R2136" si="1109">I2136*1.025</f>
        <v>29878.75</v>
      </c>
      <c r="K2136" s="50">
        <f t="shared" si="1109"/>
        <v>30625.718749999996</v>
      </c>
      <c r="L2136" s="50">
        <f t="shared" si="1109"/>
        <v>31391.361718749995</v>
      </c>
      <c r="M2136" s="50">
        <f t="shared" si="1109"/>
        <v>32176.145761718741</v>
      </c>
      <c r="N2136" s="50">
        <f t="shared" si="1109"/>
        <v>32980.549405761703</v>
      </c>
      <c r="O2136" s="50">
        <f t="shared" si="1109"/>
        <v>33805.063140905746</v>
      </c>
      <c r="P2136" s="50">
        <f t="shared" si="1109"/>
        <v>34650.189719428388</v>
      </c>
      <c r="Q2136" s="50">
        <f t="shared" si="1109"/>
        <v>35516.444462414096</v>
      </c>
      <c r="R2136" s="50">
        <f t="shared" si="1109"/>
        <v>36404.355573974448</v>
      </c>
      <c r="S2136" s="43"/>
    </row>
    <row r="2137" spans="1:25" x14ac:dyDescent="0.25">
      <c r="A2137" s="43" t="s">
        <v>1284</v>
      </c>
      <c r="C2137" s="59"/>
      <c r="D2137" s="54">
        <v>230</v>
      </c>
      <c r="E2137" s="43">
        <v>75</v>
      </c>
      <c r="F2137" s="54"/>
      <c r="G2137" s="54">
        <v>0</v>
      </c>
      <c r="H2137" s="54"/>
      <c r="I2137" s="54"/>
      <c r="J2137" s="54"/>
      <c r="K2137" s="54"/>
      <c r="L2137" s="54"/>
      <c r="M2137" s="54"/>
      <c r="N2137" s="54"/>
      <c r="O2137" s="54"/>
      <c r="P2137" s="54"/>
      <c r="Q2137" s="54"/>
      <c r="R2137" s="54"/>
    </row>
    <row r="2138" spans="1:25" x14ac:dyDescent="0.25">
      <c r="A2138" s="52" t="s">
        <v>1285</v>
      </c>
      <c r="C2138" s="59"/>
      <c r="D2138" s="54"/>
      <c r="E2138" s="43">
        <v>435</v>
      </c>
      <c r="F2138" s="54"/>
      <c r="G2138" s="54">
        <v>312</v>
      </c>
      <c r="H2138" s="54"/>
      <c r="I2138" s="54"/>
      <c r="J2138" s="54"/>
      <c r="K2138" s="54"/>
      <c r="L2138" s="54"/>
      <c r="M2138" s="54"/>
      <c r="N2138" s="54"/>
      <c r="O2138" s="54"/>
      <c r="P2138" s="54"/>
      <c r="Q2138" s="54"/>
      <c r="R2138" s="54"/>
    </row>
    <row r="2139" spans="1:25" x14ac:dyDescent="0.25">
      <c r="A2139" s="52" t="s">
        <v>1286</v>
      </c>
      <c r="C2139" s="52"/>
      <c r="D2139" s="54"/>
      <c r="E2139" s="54"/>
      <c r="F2139" s="54"/>
      <c r="G2139" s="54">
        <v>0</v>
      </c>
      <c r="H2139" s="54"/>
      <c r="I2139" s="54"/>
      <c r="J2139" s="54"/>
      <c r="K2139" s="54"/>
      <c r="L2139" s="54"/>
      <c r="M2139" s="54"/>
      <c r="N2139" s="54"/>
      <c r="O2139" s="54"/>
      <c r="P2139" s="54"/>
      <c r="Q2139" s="54"/>
      <c r="R2139" s="54"/>
    </row>
    <row r="2140" spans="1:25" x14ac:dyDescent="0.25">
      <c r="A2140" s="52" t="s">
        <v>1270</v>
      </c>
      <c r="C2140" s="52"/>
      <c r="D2140" s="54"/>
      <c r="E2140" s="54"/>
      <c r="F2140" s="50">
        <v>61347</v>
      </c>
      <c r="G2140" s="54"/>
      <c r="H2140" s="54"/>
      <c r="I2140" s="54"/>
      <c r="J2140" s="54"/>
      <c r="K2140" s="54"/>
      <c r="L2140" s="54"/>
      <c r="M2140" s="54"/>
      <c r="N2140" s="54"/>
      <c r="O2140" s="54"/>
      <c r="P2140" s="54"/>
      <c r="Q2140" s="54"/>
      <c r="R2140" s="54"/>
    </row>
    <row r="2141" spans="1:25" x14ac:dyDescent="0.25">
      <c r="C2141" s="50"/>
      <c r="D2141" s="50"/>
      <c r="E2141" s="50"/>
      <c r="F2141" s="50"/>
      <c r="G2141" s="50"/>
      <c r="H2141" s="50"/>
      <c r="I2141" s="50"/>
      <c r="J2141" s="50"/>
      <c r="K2141" s="50"/>
      <c r="L2141" s="50"/>
      <c r="M2141" s="50"/>
      <c r="N2141" s="50"/>
      <c r="O2141" s="50"/>
      <c r="P2141" s="50"/>
      <c r="Q2141" s="50"/>
      <c r="R2141" s="50"/>
    </row>
    <row r="2142" spans="1:25" x14ac:dyDescent="0.25">
      <c r="A2142" s="41" t="s">
        <v>216</v>
      </c>
      <c r="B2142" s="44"/>
      <c r="C2142" s="51">
        <f t="shared" ref="C2142" si="1110">SUM(C2115:C2141)</f>
        <v>8660164</v>
      </c>
      <c r="D2142" s="51">
        <f t="shared" ref="D2142:F2142" si="1111">SUM(D2115:D2141)</f>
        <v>8957727</v>
      </c>
      <c r="E2142" s="51">
        <f t="shared" si="1111"/>
        <v>13240813</v>
      </c>
      <c r="F2142" s="51">
        <f t="shared" si="1111"/>
        <v>9770239</v>
      </c>
      <c r="G2142" s="51">
        <f>SUM(G2115:G2141)</f>
        <v>9319067</v>
      </c>
      <c r="H2142" s="51">
        <f>SUM(H2115:H2141)</f>
        <v>9565100</v>
      </c>
      <c r="I2142" s="51">
        <f t="shared" ref="I2142:R2142" si="1112">SUM(I2115:I2141)</f>
        <v>10505571.199999999</v>
      </c>
      <c r="J2142" s="51">
        <f t="shared" si="1112"/>
        <v>10796834.3938</v>
      </c>
      <c r="K2142" s="51">
        <f t="shared" si="1112"/>
        <v>11043676.861376198</v>
      </c>
      <c r="L2142" s="51">
        <f t="shared" si="1112"/>
        <v>11263872.802640872</v>
      </c>
      <c r="M2142" s="51">
        <f t="shared" si="1112"/>
        <v>11528201.93715235</v>
      </c>
      <c r="N2142" s="51">
        <f t="shared" si="1112"/>
        <v>11881446.93205989</v>
      </c>
      <c r="O2142" s="51">
        <f t="shared" si="1112"/>
        <v>12220906.331167841</v>
      </c>
      <c r="P2142" s="51">
        <f t="shared" si="1112"/>
        <v>12573199.715253489</v>
      </c>
      <c r="Q2142" s="51">
        <f t="shared" si="1112"/>
        <v>12782420.939034974</v>
      </c>
      <c r="R2142" s="51">
        <f t="shared" si="1112"/>
        <v>13083936.542307442</v>
      </c>
    </row>
    <row r="2143" spans="1:25" x14ac:dyDescent="0.25">
      <c r="C2143" s="50"/>
      <c r="D2143" s="50"/>
      <c r="E2143" s="50"/>
      <c r="F2143" s="50"/>
      <c r="G2143" s="50"/>
      <c r="H2143" s="50"/>
      <c r="I2143" s="50"/>
      <c r="J2143" s="50"/>
      <c r="K2143" s="50"/>
      <c r="L2143" s="50"/>
      <c r="M2143" s="50"/>
      <c r="N2143" s="50"/>
      <c r="O2143" s="50"/>
      <c r="P2143" s="50"/>
      <c r="Q2143" s="50"/>
      <c r="R2143" s="50"/>
    </row>
    <row r="2144" spans="1:25" x14ac:dyDescent="0.25">
      <c r="A2144" s="41" t="s">
        <v>165</v>
      </c>
      <c r="B2144" s="44"/>
      <c r="C2144" s="50"/>
      <c r="D2144" s="50"/>
      <c r="E2144" s="50"/>
      <c r="F2144" s="50"/>
      <c r="G2144" s="50"/>
      <c r="H2144" s="50"/>
      <c r="I2144" s="50"/>
      <c r="J2144" s="50"/>
      <c r="K2144" s="50"/>
      <c r="L2144" s="50"/>
      <c r="M2144" s="50"/>
      <c r="N2144" s="50"/>
      <c r="O2144" s="50"/>
      <c r="P2144" s="50"/>
      <c r="Q2144" s="50"/>
      <c r="R2144" s="50"/>
    </row>
    <row r="2145" spans="1:18" x14ac:dyDescent="0.25">
      <c r="C2145" s="50"/>
      <c r="D2145" s="50"/>
      <c r="E2145" s="50"/>
      <c r="F2145" s="50"/>
      <c r="G2145" s="50"/>
      <c r="H2145" s="50"/>
      <c r="I2145" s="50"/>
      <c r="J2145" s="50"/>
      <c r="K2145" s="50"/>
      <c r="L2145" s="50"/>
      <c r="M2145" s="50"/>
      <c r="N2145" s="50"/>
      <c r="O2145" s="50"/>
      <c r="P2145" s="50"/>
      <c r="Q2145" s="50"/>
      <c r="R2145" s="50"/>
    </row>
    <row r="2146" spans="1:18" x14ac:dyDescent="0.25">
      <c r="A2146" s="43" t="s">
        <v>217</v>
      </c>
      <c r="C2146" s="54">
        <v>259343</v>
      </c>
      <c r="D2146" s="52">
        <v>283778</v>
      </c>
      <c r="E2146" s="43">
        <v>298703</v>
      </c>
      <c r="F2146" s="43">
        <v>292934</v>
      </c>
      <c r="G2146" s="43">
        <v>303236</v>
      </c>
      <c r="H2146" s="43">
        <v>339000</v>
      </c>
      <c r="I2146" s="54">
        <f>H2146*1.025</f>
        <v>347474.99999999994</v>
      </c>
      <c r="J2146" s="50">
        <f>I2146*1.029</f>
        <v>357551.77499999991</v>
      </c>
      <c r="K2146" s="54">
        <f>J2146*1.031</f>
        <v>368635.88002499985</v>
      </c>
      <c r="L2146" s="54">
        <f>K2146*1.033</f>
        <v>380800.86406582483</v>
      </c>
      <c r="M2146" s="54">
        <f>L2146*1.032</f>
        <v>392986.49171593122</v>
      </c>
      <c r="N2146" s="54">
        <f>M2146*1.03</f>
        <v>404776.08646740916</v>
      </c>
      <c r="O2146" s="54">
        <f>N2146*1.032</f>
        <v>417728.92123436625</v>
      </c>
      <c r="P2146" s="54">
        <f>O2146*1.034</f>
        <v>431931.70455633471</v>
      </c>
      <c r="Q2146" s="54">
        <f>P2146*1.034</f>
        <v>446617.38251125009</v>
      </c>
      <c r="R2146" s="54">
        <f>Q2146*1.034</f>
        <v>461802.37351663259</v>
      </c>
    </row>
    <row r="2147" spans="1:18" x14ac:dyDescent="0.25">
      <c r="A2147" s="43" t="s">
        <v>219</v>
      </c>
      <c r="C2147" s="54">
        <v>6153</v>
      </c>
      <c r="D2147" s="54">
        <v>2342</v>
      </c>
      <c r="E2147" s="50">
        <v>3429</v>
      </c>
      <c r="F2147" s="54">
        <v>3919</v>
      </c>
      <c r="G2147" s="54">
        <v>3416</v>
      </c>
      <c r="H2147" s="50">
        <v>4200</v>
      </c>
      <c r="I2147" s="54">
        <f>H2147*1.023</f>
        <v>4296.5999999999995</v>
      </c>
      <c r="J2147" s="54">
        <f>I2147*1.024</f>
        <v>4399.7183999999997</v>
      </c>
      <c r="K2147" s="54">
        <f>J2147*1.024</f>
        <v>4505.3116416000003</v>
      </c>
      <c r="L2147" s="54">
        <f>K2147*1.023</f>
        <v>4608.9338093567994</v>
      </c>
      <c r="M2147" s="54">
        <f>L2147*1.022</f>
        <v>4710.3303531626489</v>
      </c>
      <c r="N2147" s="54">
        <f>M2147*1.023</f>
        <v>4818.6679512853898</v>
      </c>
      <c r="O2147" s="54">
        <f>N2147*1.025</f>
        <v>4939.1346500675245</v>
      </c>
      <c r="P2147" s="54">
        <f>O2147*1.025</f>
        <v>5062.613016319212</v>
      </c>
      <c r="Q2147" s="54">
        <f>P2147*1.024</f>
        <v>5184.1157287108736</v>
      </c>
      <c r="R2147" s="54">
        <f>Q2147*1.024</f>
        <v>5308.5345061999342</v>
      </c>
    </row>
    <row r="2148" spans="1:18" x14ac:dyDescent="0.25">
      <c r="A2148" s="43" t="s">
        <v>220</v>
      </c>
      <c r="C2148" s="50">
        <v>30584</v>
      </c>
      <c r="D2148" s="54">
        <v>36730</v>
      </c>
      <c r="E2148" s="43">
        <v>40443</v>
      </c>
      <c r="F2148" s="54">
        <v>42896</v>
      </c>
      <c r="G2148" s="54">
        <v>40017</v>
      </c>
      <c r="H2148" s="54">
        <v>44600</v>
      </c>
      <c r="I2148" s="50">
        <f>H2148*1.025</f>
        <v>45714.999999999993</v>
      </c>
      <c r="J2148" s="50">
        <f>I2148*1.029</f>
        <v>47040.734999999986</v>
      </c>
      <c r="K2148" s="54">
        <f>J2148*1.031</f>
        <v>48498.997784999985</v>
      </c>
      <c r="L2148" s="54">
        <f>K2148*1.033</f>
        <v>50099.464711904984</v>
      </c>
      <c r="M2148" s="54">
        <f>L2148*1.032</f>
        <v>51702.647582685946</v>
      </c>
      <c r="N2148" s="54">
        <f>M2148*1.03</f>
        <v>53253.727010166527</v>
      </c>
      <c r="O2148" s="54">
        <f>N2148*1.032</f>
        <v>54957.846274491858</v>
      </c>
      <c r="P2148" s="54">
        <f>O2148*1.034</f>
        <v>56826.413047824586</v>
      </c>
      <c r="Q2148" s="54">
        <f>P2148*1.034</f>
        <v>58758.511091450622</v>
      </c>
      <c r="R2148" s="54">
        <f>Q2148*1.034</f>
        <v>60756.300468559944</v>
      </c>
    </row>
    <row r="2149" spans="1:18" x14ac:dyDescent="0.25">
      <c r="A2149" s="43" t="s">
        <v>1032</v>
      </c>
      <c r="C2149" s="169">
        <v>5762</v>
      </c>
      <c r="D2149" s="180">
        <v>4313</v>
      </c>
      <c r="E2149" s="60">
        <v>4313</v>
      </c>
      <c r="F2149" s="180">
        <v>4313</v>
      </c>
      <c r="G2149" s="180">
        <v>4248</v>
      </c>
      <c r="H2149" s="98">
        <v>3800</v>
      </c>
      <c r="I2149" s="180">
        <v>3800</v>
      </c>
      <c r="J2149" s="180">
        <v>5000</v>
      </c>
      <c r="K2149" s="180">
        <v>5000</v>
      </c>
      <c r="L2149" s="180">
        <v>5000</v>
      </c>
      <c r="M2149" s="180">
        <v>5400</v>
      </c>
      <c r="N2149" s="180">
        <v>5400</v>
      </c>
      <c r="O2149" s="180">
        <v>5400</v>
      </c>
      <c r="P2149" s="180">
        <v>5800</v>
      </c>
      <c r="Q2149" s="180">
        <v>5800</v>
      </c>
      <c r="R2149" s="180">
        <v>5800</v>
      </c>
    </row>
    <row r="2150" spans="1:18" x14ac:dyDescent="0.25">
      <c r="A2150" s="43" t="s">
        <v>1287</v>
      </c>
      <c r="C2150" s="54">
        <f>36920-3</f>
        <v>36917</v>
      </c>
      <c r="D2150" s="54">
        <v>38371</v>
      </c>
      <c r="E2150" s="43">
        <f>38743-10</f>
        <v>38733</v>
      </c>
      <c r="F2150" s="54">
        <v>42180</v>
      </c>
      <c r="G2150" s="54">
        <v>42052</v>
      </c>
      <c r="H2150" s="54">
        <v>44000</v>
      </c>
      <c r="I2150" s="54">
        <f>H2150*1.023</f>
        <v>45011.999999999993</v>
      </c>
      <c r="J2150" s="54">
        <f>I2150*1.024</f>
        <v>46092.287999999993</v>
      </c>
      <c r="K2150" s="54">
        <f>J2150*1.024</f>
        <v>47198.502911999996</v>
      </c>
      <c r="L2150" s="54">
        <f>K2150*1.023</f>
        <v>48284.068478975991</v>
      </c>
      <c r="M2150" s="54">
        <f>L2150*1.022</f>
        <v>49346.317985513466</v>
      </c>
      <c r="N2150" s="54">
        <f>M2150*1.023</f>
        <v>50481.283299180272</v>
      </c>
      <c r="O2150" s="54">
        <f>N2150*1.025</f>
        <v>51743.315381659777</v>
      </c>
      <c r="P2150" s="54">
        <f>O2150*1.025</f>
        <v>53036.898266201264</v>
      </c>
      <c r="Q2150" s="54">
        <f>P2150*1.024</f>
        <v>54309.783824590093</v>
      </c>
      <c r="R2150" s="54">
        <f>Q2150*1.024</f>
        <v>55613.218636380254</v>
      </c>
    </row>
    <row r="2151" spans="1:18" x14ac:dyDescent="0.25">
      <c r="A2151" s="43" t="s">
        <v>1288</v>
      </c>
      <c r="C2151" s="54">
        <v>22073</v>
      </c>
      <c r="D2151" s="54">
        <v>22611</v>
      </c>
      <c r="E2151" s="43">
        <v>22957</v>
      </c>
      <c r="F2151" s="54">
        <v>23273</v>
      </c>
      <c r="G2151" s="54">
        <v>23725</v>
      </c>
      <c r="H2151" s="54">
        <v>24500</v>
      </c>
      <c r="I2151" s="54">
        <f t="shared" ref="I2151:I2152" si="1113">H2151*1.023</f>
        <v>25063.499999999996</v>
      </c>
      <c r="J2151" s="54">
        <f t="shared" ref="J2151:K2152" si="1114">I2151*1.024</f>
        <v>25665.023999999998</v>
      </c>
      <c r="K2151" s="54">
        <f t="shared" si="1114"/>
        <v>26280.984575999999</v>
      </c>
      <c r="L2151" s="54">
        <f t="shared" ref="L2151:L2152" si="1115">K2151*1.023</f>
        <v>26885.447221247996</v>
      </c>
      <c r="M2151" s="54">
        <f t="shared" ref="M2151:M2152" si="1116">L2151*1.022</f>
        <v>27476.927060115453</v>
      </c>
      <c r="N2151" s="54">
        <f t="shared" ref="N2151:N2152" si="1117">M2151*1.023</f>
        <v>28108.896382498107</v>
      </c>
      <c r="O2151" s="54">
        <f t="shared" ref="O2151:P2152" si="1118">N2151*1.025</f>
        <v>28811.618792060559</v>
      </c>
      <c r="P2151" s="54">
        <f t="shared" si="1118"/>
        <v>29531.909261862071</v>
      </c>
      <c r="Q2151" s="54">
        <f t="shared" ref="Q2151:R2152" si="1119">P2151*1.024</f>
        <v>30240.675084146762</v>
      </c>
      <c r="R2151" s="54">
        <f t="shared" si="1119"/>
        <v>30966.451286166284</v>
      </c>
    </row>
    <row r="2152" spans="1:18" x14ac:dyDescent="0.25">
      <c r="A2152" s="43" t="s">
        <v>1289</v>
      </c>
      <c r="C2152" s="54">
        <v>361</v>
      </c>
      <c r="D2152" s="54">
        <v>2343</v>
      </c>
      <c r="E2152" s="43">
        <v>9668</v>
      </c>
      <c r="F2152" s="54">
        <v>17983</v>
      </c>
      <c r="G2152" s="54">
        <v>1802</v>
      </c>
      <c r="H2152" s="54">
        <v>5000</v>
      </c>
      <c r="I2152" s="54">
        <f t="shared" si="1113"/>
        <v>5115</v>
      </c>
      <c r="J2152" s="54">
        <f t="shared" si="1114"/>
        <v>5237.76</v>
      </c>
      <c r="K2152" s="54">
        <f t="shared" si="1114"/>
        <v>5363.4662400000007</v>
      </c>
      <c r="L2152" s="54">
        <f t="shared" si="1115"/>
        <v>5486.8259635200002</v>
      </c>
      <c r="M2152" s="54">
        <f t="shared" si="1116"/>
        <v>5607.5361347174403</v>
      </c>
      <c r="N2152" s="54">
        <f t="shared" si="1117"/>
        <v>5736.5094658159405</v>
      </c>
      <c r="O2152" s="54">
        <f t="shared" si="1118"/>
        <v>5879.9222024613382</v>
      </c>
      <c r="P2152" s="54">
        <f t="shared" si="1118"/>
        <v>6026.920257522871</v>
      </c>
      <c r="Q2152" s="54">
        <f t="shared" si="1119"/>
        <v>6171.56634370342</v>
      </c>
      <c r="R2152" s="54">
        <f t="shared" si="1119"/>
        <v>6319.6839359523019</v>
      </c>
    </row>
    <row r="2153" spans="1:18" x14ac:dyDescent="0.25">
      <c r="A2153" s="43" t="s">
        <v>1290</v>
      </c>
      <c r="C2153" s="54">
        <v>2452</v>
      </c>
      <c r="D2153" s="54">
        <v>3340</v>
      </c>
      <c r="E2153" s="43">
        <v>5073</v>
      </c>
      <c r="F2153" s="54">
        <v>11669</v>
      </c>
      <c r="G2153" s="54">
        <v>14551</v>
      </c>
      <c r="H2153" s="50">
        <v>0</v>
      </c>
      <c r="I2153" s="50">
        <v>0</v>
      </c>
      <c r="J2153" s="50">
        <v>0</v>
      </c>
      <c r="K2153" s="50">
        <v>3800</v>
      </c>
      <c r="L2153" s="50">
        <v>11900</v>
      </c>
      <c r="M2153" s="50">
        <v>0</v>
      </c>
      <c r="N2153" s="50">
        <v>0</v>
      </c>
      <c r="O2153" s="50">
        <v>0</v>
      </c>
      <c r="P2153" s="50">
        <v>0</v>
      </c>
      <c r="Q2153" s="50">
        <v>0</v>
      </c>
      <c r="R2153" s="50">
        <v>0</v>
      </c>
    </row>
    <row r="2154" spans="1:18" x14ac:dyDescent="0.25">
      <c r="A2154" s="43" t="s">
        <v>1291</v>
      </c>
      <c r="C2154" s="54">
        <v>0</v>
      </c>
      <c r="D2154" s="52">
        <v>0</v>
      </c>
      <c r="E2154" s="43">
        <v>0</v>
      </c>
      <c r="F2154" s="52">
        <v>0</v>
      </c>
      <c r="G2154" s="52">
        <v>0</v>
      </c>
      <c r="H2154" s="52">
        <v>0</v>
      </c>
      <c r="I2154" s="54">
        <v>0</v>
      </c>
      <c r="J2154" s="54">
        <v>0</v>
      </c>
      <c r="K2154" s="54">
        <v>0</v>
      </c>
      <c r="L2154" s="54">
        <v>0</v>
      </c>
      <c r="M2154" s="54">
        <v>0</v>
      </c>
      <c r="N2154" s="54">
        <v>0</v>
      </c>
      <c r="O2154" s="54">
        <v>0</v>
      </c>
      <c r="P2154" s="54">
        <v>0</v>
      </c>
      <c r="Q2154" s="54">
        <f t="shared" ref="Q2154:R2154" si="1120">P2154*1.024</f>
        <v>0</v>
      </c>
      <c r="R2154" s="54">
        <f t="shared" si="1120"/>
        <v>0</v>
      </c>
    </row>
    <row r="2155" spans="1:18" x14ac:dyDescent="0.25">
      <c r="A2155" s="43" t="s">
        <v>1292</v>
      </c>
      <c r="C2155" s="54">
        <v>17974</v>
      </c>
      <c r="D2155" s="52">
        <v>13969</v>
      </c>
      <c r="E2155" s="43">
        <v>9666</v>
      </c>
      <c r="F2155" s="52">
        <v>5033</v>
      </c>
      <c r="G2155" s="52">
        <v>672</v>
      </c>
      <c r="H2155" s="52">
        <v>0</v>
      </c>
      <c r="I2155" s="52">
        <v>0</v>
      </c>
      <c r="J2155" s="52">
        <v>0</v>
      </c>
      <c r="K2155" s="52">
        <v>0</v>
      </c>
      <c r="L2155" s="52">
        <v>0</v>
      </c>
      <c r="M2155" s="52">
        <v>0</v>
      </c>
      <c r="N2155" s="52">
        <v>0</v>
      </c>
      <c r="O2155" s="52">
        <v>0</v>
      </c>
      <c r="P2155" s="52">
        <v>0</v>
      </c>
      <c r="Q2155" s="52">
        <v>0</v>
      </c>
      <c r="R2155" s="52">
        <v>0</v>
      </c>
    </row>
    <row r="2156" spans="1:18" x14ac:dyDescent="0.25">
      <c r="A2156" s="52" t="s">
        <v>226</v>
      </c>
      <c r="B2156" s="53"/>
      <c r="C2156" s="54">
        <v>124</v>
      </c>
      <c r="D2156" s="54">
        <v>146</v>
      </c>
      <c r="E2156" s="43">
        <v>0</v>
      </c>
      <c r="F2156" s="54">
        <v>231</v>
      </c>
      <c r="G2156" s="54">
        <v>0</v>
      </c>
      <c r="H2156" s="54">
        <v>800</v>
      </c>
      <c r="I2156" s="54">
        <f>H2156*1.023</f>
        <v>818.4</v>
      </c>
      <c r="J2156" s="54">
        <f t="shared" ref="J2156:K2156" si="1121">I2156*1.024</f>
        <v>838.04160000000002</v>
      </c>
      <c r="K2156" s="54">
        <f t="shared" si="1121"/>
        <v>858.15459840000005</v>
      </c>
      <c r="L2156" s="54">
        <f t="shared" ref="L2156" si="1122">K2156*1.023</f>
        <v>877.89215416319996</v>
      </c>
      <c r="M2156" s="54">
        <f t="shared" ref="M2156" si="1123">L2156*1.022</f>
        <v>897.20578155479041</v>
      </c>
      <c r="N2156" s="54">
        <f t="shared" ref="N2156" si="1124">M2156*1.023</f>
        <v>917.84151453055051</v>
      </c>
      <c r="O2156" s="54">
        <f t="shared" ref="O2156:P2156" si="1125">N2156*1.025</f>
        <v>940.78755239381417</v>
      </c>
      <c r="P2156" s="54">
        <f t="shared" si="1125"/>
        <v>964.30724120365949</v>
      </c>
      <c r="Q2156" s="54">
        <f t="shared" ref="Q2156:R2156" si="1126">P2156*1.024</f>
        <v>987.45061499254734</v>
      </c>
      <c r="R2156" s="54">
        <f t="shared" si="1126"/>
        <v>1011.1494297523685</v>
      </c>
    </row>
    <row r="2157" spans="1:18" x14ac:dyDescent="0.25">
      <c r="A2157" s="52" t="s">
        <v>1293</v>
      </c>
      <c r="B2157" s="53"/>
      <c r="C2157" s="59">
        <v>0</v>
      </c>
      <c r="D2157" s="54">
        <f>C2157*1.024</f>
        <v>0</v>
      </c>
      <c r="E2157" s="43">
        <v>0</v>
      </c>
      <c r="F2157" s="54">
        <v>0</v>
      </c>
      <c r="G2157" s="54">
        <v>0</v>
      </c>
      <c r="H2157" s="54">
        <v>0</v>
      </c>
      <c r="I2157" s="54">
        <v>0</v>
      </c>
      <c r="J2157" s="54">
        <v>0</v>
      </c>
      <c r="K2157" s="54">
        <v>0</v>
      </c>
      <c r="L2157" s="54">
        <v>0</v>
      </c>
      <c r="M2157" s="54">
        <v>0</v>
      </c>
      <c r="N2157" s="54">
        <v>0</v>
      </c>
      <c r="O2157" s="54">
        <v>0</v>
      </c>
      <c r="P2157" s="54">
        <v>0</v>
      </c>
      <c r="Q2157" s="54">
        <f>P2157*1.028</f>
        <v>0</v>
      </c>
      <c r="R2157" s="54">
        <f>Q2157*1.028</f>
        <v>0</v>
      </c>
    </row>
    <row r="2158" spans="1:18" x14ac:dyDescent="0.25">
      <c r="A2158" s="59" t="s">
        <v>1294</v>
      </c>
      <c r="B2158" s="53"/>
      <c r="C2158" s="59"/>
      <c r="D2158" s="54"/>
      <c r="F2158" s="54">
        <v>4075</v>
      </c>
      <c r="G2158" s="54"/>
      <c r="H2158" s="54"/>
      <c r="I2158" s="54"/>
      <c r="J2158" s="54"/>
      <c r="K2158" s="54"/>
      <c r="L2158" s="54"/>
      <c r="M2158" s="54"/>
      <c r="N2158" s="54"/>
      <c r="O2158" s="54"/>
      <c r="P2158" s="54"/>
      <c r="Q2158" s="54"/>
      <c r="R2158" s="54"/>
    </row>
    <row r="2159" spans="1:18" x14ac:dyDescent="0.25">
      <c r="C2159" s="50"/>
      <c r="D2159" s="50"/>
      <c r="E2159" s="50"/>
      <c r="F2159" s="50"/>
      <c r="G2159" s="50"/>
      <c r="H2159" s="50"/>
      <c r="I2159" s="50"/>
      <c r="J2159" s="50"/>
      <c r="K2159" s="50"/>
      <c r="L2159" s="50"/>
      <c r="M2159" s="50"/>
      <c r="N2159" s="50"/>
      <c r="O2159" s="50"/>
      <c r="P2159" s="50"/>
      <c r="Q2159" s="50"/>
      <c r="R2159" s="50"/>
    </row>
    <row r="2160" spans="1:18" x14ac:dyDescent="0.25">
      <c r="A2160" s="41" t="s">
        <v>230</v>
      </c>
      <c r="B2160" s="44"/>
      <c r="C2160" s="51">
        <f t="shared" ref="C2160" si="1127">SUM(C2146:C2159)</f>
        <v>381743</v>
      </c>
      <c r="D2160" s="51">
        <f t="shared" ref="D2160:R2160" si="1128">SUM(D2146:D2159)</f>
        <v>407943</v>
      </c>
      <c r="E2160" s="51">
        <f t="shared" si="1128"/>
        <v>432985</v>
      </c>
      <c r="F2160" s="51">
        <f t="shared" si="1128"/>
        <v>448506</v>
      </c>
      <c r="G2160" s="51">
        <f t="shared" si="1128"/>
        <v>433719</v>
      </c>
      <c r="H2160" s="51">
        <f t="shared" si="1128"/>
        <v>465900</v>
      </c>
      <c r="I2160" s="51">
        <f t="shared" si="1128"/>
        <v>477295.49999999994</v>
      </c>
      <c r="J2160" s="51">
        <f t="shared" si="1128"/>
        <v>491825.34199999989</v>
      </c>
      <c r="K2160" s="51">
        <f t="shared" si="1128"/>
        <v>510141.29777799983</v>
      </c>
      <c r="L2160" s="51">
        <f t="shared" si="1128"/>
        <v>533943.49640499381</v>
      </c>
      <c r="M2160" s="51">
        <f t="shared" si="1128"/>
        <v>538127.45661368093</v>
      </c>
      <c r="N2160" s="51">
        <f t="shared" si="1128"/>
        <v>553493.01209088601</v>
      </c>
      <c r="O2160" s="51">
        <f t="shared" si="1128"/>
        <v>570401.5460875011</v>
      </c>
      <c r="P2160" s="51">
        <f t="shared" si="1128"/>
        <v>589180.76564726827</v>
      </c>
      <c r="Q2160" s="51">
        <f t="shared" si="1128"/>
        <v>608069.48519884446</v>
      </c>
      <c r="R2160" s="51">
        <f t="shared" si="1128"/>
        <v>627577.71177964367</v>
      </c>
    </row>
    <row r="2161" spans="1:18" x14ac:dyDescent="0.25">
      <c r="A2161" s="41"/>
      <c r="B2161" s="44"/>
      <c r="C2161" s="50"/>
      <c r="D2161" s="50"/>
      <c r="E2161" s="50"/>
      <c r="F2161" s="50"/>
      <c r="G2161" s="50"/>
      <c r="H2161" s="50"/>
      <c r="I2161" s="50"/>
      <c r="J2161" s="50"/>
      <c r="K2161" s="50"/>
      <c r="L2161" s="50"/>
      <c r="M2161" s="50"/>
      <c r="N2161" s="50"/>
      <c r="O2161" s="50"/>
      <c r="P2161" s="50"/>
      <c r="Q2161" s="50"/>
      <c r="R2161" s="50"/>
    </row>
    <row r="2162" spans="1:18" x14ac:dyDescent="0.25">
      <c r="A2162" s="41" t="s">
        <v>1295</v>
      </c>
      <c r="B2162" s="44"/>
      <c r="C2162" s="51">
        <f t="shared" ref="C2162:R2162" si="1129">C2160-C2142</f>
        <v>-8278421</v>
      </c>
      <c r="D2162" s="51">
        <f t="shared" si="1129"/>
        <v>-8549784</v>
      </c>
      <c r="E2162" s="51">
        <f t="shared" si="1129"/>
        <v>-12807828</v>
      </c>
      <c r="F2162" s="51">
        <f t="shared" si="1129"/>
        <v>-9321733</v>
      </c>
      <c r="G2162" s="51">
        <f t="shared" si="1129"/>
        <v>-8885348</v>
      </c>
      <c r="H2162" s="51">
        <f t="shared" si="1129"/>
        <v>-9099200</v>
      </c>
      <c r="I2162" s="51">
        <f t="shared" si="1129"/>
        <v>-10028275.699999999</v>
      </c>
      <c r="J2162" s="51">
        <f t="shared" si="1129"/>
        <v>-10305009.0518</v>
      </c>
      <c r="K2162" s="51">
        <f t="shared" si="1129"/>
        <v>-10533535.563598199</v>
      </c>
      <c r="L2162" s="51">
        <f t="shared" si="1129"/>
        <v>-10729929.306235878</v>
      </c>
      <c r="M2162" s="51">
        <f t="shared" si="1129"/>
        <v>-10990074.48053867</v>
      </c>
      <c r="N2162" s="51">
        <f t="shared" si="1129"/>
        <v>-11327953.919969004</v>
      </c>
      <c r="O2162" s="51">
        <f t="shared" si="1129"/>
        <v>-11650504.78508034</v>
      </c>
      <c r="P2162" s="51">
        <f t="shared" si="1129"/>
        <v>-11984018.949606221</v>
      </c>
      <c r="Q2162" s="51">
        <f t="shared" si="1129"/>
        <v>-12174351.45383613</v>
      </c>
      <c r="R2162" s="51">
        <f t="shared" si="1129"/>
        <v>-12456358.830527799</v>
      </c>
    </row>
    <row r="2163" spans="1:18" x14ac:dyDescent="0.25">
      <c r="A2163" s="41"/>
      <c r="B2163" s="44"/>
    </row>
    <row r="2164" spans="1:18" x14ac:dyDescent="0.25">
      <c r="A2164" s="41" t="s">
        <v>1296</v>
      </c>
      <c r="B2164" s="44"/>
      <c r="C2164" s="50"/>
      <c r="D2164" s="50"/>
      <c r="E2164" s="50"/>
      <c r="F2164" s="50"/>
      <c r="G2164" s="50"/>
      <c r="H2164" s="50"/>
      <c r="I2164" s="50"/>
      <c r="J2164" s="50"/>
      <c r="K2164" s="50"/>
      <c r="L2164" s="50"/>
      <c r="M2164" s="50"/>
      <c r="N2164" s="50"/>
      <c r="O2164" s="50"/>
      <c r="P2164" s="50"/>
      <c r="Q2164" s="50"/>
      <c r="R2164" s="50"/>
    </row>
    <row r="2165" spans="1:18" x14ac:dyDescent="0.25">
      <c r="C2165" s="50"/>
      <c r="D2165" s="50"/>
      <c r="E2165" s="50"/>
      <c r="F2165" s="50"/>
      <c r="G2165" s="50"/>
      <c r="H2165" s="50"/>
      <c r="I2165" s="50"/>
      <c r="J2165" s="50"/>
      <c r="K2165" s="50"/>
      <c r="L2165" s="50"/>
      <c r="M2165" s="50"/>
      <c r="N2165" s="50"/>
      <c r="O2165" s="50"/>
      <c r="P2165" s="50"/>
      <c r="Q2165" s="50"/>
      <c r="R2165" s="50"/>
    </row>
    <row r="2166" spans="1:18" x14ac:dyDescent="0.25">
      <c r="A2166" s="41" t="s">
        <v>165</v>
      </c>
      <c r="B2166" s="44"/>
      <c r="C2166" s="50"/>
      <c r="D2166" s="50"/>
      <c r="E2166" s="50"/>
      <c r="F2166" s="50"/>
      <c r="G2166" s="50"/>
      <c r="H2166" s="50"/>
      <c r="I2166" s="50"/>
      <c r="J2166" s="50"/>
      <c r="K2166" s="50"/>
      <c r="L2166" s="50"/>
      <c r="M2166" s="50"/>
      <c r="N2166" s="50"/>
      <c r="O2166" s="50"/>
      <c r="P2166" s="50"/>
      <c r="Q2166" s="50"/>
      <c r="R2166" s="50"/>
    </row>
    <row r="2167" spans="1:18" x14ac:dyDescent="0.25">
      <c r="C2167" s="50"/>
      <c r="D2167" s="50"/>
      <c r="E2167" s="50"/>
      <c r="F2167" s="50"/>
      <c r="G2167" s="50"/>
      <c r="H2167" s="50"/>
      <c r="I2167" s="50"/>
      <c r="J2167" s="50"/>
      <c r="K2167" s="50"/>
      <c r="L2167" s="50"/>
      <c r="M2167" s="50"/>
      <c r="N2167" s="50"/>
      <c r="O2167" s="50"/>
      <c r="P2167" s="50"/>
      <c r="Q2167" s="50"/>
      <c r="R2167" s="50"/>
    </row>
    <row r="2168" spans="1:18" x14ac:dyDescent="0.25">
      <c r="A2168" s="43" t="s">
        <v>217</v>
      </c>
      <c r="C2168" s="54">
        <v>230287</v>
      </c>
      <c r="D2168" s="54">
        <v>259373</v>
      </c>
      <c r="E2168" s="43">
        <v>242778</v>
      </c>
      <c r="F2168" s="43">
        <v>247266</v>
      </c>
      <c r="G2168" s="43">
        <v>255852</v>
      </c>
      <c r="H2168" s="43">
        <v>274900</v>
      </c>
      <c r="I2168" s="54">
        <f>H2168*1.025</f>
        <v>281772.5</v>
      </c>
      <c r="J2168" s="50">
        <f>I2168*1.029</f>
        <v>289943.90249999997</v>
      </c>
      <c r="K2168" s="54">
        <f>J2168*1.031</f>
        <v>298932.16347749997</v>
      </c>
      <c r="L2168" s="54">
        <f>K2168*1.033</f>
        <v>308796.92487225746</v>
      </c>
      <c r="M2168" s="54">
        <f>L2168*1.032</f>
        <v>318678.42646816972</v>
      </c>
      <c r="N2168" s="54">
        <f>M2168*1.03</f>
        <v>328238.77926221484</v>
      </c>
      <c r="O2168" s="54">
        <f>N2168*1.032</f>
        <v>338742.42019860575</v>
      </c>
      <c r="P2168" s="54">
        <f>O2168*1.034</f>
        <v>350259.66248535836</v>
      </c>
      <c r="Q2168" s="54">
        <f>P2168*1.034</f>
        <v>362168.49100986053</v>
      </c>
      <c r="R2168" s="54">
        <f>Q2168*1.034</f>
        <v>374482.2197041958</v>
      </c>
    </row>
    <row r="2169" spans="1:18" x14ac:dyDescent="0.25">
      <c r="A2169" s="43" t="s">
        <v>219</v>
      </c>
      <c r="C2169" s="54">
        <v>0</v>
      </c>
      <c r="D2169" s="54">
        <f>C2169*1.024</f>
        <v>0</v>
      </c>
      <c r="E2169" s="43">
        <v>13</v>
      </c>
      <c r="F2169" s="54">
        <v>0</v>
      </c>
      <c r="G2169" s="54">
        <v>0</v>
      </c>
      <c r="H2169" s="54">
        <v>0</v>
      </c>
      <c r="I2169" s="54">
        <f>H2169*1.02</f>
        <v>0</v>
      </c>
      <c r="J2169" s="54">
        <f t="shared" ref="J2169" si="1130">I2169*1.021</f>
        <v>0</v>
      </c>
      <c r="K2169" s="54">
        <f t="shared" ref="K2169" si="1131">J2169*1.023</f>
        <v>0</v>
      </c>
      <c r="L2169" s="54">
        <f t="shared" ref="L2169" si="1132">K2169*1.024</f>
        <v>0</v>
      </c>
      <c r="M2169" s="54">
        <f t="shared" ref="M2169" si="1133">L2169*1.023</f>
        <v>0</v>
      </c>
      <c r="N2169" s="54">
        <f t="shared" ref="N2169" si="1134">M2169*1.021</f>
        <v>0</v>
      </c>
      <c r="O2169" s="54">
        <f t="shared" ref="O2169" si="1135">N2169*1.022</f>
        <v>0</v>
      </c>
      <c r="P2169" s="54">
        <f t="shared" ref="P2169:R2169" si="1136">O2169*1.025</f>
        <v>0</v>
      </c>
      <c r="Q2169" s="54">
        <f t="shared" si="1136"/>
        <v>0</v>
      </c>
      <c r="R2169" s="54">
        <f t="shared" si="1136"/>
        <v>0</v>
      </c>
    </row>
    <row r="2170" spans="1:18" x14ac:dyDescent="0.25">
      <c r="A2170" s="43" t="s">
        <v>220</v>
      </c>
      <c r="C2170" s="50">
        <v>39370</v>
      </c>
      <c r="D2170" s="54">
        <v>42918</v>
      </c>
      <c r="E2170" s="43">
        <v>26846</v>
      </c>
      <c r="F2170" s="54">
        <v>24369</v>
      </c>
      <c r="G2170" s="54">
        <v>27975</v>
      </c>
      <c r="H2170" s="54">
        <v>34100</v>
      </c>
      <c r="I2170" s="54">
        <f>H2170*1.025</f>
        <v>34952.5</v>
      </c>
      <c r="J2170" s="50">
        <f>I2170*1.029</f>
        <v>35966.122499999998</v>
      </c>
      <c r="K2170" s="54">
        <f>J2170*1.031</f>
        <v>37081.072297499995</v>
      </c>
      <c r="L2170" s="54">
        <f>K2170*1.033</f>
        <v>38304.747683317495</v>
      </c>
      <c r="M2170" s="54">
        <f>L2170*1.032</f>
        <v>39530.499609183658</v>
      </c>
      <c r="N2170" s="54">
        <f>M2170*1.03</f>
        <v>40716.414597459167</v>
      </c>
      <c r="O2170" s="54">
        <f>N2170*1.032</f>
        <v>42019.339864577858</v>
      </c>
      <c r="P2170" s="54">
        <f>O2170*1.034</f>
        <v>43447.997419973508</v>
      </c>
      <c r="Q2170" s="54">
        <f>P2170*1.034</f>
        <v>44925.229332252609</v>
      </c>
      <c r="R2170" s="54">
        <f>Q2170*1.034</f>
        <v>46452.687129549202</v>
      </c>
    </row>
    <row r="2171" spans="1:18" x14ac:dyDescent="0.25">
      <c r="A2171" s="52" t="s">
        <v>1297</v>
      </c>
      <c r="B2171" s="53"/>
      <c r="C2171" s="52">
        <v>0</v>
      </c>
      <c r="D2171" s="54">
        <v>0</v>
      </c>
      <c r="E2171" s="43">
        <v>0</v>
      </c>
      <c r="F2171" s="54"/>
      <c r="G2171" s="54">
        <v>0</v>
      </c>
      <c r="H2171" s="54">
        <v>1000</v>
      </c>
      <c r="I2171" s="54">
        <f>H2171*1.023</f>
        <v>1022.9999999999999</v>
      </c>
      <c r="J2171" s="54">
        <f t="shared" ref="J2171:K2171" si="1137">I2171*1.024</f>
        <v>1047.5519999999999</v>
      </c>
      <c r="K2171" s="54">
        <f t="shared" si="1137"/>
        <v>1072.693248</v>
      </c>
      <c r="L2171" s="54">
        <f t="shared" ref="L2171" si="1138">K2171*1.023</f>
        <v>1097.365192704</v>
      </c>
      <c r="M2171" s="54">
        <f t="shared" ref="M2171" si="1139">L2171*1.022</f>
        <v>1121.5072269434881</v>
      </c>
      <c r="N2171" s="54">
        <f t="shared" ref="N2171" si="1140">M2171*1.023</f>
        <v>1147.3018931631882</v>
      </c>
      <c r="O2171" s="54">
        <f t="shared" ref="O2171:P2171" si="1141">N2171*1.025</f>
        <v>1175.9844404922678</v>
      </c>
      <c r="P2171" s="54">
        <f t="shared" si="1141"/>
        <v>1205.3840515045745</v>
      </c>
      <c r="Q2171" s="54">
        <f t="shared" ref="Q2171:R2171" si="1142">P2171*1.024</f>
        <v>1234.3132687406842</v>
      </c>
      <c r="R2171" s="54">
        <f t="shared" si="1142"/>
        <v>1263.9367871904606</v>
      </c>
    </row>
    <row r="2172" spans="1:18" x14ac:dyDescent="0.25">
      <c r="C2172" s="50"/>
      <c r="D2172" s="50"/>
      <c r="F2172" s="50"/>
      <c r="G2172" s="50"/>
      <c r="H2172" s="50"/>
      <c r="I2172" s="50"/>
      <c r="J2172" s="50"/>
      <c r="K2172" s="50"/>
      <c r="L2172" s="50"/>
      <c r="M2172" s="50"/>
      <c r="N2172" s="50"/>
      <c r="O2172" s="50"/>
      <c r="P2172" s="50"/>
      <c r="Q2172" s="50"/>
      <c r="R2172" s="50"/>
    </row>
    <row r="2173" spans="1:18" x14ac:dyDescent="0.25">
      <c r="A2173" s="41" t="s">
        <v>230</v>
      </c>
      <c r="B2173" s="44"/>
      <c r="C2173" s="51">
        <f t="shared" ref="C2173" si="1143">SUM(C2168:C2172)</f>
        <v>269657</v>
      </c>
      <c r="D2173" s="51">
        <f t="shared" ref="D2173:R2173" si="1144">SUM(D2168:D2172)</f>
        <v>302291</v>
      </c>
      <c r="E2173" s="51">
        <f t="shared" si="1144"/>
        <v>269637</v>
      </c>
      <c r="F2173" s="51">
        <f t="shared" si="1144"/>
        <v>271635</v>
      </c>
      <c r="G2173" s="51">
        <f t="shared" si="1144"/>
        <v>283827</v>
      </c>
      <c r="H2173" s="51">
        <f t="shared" si="1144"/>
        <v>310000</v>
      </c>
      <c r="I2173" s="51">
        <f t="shared" si="1144"/>
        <v>317748</v>
      </c>
      <c r="J2173" s="51">
        <f t="shared" si="1144"/>
        <v>326957.57699999999</v>
      </c>
      <c r="K2173" s="51">
        <f t="shared" si="1144"/>
        <v>337085.92902299995</v>
      </c>
      <c r="L2173" s="51">
        <f t="shared" si="1144"/>
        <v>348199.03774827899</v>
      </c>
      <c r="M2173" s="51">
        <f t="shared" si="1144"/>
        <v>359330.43330429686</v>
      </c>
      <c r="N2173" s="51">
        <f t="shared" si="1144"/>
        <v>370102.49575283722</v>
      </c>
      <c r="O2173" s="51">
        <f t="shared" si="1144"/>
        <v>381937.7445036759</v>
      </c>
      <c r="P2173" s="51">
        <f t="shared" si="1144"/>
        <v>394913.04395683645</v>
      </c>
      <c r="Q2173" s="51">
        <f t="shared" si="1144"/>
        <v>408328.03361085383</v>
      </c>
      <c r="R2173" s="51">
        <f t="shared" si="1144"/>
        <v>422198.84362093545</v>
      </c>
    </row>
    <row r="2174" spans="1:18" x14ac:dyDescent="0.25">
      <c r="C2174" s="50"/>
      <c r="D2174" s="50"/>
      <c r="E2174" s="50"/>
      <c r="F2174" s="50"/>
      <c r="G2174" s="50"/>
      <c r="H2174" s="50"/>
      <c r="I2174" s="50"/>
      <c r="J2174" s="50"/>
      <c r="K2174" s="50"/>
      <c r="L2174" s="50"/>
      <c r="M2174" s="50"/>
      <c r="N2174" s="50"/>
      <c r="O2174" s="50"/>
      <c r="P2174" s="50"/>
      <c r="Q2174" s="50"/>
      <c r="R2174" s="50"/>
    </row>
    <row r="2175" spans="1:18" x14ac:dyDescent="0.25">
      <c r="A2175" s="41" t="s">
        <v>1298</v>
      </c>
      <c r="B2175" s="44"/>
      <c r="C2175" s="51">
        <f t="shared" ref="C2175:R2175" si="1145">C2173</f>
        <v>269657</v>
      </c>
      <c r="D2175" s="51">
        <f t="shared" si="1145"/>
        <v>302291</v>
      </c>
      <c r="E2175" s="51">
        <f t="shared" si="1145"/>
        <v>269637</v>
      </c>
      <c r="F2175" s="51">
        <f t="shared" si="1145"/>
        <v>271635</v>
      </c>
      <c r="G2175" s="51">
        <f t="shared" si="1145"/>
        <v>283827</v>
      </c>
      <c r="H2175" s="51">
        <f t="shared" si="1145"/>
        <v>310000</v>
      </c>
      <c r="I2175" s="51">
        <f t="shared" si="1145"/>
        <v>317748</v>
      </c>
      <c r="J2175" s="51">
        <f t="shared" si="1145"/>
        <v>326957.57699999999</v>
      </c>
      <c r="K2175" s="51">
        <f t="shared" si="1145"/>
        <v>337085.92902299995</v>
      </c>
      <c r="L2175" s="51">
        <f t="shared" si="1145"/>
        <v>348199.03774827899</v>
      </c>
      <c r="M2175" s="51">
        <f t="shared" si="1145"/>
        <v>359330.43330429686</v>
      </c>
      <c r="N2175" s="51">
        <f t="shared" si="1145"/>
        <v>370102.49575283722</v>
      </c>
      <c r="O2175" s="51">
        <f t="shared" si="1145"/>
        <v>381937.7445036759</v>
      </c>
      <c r="P2175" s="51">
        <f t="shared" si="1145"/>
        <v>394913.04395683645</v>
      </c>
      <c r="Q2175" s="51">
        <f t="shared" si="1145"/>
        <v>408328.03361085383</v>
      </c>
      <c r="R2175" s="51">
        <f t="shared" si="1145"/>
        <v>422198.84362093545</v>
      </c>
    </row>
    <row r="2176" spans="1:18" x14ac:dyDescent="0.25">
      <c r="A2176" s="41"/>
      <c r="B2176" s="44"/>
    </row>
    <row r="2177" spans="1:18" x14ac:dyDescent="0.25">
      <c r="A2177" s="41" t="s">
        <v>638</v>
      </c>
      <c r="B2177" s="44"/>
      <c r="C2177" s="50"/>
      <c r="D2177" s="50"/>
      <c r="E2177" s="50"/>
      <c r="F2177" s="50"/>
      <c r="G2177" s="50"/>
      <c r="H2177" s="50"/>
      <c r="I2177" s="50"/>
      <c r="J2177" s="50"/>
      <c r="K2177" s="50"/>
      <c r="L2177" s="50"/>
      <c r="M2177" s="50"/>
      <c r="N2177" s="50"/>
      <c r="O2177" s="50"/>
      <c r="P2177" s="50"/>
      <c r="Q2177" s="50"/>
      <c r="R2177" s="50"/>
    </row>
    <row r="2178" spans="1:18" x14ac:dyDescent="0.25">
      <c r="A2178" s="41"/>
      <c r="B2178" s="44"/>
      <c r="C2178" s="50"/>
      <c r="D2178" s="50"/>
      <c r="E2178" s="50"/>
      <c r="F2178" s="50"/>
      <c r="G2178" s="50"/>
      <c r="H2178" s="50"/>
      <c r="I2178" s="50"/>
      <c r="J2178" s="50"/>
      <c r="K2178" s="50"/>
      <c r="L2178" s="50"/>
      <c r="M2178" s="50"/>
      <c r="N2178" s="50"/>
      <c r="O2178" s="50"/>
      <c r="P2178" s="50"/>
      <c r="Q2178" s="50"/>
      <c r="R2178" s="50"/>
    </row>
    <row r="2179" spans="1:18" x14ac:dyDescent="0.25">
      <c r="A2179" s="41" t="s">
        <v>165</v>
      </c>
      <c r="B2179" s="44"/>
      <c r="C2179" s="50"/>
      <c r="D2179" s="50"/>
      <c r="E2179" s="50"/>
      <c r="F2179" s="50"/>
      <c r="G2179" s="50"/>
      <c r="H2179" s="50"/>
      <c r="I2179" s="50"/>
      <c r="J2179" s="50"/>
      <c r="K2179" s="50"/>
      <c r="L2179" s="50"/>
      <c r="M2179" s="50"/>
      <c r="N2179" s="50"/>
      <c r="O2179" s="50"/>
      <c r="P2179" s="50"/>
      <c r="Q2179" s="50"/>
      <c r="R2179" s="50"/>
    </row>
    <row r="2180" spans="1:18" x14ac:dyDescent="0.25">
      <c r="C2180" s="50"/>
      <c r="D2180" s="50"/>
      <c r="E2180" s="50"/>
      <c r="F2180" s="50"/>
      <c r="G2180" s="50"/>
      <c r="H2180" s="50"/>
      <c r="I2180" s="50"/>
      <c r="J2180" s="50"/>
      <c r="K2180" s="50"/>
      <c r="L2180" s="50"/>
      <c r="M2180" s="50"/>
      <c r="N2180" s="50"/>
      <c r="O2180" s="50"/>
      <c r="P2180" s="50"/>
      <c r="Q2180" s="50"/>
      <c r="R2180" s="50"/>
    </row>
    <row r="2181" spans="1:18" x14ac:dyDescent="0.25">
      <c r="A2181" s="52" t="s">
        <v>1299</v>
      </c>
      <c r="B2181" s="53"/>
      <c r="C2181" s="50">
        <v>11711</v>
      </c>
      <c r="D2181" s="54">
        <v>9611</v>
      </c>
      <c r="E2181" s="50">
        <v>3369</v>
      </c>
      <c r="F2181" s="54">
        <v>4222</v>
      </c>
      <c r="G2181" s="54">
        <v>1959</v>
      </c>
      <c r="H2181" s="54">
        <v>6000</v>
      </c>
      <c r="I2181" s="54">
        <f>H2181*1.023</f>
        <v>6137.9999999999991</v>
      </c>
      <c r="J2181" s="54">
        <f t="shared" ref="J2181:K2181" si="1146">I2181*1.024</f>
        <v>6285.311999999999</v>
      </c>
      <c r="K2181" s="54">
        <f t="shared" si="1146"/>
        <v>6436.1594879999993</v>
      </c>
      <c r="L2181" s="54">
        <f t="shared" ref="L2181" si="1147">K2181*1.023</f>
        <v>6584.1911562239984</v>
      </c>
      <c r="M2181" s="54">
        <f t="shared" ref="M2181" si="1148">L2181*1.022</f>
        <v>6729.0433616609262</v>
      </c>
      <c r="N2181" s="54">
        <f t="shared" ref="N2181" si="1149">M2181*1.023</f>
        <v>6883.8113589791265</v>
      </c>
      <c r="O2181" s="54">
        <f t="shared" ref="O2181:P2181" si="1150">N2181*1.025</f>
        <v>7055.9066429536042</v>
      </c>
      <c r="P2181" s="54">
        <f t="shared" si="1150"/>
        <v>7232.3043090274441</v>
      </c>
      <c r="Q2181" s="54">
        <f t="shared" ref="Q2181:R2181" si="1151">P2181*1.024</f>
        <v>7405.8796124441033</v>
      </c>
      <c r="R2181" s="54">
        <f t="shared" si="1151"/>
        <v>7583.6207231427616</v>
      </c>
    </row>
    <row r="2182" spans="1:18" x14ac:dyDescent="0.25">
      <c r="A2182" s="52" t="s">
        <v>1128</v>
      </c>
      <c r="B2182" s="53"/>
      <c r="C2182" s="50"/>
      <c r="D2182" s="50"/>
      <c r="E2182" s="50"/>
      <c r="F2182" s="50"/>
      <c r="G2182" s="50">
        <v>0</v>
      </c>
      <c r="H2182" s="50"/>
      <c r="I2182" s="50"/>
      <c r="J2182" s="50"/>
      <c r="K2182" s="50"/>
      <c r="L2182" s="50"/>
      <c r="M2182" s="50"/>
      <c r="N2182" s="50"/>
      <c r="O2182" s="50"/>
      <c r="P2182" s="50"/>
      <c r="Q2182" s="50"/>
      <c r="R2182" s="50"/>
    </row>
    <row r="2183" spans="1:18" x14ac:dyDescent="0.25">
      <c r="A2183" s="43" t="s">
        <v>1300</v>
      </c>
      <c r="C2183" s="221">
        <v>118961</v>
      </c>
      <c r="D2183" s="221">
        <v>107353</v>
      </c>
      <c r="E2183" s="221">
        <v>87976</v>
      </c>
      <c r="F2183" s="268">
        <v>56695</v>
      </c>
      <c r="G2183" s="221">
        <v>53177</v>
      </c>
      <c r="H2183" s="221">
        <v>54040</v>
      </c>
      <c r="I2183" s="221">
        <v>55280</v>
      </c>
      <c r="J2183" s="221">
        <v>54225</v>
      </c>
      <c r="K2183" s="221">
        <v>55365</v>
      </c>
      <c r="L2183" s="221">
        <v>59300</v>
      </c>
      <c r="M2183" s="221">
        <v>60610</v>
      </c>
      <c r="N2183" s="221">
        <v>62000</v>
      </c>
      <c r="O2183" s="221">
        <v>63550</v>
      </c>
      <c r="P2183" s="221">
        <v>65140</v>
      </c>
      <c r="Q2183" s="221">
        <v>66700</v>
      </c>
      <c r="R2183" s="221">
        <v>66700</v>
      </c>
    </row>
    <row r="2184" spans="1:18" x14ac:dyDescent="0.25">
      <c r="A2184" s="43" t="s">
        <v>304</v>
      </c>
      <c r="C2184" s="71">
        <v>69100</v>
      </c>
      <c r="D2184" s="71">
        <v>69315</v>
      </c>
      <c r="E2184" s="71">
        <v>71203</v>
      </c>
      <c r="F2184" s="74">
        <v>71203</v>
      </c>
      <c r="G2184" s="71">
        <v>76069</v>
      </c>
      <c r="H2184" s="77">
        <v>75750</v>
      </c>
      <c r="I2184" s="77">
        <v>77490</v>
      </c>
      <c r="J2184" s="77">
        <v>79350</v>
      </c>
      <c r="K2184" s="77">
        <v>81250</v>
      </c>
      <c r="L2184" s="77">
        <v>83120</v>
      </c>
      <c r="M2184" s="77">
        <v>84950</v>
      </c>
      <c r="N2184" s="77">
        <v>86900</v>
      </c>
      <c r="O2184" s="77">
        <v>89080</v>
      </c>
      <c r="P2184" s="77">
        <v>91300</v>
      </c>
      <c r="Q2184" s="77">
        <v>93490</v>
      </c>
      <c r="R2184" s="77">
        <v>93490</v>
      </c>
    </row>
    <row r="2185" spans="1:18" x14ac:dyDescent="0.25">
      <c r="A2185" s="52" t="s">
        <v>1301</v>
      </c>
      <c r="B2185" s="53"/>
      <c r="C2185" s="50"/>
      <c r="D2185" s="50"/>
      <c r="E2185" s="50"/>
      <c r="F2185" s="50"/>
      <c r="G2185" s="50">
        <v>0</v>
      </c>
      <c r="H2185" s="50"/>
      <c r="I2185" s="50"/>
      <c r="J2185" s="50"/>
      <c r="K2185" s="50"/>
      <c r="L2185" s="50"/>
      <c r="M2185" s="50"/>
      <c r="N2185" s="50"/>
      <c r="O2185" s="50"/>
      <c r="P2185" s="50"/>
      <c r="Q2185" s="50"/>
      <c r="R2185" s="50"/>
    </row>
    <row r="2186" spans="1:18" x14ac:dyDescent="0.25">
      <c r="A2186" s="43" t="s">
        <v>1302</v>
      </c>
      <c r="C2186" s="50">
        <v>17750</v>
      </c>
      <c r="D2186" s="54">
        <v>18228</v>
      </c>
      <c r="E2186" s="54">
        <v>16759</v>
      </c>
      <c r="F2186" s="54">
        <v>15550</v>
      </c>
      <c r="G2186" s="54">
        <v>15550</v>
      </c>
      <c r="H2186" s="54">
        <v>16000</v>
      </c>
      <c r="I2186" s="54">
        <f>H2186*1.023</f>
        <v>16367.999999999998</v>
      </c>
      <c r="J2186" s="54">
        <f t="shared" ref="J2186:K2186" si="1152">I2186*1.024</f>
        <v>16760.831999999999</v>
      </c>
      <c r="K2186" s="54">
        <f t="shared" si="1152"/>
        <v>17163.091968000001</v>
      </c>
      <c r="L2186" s="54">
        <f t="shared" ref="L2186" si="1153">K2186*1.023</f>
        <v>17557.843083264001</v>
      </c>
      <c r="M2186" s="54">
        <f t="shared" ref="M2186" si="1154">L2186*1.022</f>
        <v>17944.11563109581</v>
      </c>
      <c r="N2186" s="54">
        <f t="shared" ref="N2186" si="1155">M2186*1.023</f>
        <v>18356.830290611011</v>
      </c>
      <c r="O2186" s="54">
        <f t="shared" ref="O2186:P2186" si="1156">N2186*1.025</f>
        <v>18815.751047876285</v>
      </c>
      <c r="P2186" s="54">
        <f t="shared" si="1156"/>
        <v>19286.144824073192</v>
      </c>
      <c r="Q2186" s="54">
        <f t="shared" ref="Q2186:R2186" si="1157">P2186*1.024</f>
        <v>19749.012299850947</v>
      </c>
      <c r="R2186" s="54">
        <f t="shared" si="1157"/>
        <v>20222.988595047369</v>
      </c>
    </row>
    <row r="2187" spans="1:18" x14ac:dyDescent="0.25">
      <c r="C2187" s="50"/>
      <c r="D2187" s="50"/>
      <c r="E2187" s="50"/>
      <c r="F2187" s="50"/>
      <c r="G2187" s="50"/>
      <c r="H2187" s="50"/>
      <c r="I2187" s="50"/>
      <c r="J2187" s="50"/>
      <c r="K2187" s="50"/>
      <c r="L2187" s="50"/>
      <c r="M2187" s="50"/>
      <c r="N2187" s="50"/>
      <c r="O2187" s="50"/>
      <c r="P2187" s="50"/>
      <c r="Q2187" s="50"/>
      <c r="R2187" s="50"/>
    </row>
    <row r="2188" spans="1:18" x14ac:dyDescent="0.25">
      <c r="A2188" s="41" t="s">
        <v>230</v>
      </c>
      <c r="B2188" s="44"/>
      <c r="C2188" s="51">
        <f t="shared" ref="C2188" si="1158">SUM(C2181:C2187)</f>
        <v>217522</v>
      </c>
      <c r="D2188" s="51">
        <f t="shared" ref="D2188:F2188" si="1159">SUM(D2181:D2187)</f>
        <v>204507</v>
      </c>
      <c r="E2188" s="51">
        <f t="shared" si="1159"/>
        <v>179307</v>
      </c>
      <c r="F2188" s="51">
        <f t="shared" si="1159"/>
        <v>147670</v>
      </c>
      <c r="G2188" s="51">
        <f>SUM(G2181:G2187)</f>
        <v>146755</v>
      </c>
      <c r="H2188" s="51">
        <f>SUM(H2181:H2187)</f>
        <v>151790</v>
      </c>
      <c r="I2188" s="51">
        <f t="shared" ref="I2188:R2188" si="1160">SUM(I2181:I2187)</f>
        <v>155276</v>
      </c>
      <c r="J2188" s="51">
        <f t="shared" si="1160"/>
        <v>156621.144</v>
      </c>
      <c r="K2188" s="51">
        <f t="shared" si="1160"/>
        <v>160214.251456</v>
      </c>
      <c r="L2188" s="51">
        <f t="shared" si="1160"/>
        <v>166562.03423948801</v>
      </c>
      <c r="M2188" s="51">
        <f t="shared" si="1160"/>
        <v>170233.15899275671</v>
      </c>
      <c r="N2188" s="51">
        <f t="shared" si="1160"/>
        <v>174140.64164959016</v>
      </c>
      <c r="O2188" s="51">
        <f t="shared" si="1160"/>
        <v>178501.65769082989</v>
      </c>
      <c r="P2188" s="51">
        <f t="shared" si="1160"/>
        <v>182958.44913310063</v>
      </c>
      <c r="Q2188" s="51">
        <f t="shared" si="1160"/>
        <v>187344.89191229502</v>
      </c>
      <c r="R2188" s="51">
        <f t="shared" si="1160"/>
        <v>187996.60931819014</v>
      </c>
    </row>
    <row r="2189" spans="1:18" x14ac:dyDescent="0.25">
      <c r="C2189" s="50"/>
      <c r="D2189" s="50"/>
      <c r="E2189" s="50"/>
      <c r="F2189" s="50"/>
      <c r="G2189" s="50"/>
      <c r="H2189" s="50"/>
      <c r="I2189" s="50"/>
      <c r="J2189" s="50"/>
      <c r="K2189" s="50"/>
      <c r="L2189" s="50"/>
      <c r="M2189" s="50"/>
      <c r="N2189" s="50"/>
      <c r="O2189" s="50"/>
      <c r="P2189" s="50"/>
      <c r="Q2189" s="50"/>
      <c r="R2189" s="50"/>
    </row>
    <row r="2190" spans="1:18" x14ac:dyDescent="0.25">
      <c r="A2190" s="41"/>
      <c r="B2190" s="44"/>
      <c r="C2190" s="50"/>
      <c r="D2190" s="50"/>
      <c r="E2190" s="50"/>
      <c r="F2190" s="50"/>
      <c r="G2190" s="50"/>
      <c r="H2190" s="50"/>
      <c r="I2190" s="50"/>
      <c r="J2190" s="50"/>
      <c r="K2190" s="50"/>
      <c r="L2190" s="50"/>
      <c r="M2190" s="50"/>
      <c r="N2190" s="50"/>
      <c r="O2190" s="50"/>
      <c r="P2190" s="50"/>
      <c r="Q2190" s="50"/>
      <c r="R2190" s="50"/>
    </row>
    <row r="2191" spans="1:18" x14ac:dyDescent="0.25">
      <c r="A2191" s="41" t="s">
        <v>694</v>
      </c>
      <c r="B2191" s="44"/>
      <c r="C2191" s="51">
        <f t="shared" ref="C2191:R2191" si="1161">+C2188</f>
        <v>217522</v>
      </c>
      <c r="D2191" s="51">
        <f t="shared" si="1161"/>
        <v>204507</v>
      </c>
      <c r="E2191" s="51">
        <f t="shared" si="1161"/>
        <v>179307</v>
      </c>
      <c r="F2191" s="51">
        <f t="shared" si="1161"/>
        <v>147670</v>
      </c>
      <c r="G2191" s="51">
        <f t="shared" si="1161"/>
        <v>146755</v>
      </c>
      <c r="H2191" s="51">
        <f t="shared" si="1161"/>
        <v>151790</v>
      </c>
      <c r="I2191" s="51">
        <f t="shared" si="1161"/>
        <v>155276</v>
      </c>
      <c r="J2191" s="51">
        <f t="shared" si="1161"/>
        <v>156621.144</v>
      </c>
      <c r="K2191" s="51">
        <f t="shared" si="1161"/>
        <v>160214.251456</v>
      </c>
      <c r="L2191" s="51">
        <f t="shared" si="1161"/>
        <v>166562.03423948801</v>
      </c>
      <c r="M2191" s="51">
        <f t="shared" si="1161"/>
        <v>170233.15899275671</v>
      </c>
      <c r="N2191" s="51">
        <f t="shared" si="1161"/>
        <v>174140.64164959016</v>
      </c>
      <c r="O2191" s="51">
        <f t="shared" si="1161"/>
        <v>178501.65769082989</v>
      </c>
      <c r="P2191" s="51">
        <f t="shared" si="1161"/>
        <v>182958.44913310063</v>
      </c>
      <c r="Q2191" s="51">
        <f t="shared" si="1161"/>
        <v>187344.89191229502</v>
      </c>
      <c r="R2191" s="51">
        <f t="shared" si="1161"/>
        <v>187996.60931819014</v>
      </c>
    </row>
    <row r="2192" spans="1:18" x14ac:dyDescent="0.25">
      <c r="A2192" s="41"/>
      <c r="B2192" s="44"/>
    </row>
    <row r="2193" spans="1:18" x14ac:dyDescent="0.25">
      <c r="A2193" s="41"/>
      <c r="B2193" s="44"/>
    </row>
    <row r="2195" spans="1:18" x14ac:dyDescent="0.25">
      <c r="A2195" s="41" t="s">
        <v>1303</v>
      </c>
      <c r="B2195" s="44"/>
      <c r="C2195" s="51">
        <f>C1695+C1740+C1776+C2108+C2162+C2175+C2191</f>
        <v>-7117222.4199999999</v>
      </c>
      <c r="D2195" s="51">
        <f>D1695+D1740+D1776+D2108+D2162+D2175+D2191</f>
        <v>-8229182</v>
      </c>
      <c r="E2195" s="51">
        <f>E1695+E1740+E1776+E2108+E2162+E2175+E2191</f>
        <v>-12040606.469999999</v>
      </c>
      <c r="F2195" s="51">
        <f>F1695+F1740+F1776+F2108+F2162+F2175+F2191</f>
        <v>-8537710</v>
      </c>
      <c r="G2195" s="51">
        <f t="shared" ref="G2195:R2195" si="1162">G1695+G1740+G1776+G2108+G2162+G2175+G2191</f>
        <v>-5282403.09</v>
      </c>
      <c r="H2195" s="51">
        <f t="shared" si="1162"/>
        <v>-6825787</v>
      </c>
      <c r="I2195" s="51">
        <f t="shared" si="1162"/>
        <v>-7952971.3599999994</v>
      </c>
      <c r="J2195" s="51">
        <f t="shared" si="1162"/>
        <v>-8321009.88124</v>
      </c>
      <c r="K2195" s="51">
        <f t="shared" si="1162"/>
        <v>-8358786.9491822608</v>
      </c>
      <c r="L2195" s="51">
        <f t="shared" si="1162"/>
        <v>-8392248.1369663961</v>
      </c>
      <c r="M2195" s="51">
        <f t="shared" si="1162"/>
        <v>-8688150.8177926</v>
      </c>
      <c r="N2195" s="51">
        <f t="shared" si="1162"/>
        <v>-8885520.5664155819</v>
      </c>
      <c r="O2195" s="51">
        <f t="shared" si="1162"/>
        <v>-8995531.6229299512</v>
      </c>
      <c r="P2195" s="51">
        <f t="shared" si="1162"/>
        <v>-9385880.3418305907</v>
      </c>
      <c r="Q2195" s="51">
        <f t="shared" si="1162"/>
        <v>-9390847.3638785537</v>
      </c>
      <c r="R2195" s="51">
        <f t="shared" si="1162"/>
        <v>-9535339.3420370985</v>
      </c>
    </row>
    <row r="2200" spans="1:18" x14ac:dyDescent="0.25">
      <c r="A2200" s="50" t="s">
        <v>1304</v>
      </c>
      <c r="B2200" s="269" t="s">
        <v>1305</v>
      </c>
    </row>
    <row r="2201" spans="1:18" x14ac:dyDescent="0.25">
      <c r="A2201" s="50" t="s">
        <v>1306</v>
      </c>
      <c r="B2201" s="258" t="s">
        <v>832</v>
      </c>
      <c r="C2201" s="50"/>
      <c r="D2201" s="50"/>
      <c r="E2201" s="50"/>
      <c r="F2201" s="50"/>
      <c r="G2201" s="50"/>
      <c r="H2201" s="50"/>
      <c r="I2201" s="50"/>
      <c r="J2201" s="50"/>
      <c r="N2201" s="50"/>
      <c r="O2201" s="50"/>
    </row>
    <row r="2202" spans="1:18" x14ac:dyDescent="0.25">
      <c r="A2202" s="50" t="s">
        <v>1307</v>
      </c>
      <c r="B2202" s="127" t="s">
        <v>468</v>
      </c>
      <c r="C2202" s="50"/>
      <c r="D2202" s="50"/>
      <c r="E2202" s="50"/>
      <c r="F2202" s="50"/>
      <c r="G2202" s="50"/>
      <c r="H2202" s="50"/>
      <c r="I2202" s="50"/>
      <c r="J2202" s="50"/>
      <c r="N2202" s="50"/>
      <c r="O2202" s="50"/>
      <c r="P2202" s="50"/>
      <c r="Q2202" s="50"/>
      <c r="R2202" s="50"/>
    </row>
    <row r="2203" spans="1:18" x14ac:dyDescent="0.25">
      <c r="A2203" s="50" t="s">
        <v>1308</v>
      </c>
      <c r="B2203" s="84" t="s">
        <v>317</v>
      </c>
      <c r="C2203" s="50"/>
      <c r="D2203" s="50"/>
      <c r="E2203" s="50"/>
      <c r="F2203" s="50"/>
      <c r="G2203" s="50"/>
      <c r="H2203" s="50"/>
      <c r="I2203" s="50"/>
      <c r="J2203" s="50"/>
      <c r="N2203" s="50"/>
      <c r="O2203" s="50"/>
      <c r="P2203" s="50"/>
      <c r="Q2203" s="50"/>
      <c r="R2203" s="50"/>
    </row>
    <row r="2204" spans="1:18" x14ac:dyDescent="0.25">
      <c r="A2204" s="50" t="s">
        <v>1309</v>
      </c>
      <c r="B2204" s="270" t="s">
        <v>314</v>
      </c>
      <c r="C2204" s="50"/>
      <c r="D2204" s="50"/>
      <c r="E2204" s="50"/>
      <c r="F2204" s="50"/>
      <c r="G2204" s="50"/>
      <c r="H2204" s="50"/>
    </row>
    <row r="2205" spans="1:18" x14ac:dyDescent="0.25">
      <c r="A2205" s="50" t="s">
        <v>1310</v>
      </c>
      <c r="B2205" s="42" t="s">
        <v>626</v>
      </c>
    </row>
    <row r="2206" spans="1:18" x14ac:dyDescent="0.25">
      <c r="A2206" s="50" t="s">
        <v>1311</v>
      </c>
      <c r="B2206" s="164" t="s">
        <v>245</v>
      </c>
    </row>
    <row r="2207" spans="1:18" x14ac:dyDescent="0.25">
      <c r="A2207" s="50" t="s">
        <v>1312</v>
      </c>
      <c r="B2207" s="204" t="s">
        <v>950</v>
      </c>
      <c r="D2207" s="50"/>
      <c r="E2207" s="50"/>
      <c r="F2207" s="50"/>
      <c r="G2207" s="50"/>
      <c r="H2207" s="50"/>
    </row>
    <row r="2208" spans="1:18" x14ac:dyDescent="0.25">
      <c r="A2208" s="50" t="s">
        <v>1313</v>
      </c>
      <c r="B2208" s="271" t="s">
        <v>487</v>
      </c>
    </row>
    <row r="2209" spans="1:18" x14ac:dyDescent="0.25">
      <c r="A2209" s="50" t="s">
        <v>1314</v>
      </c>
      <c r="B2209" s="272" t="s">
        <v>839</v>
      </c>
    </row>
    <row r="2210" spans="1:18" x14ac:dyDescent="0.25">
      <c r="A2210" s="50" t="s">
        <v>1315</v>
      </c>
      <c r="B2210" s="254" t="s">
        <v>590</v>
      </c>
      <c r="N2210" s="50"/>
      <c r="O2210" s="50"/>
      <c r="P2210" s="50"/>
      <c r="Q2210" s="50"/>
      <c r="R2210" s="50"/>
    </row>
    <row r="2211" spans="1:18" x14ac:dyDescent="0.25">
      <c r="A2211" s="50" t="s">
        <v>1316</v>
      </c>
      <c r="B2211" s="88" t="s">
        <v>330</v>
      </c>
    </row>
    <row r="2212" spans="1:18" x14ac:dyDescent="0.25">
      <c r="A2212" s="122" t="s">
        <v>1317</v>
      </c>
      <c r="B2212" s="175" t="s">
        <v>691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Option 1</vt:lpstr>
      <vt:lpstr>Option 2</vt:lpstr>
      <vt:lpstr>Option 3</vt:lpstr>
      <vt:lpstr>Budget for option 1</vt:lpstr>
      <vt:lpstr>Budget for option 2</vt:lpstr>
      <vt:lpstr>Budget for option 3</vt:lpstr>
    </vt:vector>
  </TitlesOfParts>
  <Company>Hunter's Hill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 Vilaythong</dc:creator>
  <cp:lastModifiedBy>May Vilaythong</cp:lastModifiedBy>
  <cp:lastPrinted>2018-11-12T00:02:04Z</cp:lastPrinted>
  <dcterms:created xsi:type="dcterms:W3CDTF">2018-11-09T03:03:26Z</dcterms:created>
  <dcterms:modified xsi:type="dcterms:W3CDTF">2019-02-11T04:50:59Z</dcterms:modified>
</cp:coreProperties>
</file>