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A Special Rate Variation\Lithgow SRV\Excel - LTFP GF Financial Statements\"/>
    </mc:Choice>
  </mc:AlternateContent>
  <bookViews>
    <workbookView xWindow="0" yWindow="0" windowWidth="28800" windowHeight="11835"/>
  </bookViews>
  <sheets>
    <sheet name="Income Statement" sheetId="1" r:id="rId1"/>
    <sheet name="Balance Sheet" sheetId="2" r:id="rId2"/>
    <sheet name="Cash Flows" sheetId="3" r:id="rId3"/>
    <sheet name="Equity Statement" sheetId="4" r:id="rId4"/>
  </sheets>
  <externalReferences>
    <externalReference r:id="rId5"/>
  </externalReferences>
  <definedNames>
    <definedName name="general_fund_name">'[1]Cover Page'!$E$13</definedName>
    <definedName name="general_scenario_name">'[1]Cover Page'!$E$11</definedName>
    <definedName name="Starting_year_general">[1]year!$E$5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4" l="1"/>
  <c r="C21" i="4"/>
  <c r="C20" i="4"/>
  <c r="E16" i="4"/>
  <c r="C16" i="4"/>
  <c r="C13" i="4"/>
  <c r="C14" i="4" s="1"/>
  <c r="C18" i="4" s="1"/>
  <c r="C12" i="4"/>
  <c r="C11" i="4"/>
  <c r="E10" i="4"/>
  <c r="E14" i="4" s="1"/>
  <c r="E18" i="4" s="1"/>
  <c r="E23" i="4" s="1"/>
  <c r="C10" i="4"/>
  <c r="E7" i="4"/>
  <c r="C7" i="4"/>
  <c r="P5" i="4"/>
  <c r="O5" i="4"/>
  <c r="N5" i="4"/>
  <c r="M5" i="4"/>
  <c r="L5" i="4"/>
  <c r="K5" i="4"/>
  <c r="J5" i="4"/>
  <c r="I5" i="4"/>
  <c r="H5" i="4"/>
  <c r="G5" i="4"/>
  <c r="E5" i="4"/>
  <c r="C5" i="4"/>
  <c r="P4" i="4"/>
  <c r="O4" i="4"/>
  <c r="N4" i="4"/>
  <c r="M4" i="4"/>
  <c r="L4" i="4"/>
  <c r="K4" i="4"/>
  <c r="J4" i="4"/>
  <c r="I4" i="4"/>
  <c r="H4" i="4"/>
  <c r="G4" i="4"/>
  <c r="E4" i="4"/>
  <c r="C4" i="4"/>
  <c r="A4" i="4"/>
  <c r="A3" i="4"/>
  <c r="A2" i="4"/>
  <c r="A1" i="4"/>
  <c r="P101" i="3"/>
  <c r="O101" i="3"/>
  <c r="N101" i="3"/>
  <c r="M101" i="3"/>
  <c r="L101" i="3"/>
  <c r="K101" i="3"/>
  <c r="J101" i="3"/>
  <c r="I101" i="3"/>
  <c r="H101" i="3"/>
  <c r="G101" i="3"/>
  <c r="E101" i="3"/>
  <c r="P100" i="3"/>
  <c r="O100" i="3"/>
  <c r="N100" i="3"/>
  <c r="M100" i="3"/>
  <c r="L100" i="3"/>
  <c r="K100" i="3"/>
  <c r="J100" i="3"/>
  <c r="I100" i="3"/>
  <c r="H100" i="3"/>
  <c r="G100" i="3"/>
  <c r="E100" i="3"/>
  <c r="P99" i="3"/>
  <c r="O99" i="3"/>
  <c r="N99" i="3"/>
  <c r="M99" i="3"/>
  <c r="L99" i="3"/>
  <c r="K99" i="3"/>
  <c r="J99" i="3"/>
  <c r="I99" i="3"/>
  <c r="H99" i="3"/>
  <c r="G99" i="3"/>
  <c r="E99" i="3"/>
  <c r="P98" i="3"/>
  <c r="O98" i="3"/>
  <c r="N98" i="3"/>
  <c r="M98" i="3"/>
  <c r="L98" i="3"/>
  <c r="K98" i="3"/>
  <c r="J98" i="3"/>
  <c r="I98" i="3"/>
  <c r="H98" i="3"/>
  <c r="G98" i="3"/>
  <c r="E98" i="3"/>
  <c r="M94" i="3"/>
  <c r="M91" i="3"/>
  <c r="M93" i="3" s="1"/>
  <c r="L91" i="3"/>
  <c r="L94" i="3" s="1"/>
  <c r="K91" i="3"/>
  <c r="K94" i="3" s="1"/>
  <c r="P88" i="3"/>
  <c r="P91" i="3" s="1"/>
  <c r="O88" i="3"/>
  <c r="O91" i="3" s="1"/>
  <c r="N88" i="3"/>
  <c r="N91" i="3" s="1"/>
  <c r="M88" i="3"/>
  <c r="L88" i="3"/>
  <c r="K88" i="3"/>
  <c r="J88" i="3"/>
  <c r="J91" i="3" s="1"/>
  <c r="I88" i="3"/>
  <c r="I91" i="3" s="1"/>
  <c r="H88" i="3"/>
  <c r="H91" i="3" s="1"/>
  <c r="G88" i="3"/>
  <c r="G91" i="3" s="1"/>
  <c r="E88" i="3"/>
  <c r="E91" i="3" s="1"/>
  <c r="E81" i="3"/>
  <c r="R19" i="3"/>
  <c r="P5" i="3"/>
  <c r="O5" i="3"/>
  <c r="N5" i="3"/>
  <c r="M5" i="3"/>
  <c r="L5" i="3"/>
  <c r="K5" i="3"/>
  <c r="J5" i="3"/>
  <c r="I5" i="3"/>
  <c r="H5" i="3"/>
  <c r="G5" i="3"/>
  <c r="E5" i="3"/>
  <c r="C5" i="3"/>
  <c r="AF4" i="3"/>
  <c r="AE4" i="3"/>
  <c r="AD4" i="3"/>
  <c r="X4" i="3"/>
  <c r="W4" i="3"/>
  <c r="V4" i="3"/>
  <c r="P4" i="3"/>
  <c r="O4" i="3"/>
  <c r="N4" i="3"/>
  <c r="M4" i="3"/>
  <c r="AC4" i="3" s="1"/>
  <c r="L4" i="3"/>
  <c r="AB4" i="3" s="1"/>
  <c r="K4" i="3"/>
  <c r="AA4" i="3" s="1"/>
  <c r="J4" i="3"/>
  <c r="Z4" i="3" s="1"/>
  <c r="I4" i="3"/>
  <c r="Y4" i="3" s="1"/>
  <c r="H4" i="3"/>
  <c r="G4" i="3"/>
  <c r="E4" i="3"/>
  <c r="C4" i="3"/>
  <c r="A4" i="3"/>
  <c r="A3" i="3"/>
  <c r="A2" i="3"/>
  <c r="A1" i="3"/>
  <c r="E78" i="2"/>
  <c r="E77" i="2"/>
  <c r="P75" i="2"/>
  <c r="O75" i="2"/>
  <c r="N75" i="2"/>
  <c r="M75" i="2"/>
  <c r="L75" i="2"/>
  <c r="K75" i="2"/>
  <c r="J75" i="2"/>
  <c r="I75" i="2"/>
  <c r="H75" i="2"/>
  <c r="G75" i="2"/>
  <c r="E75" i="2"/>
  <c r="C75" i="2"/>
  <c r="P74" i="2"/>
  <c r="O74" i="2"/>
  <c r="N74" i="2"/>
  <c r="M74" i="2"/>
  <c r="L74" i="2"/>
  <c r="K74" i="2"/>
  <c r="J74" i="2"/>
  <c r="I74" i="2"/>
  <c r="H74" i="2"/>
  <c r="G74" i="2"/>
  <c r="E74" i="2"/>
  <c r="C74" i="2"/>
  <c r="P72" i="2"/>
  <c r="O72" i="2"/>
  <c r="N72" i="2"/>
  <c r="M72" i="2"/>
  <c r="L72" i="2"/>
  <c r="K72" i="2"/>
  <c r="J72" i="2"/>
  <c r="I72" i="2"/>
  <c r="H72" i="2"/>
  <c r="G72" i="2"/>
  <c r="E72" i="2"/>
  <c r="C72" i="2"/>
  <c r="P71" i="2"/>
  <c r="O71" i="2"/>
  <c r="N71" i="2"/>
  <c r="M71" i="2"/>
  <c r="L71" i="2"/>
  <c r="K71" i="2"/>
  <c r="J71" i="2"/>
  <c r="I71" i="2"/>
  <c r="H71" i="2"/>
  <c r="G71" i="2"/>
  <c r="E71" i="2"/>
  <c r="C71" i="2"/>
  <c r="G62" i="2"/>
  <c r="H62" i="2" s="1"/>
  <c r="I62" i="2" s="1"/>
  <c r="J62" i="2" s="1"/>
  <c r="K62" i="2" s="1"/>
  <c r="L62" i="2" s="1"/>
  <c r="M62" i="2" s="1"/>
  <c r="N62" i="2" s="1"/>
  <c r="O62" i="2" s="1"/>
  <c r="P62" i="2" s="1"/>
  <c r="P5" i="2"/>
  <c r="O5" i="2"/>
  <c r="N5" i="2"/>
  <c r="M5" i="2"/>
  <c r="L5" i="2"/>
  <c r="K5" i="2"/>
  <c r="J5" i="2"/>
  <c r="I5" i="2"/>
  <c r="H5" i="2"/>
  <c r="G5" i="2"/>
  <c r="E5" i="2"/>
  <c r="C5" i="2"/>
  <c r="P4" i="2"/>
  <c r="O4" i="2"/>
  <c r="N4" i="2"/>
  <c r="M4" i="2"/>
  <c r="L4" i="2"/>
  <c r="K4" i="2"/>
  <c r="J4" i="2"/>
  <c r="I4" i="2"/>
  <c r="H4" i="2"/>
  <c r="G4" i="2"/>
  <c r="E4" i="2"/>
  <c r="C4" i="2"/>
  <c r="A4" i="2"/>
  <c r="A3" i="2"/>
  <c r="A2" i="2"/>
  <c r="A1" i="2"/>
  <c r="Q331" i="1"/>
  <c r="B330" i="1"/>
  <c r="Q326" i="1"/>
  <c r="P326" i="1"/>
  <c r="O326" i="1"/>
  <c r="N326" i="1"/>
  <c r="M326" i="1"/>
  <c r="L326" i="1"/>
  <c r="K326" i="1"/>
  <c r="J326" i="1"/>
  <c r="I326" i="1"/>
  <c r="H326" i="1"/>
  <c r="F326" i="1"/>
  <c r="Q325" i="1"/>
  <c r="P325" i="1"/>
  <c r="O325" i="1"/>
  <c r="N325" i="1"/>
  <c r="M325" i="1"/>
  <c r="L325" i="1"/>
  <c r="K325" i="1"/>
  <c r="J325" i="1"/>
  <c r="I325" i="1"/>
  <c r="H325" i="1"/>
  <c r="F325" i="1"/>
  <c r="Q324" i="1"/>
  <c r="P324" i="1"/>
  <c r="O324" i="1"/>
  <c r="N324" i="1"/>
  <c r="M324" i="1"/>
  <c r="L324" i="1"/>
  <c r="K324" i="1"/>
  <c r="J324" i="1"/>
  <c r="I324" i="1"/>
  <c r="H324" i="1"/>
  <c r="F324" i="1"/>
  <c r="Q323" i="1"/>
  <c r="P323" i="1"/>
  <c r="O323" i="1"/>
  <c r="N323" i="1"/>
  <c r="M323" i="1"/>
  <c r="L323" i="1"/>
  <c r="K323" i="1"/>
  <c r="J323" i="1"/>
  <c r="I323" i="1"/>
  <c r="H323" i="1"/>
  <c r="F323" i="1"/>
  <c r="Q322" i="1"/>
  <c r="P322" i="1"/>
  <c r="O322" i="1"/>
  <c r="N322" i="1"/>
  <c r="M322" i="1"/>
  <c r="L322" i="1"/>
  <c r="K322" i="1"/>
  <c r="J322" i="1"/>
  <c r="I322" i="1"/>
  <c r="H322" i="1"/>
  <c r="F322" i="1"/>
  <c r="B318" i="1"/>
  <c r="B313" i="1"/>
  <c r="Q310" i="1"/>
  <c r="P310" i="1"/>
  <c r="O310" i="1"/>
  <c r="N310" i="1"/>
  <c r="M310" i="1"/>
  <c r="L310" i="1"/>
  <c r="K310" i="1"/>
  <c r="J310" i="1"/>
  <c r="I310" i="1"/>
  <c r="H310" i="1"/>
  <c r="F310" i="1"/>
  <c r="Q309" i="1"/>
  <c r="P309" i="1"/>
  <c r="O309" i="1"/>
  <c r="N309" i="1"/>
  <c r="M309" i="1"/>
  <c r="L309" i="1"/>
  <c r="K309" i="1"/>
  <c r="J309" i="1"/>
  <c r="I309" i="1"/>
  <c r="H309" i="1"/>
  <c r="F309" i="1"/>
  <c r="Q308" i="1"/>
  <c r="P308" i="1"/>
  <c r="O308" i="1"/>
  <c r="N308" i="1"/>
  <c r="M308" i="1"/>
  <c r="L308" i="1"/>
  <c r="K308" i="1"/>
  <c r="J308" i="1"/>
  <c r="I308" i="1"/>
  <c r="H308" i="1"/>
  <c r="F308" i="1"/>
  <c r="Q307" i="1"/>
  <c r="P307" i="1"/>
  <c r="O307" i="1"/>
  <c r="N307" i="1"/>
  <c r="M307" i="1"/>
  <c r="L307" i="1"/>
  <c r="K307" i="1"/>
  <c r="J307" i="1"/>
  <c r="I307" i="1"/>
  <c r="H307" i="1"/>
  <c r="F307" i="1"/>
  <c r="Q306" i="1"/>
  <c r="P306" i="1"/>
  <c r="O306" i="1"/>
  <c r="N306" i="1"/>
  <c r="M306" i="1"/>
  <c r="L306" i="1"/>
  <c r="K306" i="1"/>
  <c r="J306" i="1"/>
  <c r="I306" i="1"/>
  <c r="H306" i="1"/>
  <c r="F306" i="1"/>
  <c r="Q305" i="1"/>
  <c r="P305" i="1"/>
  <c r="O305" i="1"/>
  <c r="N305" i="1"/>
  <c r="M305" i="1"/>
  <c r="L305" i="1"/>
  <c r="K305" i="1"/>
  <c r="J305" i="1"/>
  <c r="I305" i="1"/>
  <c r="H305" i="1"/>
  <c r="F305" i="1"/>
  <c r="O303" i="1"/>
  <c r="Q302" i="1"/>
  <c r="B301" i="1"/>
  <c r="B296" i="1"/>
  <c r="F293" i="1"/>
  <c r="Q292" i="1"/>
  <c r="P292" i="1"/>
  <c r="O292" i="1"/>
  <c r="N292" i="1"/>
  <c r="M292" i="1"/>
  <c r="L292" i="1"/>
  <c r="K292" i="1"/>
  <c r="J292" i="1"/>
  <c r="I292" i="1"/>
  <c r="H292" i="1"/>
  <c r="F292" i="1"/>
  <c r="Q291" i="1"/>
  <c r="P291" i="1"/>
  <c r="O291" i="1"/>
  <c r="N291" i="1"/>
  <c r="M291" i="1"/>
  <c r="L291" i="1"/>
  <c r="K291" i="1"/>
  <c r="J291" i="1"/>
  <c r="I291" i="1"/>
  <c r="H291" i="1"/>
  <c r="F291" i="1"/>
  <c r="F290" i="1"/>
  <c r="Q289" i="1"/>
  <c r="P289" i="1"/>
  <c r="O289" i="1"/>
  <c r="N289" i="1"/>
  <c r="M289" i="1"/>
  <c r="L289" i="1"/>
  <c r="K289" i="1"/>
  <c r="J289" i="1"/>
  <c r="I289" i="1"/>
  <c r="H289" i="1"/>
  <c r="F289" i="1"/>
  <c r="K287" i="1"/>
  <c r="H287" i="1"/>
  <c r="F286" i="1"/>
  <c r="B285" i="1"/>
  <c r="Q282" i="1"/>
  <c r="P282" i="1"/>
  <c r="O282" i="1"/>
  <c r="N282" i="1"/>
  <c r="M282" i="1"/>
  <c r="L282" i="1"/>
  <c r="K282" i="1"/>
  <c r="J282" i="1"/>
  <c r="I282" i="1"/>
  <c r="H282" i="1"/>
  <c r="F282" i="1"/>
  <c r="Q281" i="1"/>
  <c r="P281" i="1"/>
  <c r="O281" i="1"/>
  <c r="N281" i="1"/>
  <c r="M281" i="1"/>
  <c r="L281" i="1"/>
  <c r="K281" i="1"/>
  <c r="J281" i="1"/>
  <c r="I281" i="1"/>
  <c r="H281" i="1"/>
  <c r="F281" i="1"/>
  <c r="Q280" i="1"/>
  <c r="P280" i="1"/>
  <c r="O280" i="1"/>
  <c r="N280" i="1"/>
  <c r="M280" i="1"/>
  <c r="L280" i="1"/>
  <c r="K280" i="1"/>
  <c r="J280" i="1"/>
  <c r="I280" i="1"/>
  <c r="H280" i="1"/>
  <c r="F280" i="1"/>
  <c r="Q279" i="1"/>
  <c r="P279" i="1"/>
  <c r="O279" i="1"/>
  <c r="N279" i="1"/>
  <c r="M279" i="1"/>
  <c r="L279" i="1"/>
  <c r="K279" i="1"/>
  <c r="J279" i="1"/>
  <c r="I279" i="1"/>
  <c r="H279" i="1"/>
  <c r="F279" i="1"/>
  <c r="Q278" i="1"/>
  <c r="P278" i="1"/>
  <c r="O278" i="1"/>
  <c r="N278" i="1"/>
  <c r="M278" i="1"/>
  <c r="L278" i="1"/>
  <c r="K278" i="1"/>
  <c r="J278" i="1"/>
  <c r="I278" i="1"/>
  <c r="H278" i="1"/>
  <c r="F278" i="1"/>
  <c r="Q277" i="1"/>
  <c r="P277" i="1"/>
  <c r="O277" i="1"/>
  <c r="N277" i="1"/>
  <c r="M277" i="1"/>
  <c r="L277" i="1"/>
  <c r="K277" i="1"/>
  <c r="J277" i="1"/>
  <c r="I277" i="1"/>
  <c r="H277" i="1"/>
  <c r="F277" i="1"/>
  <c r="Q276" i="1"/>
  <c r="P276" i="1"/>
  <c r="O276" i="1"/>
  <c r="N276" i="1"/>
  <c r="M276" i="1"/>
  <c r="L276" i="1"/>
  <c r="K276" i="1"/>
  <c r="J276" i="1"/>
  <c r="I276" i="1"/>
  <c r="H276" i="1"/>
  <c r="F276" i="1"/>
  <c r="Q275" i="1"/>
  <c r="P275" i="1"/>
  <c r="O275" i="1"/>
  <c r="N275" i="1"/>
  <c r="M275" i="1"/>
  <c r="L275" i="1"/>
  <c r="K275" i="1"/>
  <c r="J275" i="1"/>
  <c r="I275" i="1"/>
  <c r="H275" i="1"/>
  <c r="F275" i="1"/>
  <c r="Q274" i="1"/>
  <c r="P274" i="1"/>
  <c r="O274" i="1"/>
  <c r="N274" i="1"/>
  <c r="M274" i="1"/>
  <c r="L274" i="1"/>
  <c r="K274" i="1"/>
  <c r="J274" i="1"/>
  <c r="I274" i="1"/>
  <c r="H274" i="1"/>
  <c r="F274" i="1"/>
  <c r="F273" i="1"/>
  <c r="Q272" i="1"/>
  <c r="P272" i="1"/>
  <c r="O272" i="1"/>
  <c r="N272" i="1"/>
  <c r="M272" i="1"/>
  <c r="L272" i="1"/>
  <c r="K272" i="1"/>
  <c r="J272" i="1"/>
  <c r="I272" i="1"/>
  <c r="H272" i="1"/>
  <c r="F272" i="1"/>
  <c r="Q271" i="1"/>
  <c r="P271" i="1"/>
  <c r="O271" i="1"/>
  <c r="N271" i="1"/>
  <c r="M271" i="1"/>
  <c r="L271" i="1"/>
  <c r="K271" i="1"/>
  <c r="J271" i="1"/>
  <c r="I271" i="1"/>
  <c r="H271" i="1"/>
  <c r="F271" i="1"/>
  <c r="M269" i="1"/>
  <c r="L269" i="1"/>
  <c r="B267" i="1"/>
  <c r="O262" i="1"/>
  <c r="N262" i="1"/>
  <c r="K262" i="1"/>
  <c r="I262" i="1"/>
  <c r="H262" i="1"/>
  <c r="F262" i="1"/>
  <c r="A262" i="1"/>
  <c r="P262" i="1" s="1"/>
  <c r="Q261" i="1"/>
  <c r="P261" i="1"/>
  <c r="O261" i="1"/>
  <c r="N261" i="1"/>
  <c r="M261" i="1"/>
  <c r="L261" i="1"/>
  <c r="K261" i="1"/>
  <c r="J261" i="1"/>
  <c r="I261" i="1"/>
  <c r="H261" i="1"/>
  <c r="F261" i="1"/>
  <c r="Q259" i="1"/>
  <c r="P259" i="1"/>
  <c r="O259" i="1"/>
  <c r="N259" i="1"/>
  <c r="M259" i="1"/>
  <c r="L259" i="1"/>
  <c r="K259" i="1"/>
  <c r="J259" i="1"/>
  <c r="I259" i="1"/>
  <c r="H259" i="1"/>
  <c r="F259" i="1"/>
  <c r="Q258" i="1"/>
  <c r="P258" i="1"/>
  <c r="O258" i="1"/>
  <c r="N258" i="1"/>
  <c r="M258" i="1"/>
  <c r="L258" i="1"/>
  <c r="K258" i="1"/>
  <c r="J258" i="1"/>
  <c r="I258" i="1"/>
  <c r="H258" i="1"/>
  <c r="F258" i="1"/>
  <c r="Q257" i="1"/>
  <c r="P257" i="1"/>
  <c r="O257" i="1"/>
  <c r="N257" i="1"/>
  <c r="M257" i="1"/>
  <c r="L257" i="1"/>
  <c r="K257" i="1"/>
  <c r="J257" i="1"/>
  <c r="I257" i="1"/>
  <c r="H257" i="1"/>
  <c r="F257" i="1"/>
  <c r="Q256" i="1"/>
  <c r="P256" i="1"/>
  <c r="O256" i="1"/>
  <c r="N256" i="1"/>
  <c r="M256" i="1"/>
  <c r="L256" i="1"/>
  <c r="K256" i="1"/>
  <c r="J256" i="1"/>
  <c r="I256" i="1"/>
  <c r="H256" i="1"/>
  <c r="F256" i="1"/>
  <c r="Q255" i="1"/>
  <c r="P255" i="1"/>
  <c r="O255" i="1"/>
  <c r="N255" i="1"/>
  <c r="M255" i="1"/>
  <c r="L255" i="1"/>
  <c r="K255" i="1"/>
  <c r="J255" i="1"/>
  <c r="I255" i="1"/>
  <c r="H255" i="1"/>
  <c r="F255" i="1"/>
  <c r="Q254" i="1"/>
  <c r="P254" i="1"/>
  <c r="O254" i="1"/>
  <c r="N254" i="1"/>
  <c r="M254" i="1"/>
  <c r="L254" i="1"/>
  <c r="K254" i="1"/>
  <c r="J254" i="1"/>
  <c r="I254" i="1"/>
  <c r="H254" i="1"/>
  <c r="F254" i="1"/>
  <c r="Q253" i="1"/>
  <c r="P253" i="1"/>
  <c r="O253" i="1"/>
  <c r="N253" i="1"/>
  <c r="M253" i="1"/>
  <c r="L253" i="1"/>
  <c r="K253" i="1"/>
  <c r="J253" i="1"/>
  <c r="I253" i="1"/>
  <c r="H253" i="1"/>
  <c r="F253" i="1"/>
  <c r="Q252" i="1"/>
  <c r="P252" i="1"/>
  <c r="O252" i="1"/>
  <c r="N252" i="1"/>
  <c r="M252" i="1"/>
  <c r="L252" i="1"/>
  <c r="K252" i="1"/>
  <c r="J252" i="1"/>
  <c r="I252" i="1"/>
  <c r="H252" i="1"/>
  <c r="F252" i="1"/>
  <c r="Q250" i="1"/>
  <c r="P250" i="1"/>
  <c r="O250" i="1"/>
  <c r="N250" i="1"/>
  <c r="M250" i="1"/>
  <c r="L250" i="1"/>
  <c r="K250" i="1"/>
  <c r="J250" i="1"/>
  <c r="I250" i="1"/>
  <c r="H250" i="1"/>
  <c r="F250" i="1"/>
  <c r="B248" i="1"/>
  <c r="Q245" i="1"/>
  <c r="P245" i="1"/>
  <c r="O245" i="1"/>
  <c r="N245" i="1"/>
  <c r="M245" i="1"/>
  <c r="L245" i="1"/>
  <c r="K245" i="1"/>
  <c r="J245" i="1"/>
  <c r="I245" i="1"/>
  <c r="H245" i="1"/>
  <c r="F245" i="1"/>
  <c r="Q244" i="1"/>
  <c r="P244" i="1"/>
  <c r="O244" i="1"/>
  <c r="N244" i="1"/>
  <c r="M244" i="1"/>
  <c r="L244" i="1"/>
  <c r="K244" i="1"/>
  <c r="J244" i="1"/>
  <c r="I244" i="1"/>
  <c r="H244" i="1"/>
  <c r="F244" i="1"/>
  <c r="Q243" i="1"/>
  <c r="P243" i="1"/>
  <c r="O243" i="1"/>
  <c r="N243" i="1"/>
  <c r="M243" i="1"/>
  <c r="L243" i="1"/>
  <c r="K243" i="1"/>
  <c r="J243" i="1"/>
  <c r="I243" i="1"/>
  <c r="H243" i="1"/>
  <c r="F243" i="1"/>
  <c r="Q242" i="1"/>
  <c r="P242" i="1"/>
  <c r="O242" i="1"/>
  <c r="N242" i="1"/>
  <c r="M242" i="1"/>
  <c r="L242" i="1"/>
  <c r="K242" i="1"/>
  <c r="J242" i="1"/>
  <c r="I242" i="1"/>
  <c r="H242" i="1"/>
  <c r="F242" i="1"/>
  <c r="Q241" i="1"/>
  <c r="P241" i="1"/>
  <c r="O241" i="1"/>
  <c r="N241" i="1"/>
  <c r="M241" i="1"/>
  <c r="L241" i="1"/>
  <c r="K241" i="1"/>
  <c r="J241" i="1"/>
  <c r="I241" i="1"/>
  <c r="H241" i="1"/>
  <c r="F241" i="1"/>
  <c r="Q240" i="1"/>
  <c r="P240" i="1"/>
  <c r="O240" i="1"/>
  <c r="N240" i="1"/>
  <c r="M240" i="1"/>
  <c r="L240" i="1"/>
  <c r="K240" i="1"/>
  <c r="J240" i="1"/>
  <c r="I240" i="1"/>
  <c r="H240" i="1"/>
  <c r="F240" i="1"/>
  <c r="F237" i="1"/>
  <c r="B236" i="1"/>
  <c r="O232" i="1"/>
  <c r="B230" i="1"/>
  <c r="Q225" i="1"/>
  <c r="P225" i="1"/>
  <c r="O225" i="1"/>
  <c r="N225" i="1"/>
  <c r="M225" i="1"/>
  <c r="L225" i="1"/>
  <c r="K225" i="1"/>
  <c r="J225" i="1"/>
  <c r="I225" i="1"/>
  <c r="H225" i="1"/>
  <c r="F225" i="1"/>
  <c r="Q224" i="1"/>
  <c r="P224" i="1"/>
  <c r="O224" i="1"/>
  <c r="N224" i="1"/>
  <c r="M224" i="1"/>
  <c r="L224" i="1"/>
  <c r="K224" i="1"/>
  <c r="J224" i="1"/>
  <c r="I224" i="1"/>
  <c r="H224" i="1"/>
  <c r="F224" i="1"/>
  <c r="Q223" i="1"/>
  <c r="P223" i="1"/>
  <c r="O223" i="1"/>
  <c r="N223" i="1"/>
  <c r="M223" i="1"/>
  <c r="L223" i="1"/>
  <c r="K223" i="1"/>
  <c r="J223" i="1"/>
  <c r="I223" i="1"/>
  <c r="H223" i="1"/>
  <c r="F223" i="1"/>
  <c r="Q222" i="1"/>
  <c r="P222" i="1"/>
  <c r="O222" i="1"/>
  <c r="N222" i="1"/>
  <c r="M222" i="1"/>
  <c r="L222" i="1"/>
  <c r="K222" i="1"/>
  <c r="J222" i="1"/>
  <c r="I222" i="1"/>
  <c r="H222" i="1"/>
  <c r="F222" i="1"/>
  <c r="Q221" i="1"/>
  <c r="P221" i="1"/>
  <c r="O221" i="1"/>
  <c r="N221" i="1"/>
  <c r="M221" i="1"/>
  <c r="L221" i="1"/>
  <c r="K221" i="1"/>
  <c r="J221" i="1"/>
  <c r="I221" i="1"/>
  <c r="H221" i="1"/>
  <c r="F221" i="1"/>
  <c r="B217" i="1"/>
  <c r="Q214" i="1"/>
  <c r="P214" i="1"/>
  <c r="O214" i="1"/>
  <c r="N214" i="1"/>
  <c r="M214" i="1"/>
  <c r="L214" i="1"/>
  <c r="K214" i="1"/>
  <c r="J214" i="1"/>
  <c r="I214" i="1"/>
  <c r="H214" i="1"/>
  <c r="F214" i="1"/>
  <c r="Q213" i="1"/>
  <c r="P213" i="1"/>
  <c r="O213" i="1"/>
  <c r="N213" i="1"/>
  <c r="M213" i="1"/>
  <c r="L213" i="1"/>
  <c r="K213" i="1"/>
  <c r="J213" i="1"/>
  <c r="I213" i="1"/>
  <c r="H213" i="1"/>
  <c r="F213" i="1"/>
  <c r="Q212" i="1"/>
  <c r="P212" i="1"/>
  <c r="O212" i="1"/>
  <c r="N212" i="1"/>
  <c r="M212" i="1"/>
  <c r="L212" i="1"/>
  <c r="K212" i="1"/>
  <c r="J212" i="1"/>
  <c r="I212" i="1"/>
  <c r="H212" i="1"/>
  <c r="F212" i="1"/>
  <c r="Q211" i="1"/>
  <c r="P211" i="1"/>
  <c r="O211" i="1"/>
  <c r="N211" i="1"/>
  <c r="M211" i="1"/>
  <c r="L211" i="1"/>
  <c r="K211" i="1"/>
  <c r="J211" i="1"/>
  <c r="I211" i="1"/>
  <c r="H211" i="1"/>
  <c r="F211" i="1"/>
  <c r="L207" i="1"/>
  <c r="K207" i="1"/>
  <c r="B206" i="1"/>
  <c r="Q203" i="1"/>
  <c r="P203" i="1"/>
  <c r="O203" i="1"/>
  <c r="N203" i="1"/>
  <c r="M203" i="1"/>
  <c r="L203" i="1"/>
  <c r="K203" i="1"/>
  <c r="J203" i="1"/>
  <c r="I203" i="1"/>
  <c r="H203" i="1"/>
  <c r="F203" i="1"/>
  <c r="I201" i="1"/>
  <c r="M200" i="1"/>
  <c r="L200" i="1"/>
  <c r="F200" i="1"/>
  <c r="B199" i="1"/>
  <c r="Q196" i="1"/>
  <c r="P196" i="1"/>
  <c r="O196" i="1"/>
  <c r="N196" i="1"/>
  <c r="M196" i="1"/>
  <c r="L196" i="1"/>
  <c r="K196" i="1"/>
  <c r="J196" i="1"/>
  <c r="I196" i="1"/>
  <c r="H196" i="1"/>
  <c r="F196" i="1"/>
  <c r="Q195" i="1"/>
  <c r="P195" i="1"/>
  <c r="O195" i="1"/>
  <c r="N195" i="1"/>
  <c r="M195" i="1"/>
  <c r="L195" i="1"/>
  <c r="K195" i="1"/>
  <c r="J195" i="1"/>
  <c r="I195" i="1"/>
  <c r="H195" i="1"/>
  <c r="F195" i="1"/>
  <c r="Q194" i="1"/>
  <c r="P194" i="1"/>
  <c r="O194" i="1"/>
  <c r="N194" i="1"/>
  <c r="M194" i="1"/>
  <c r="L194" i="1"/>
  <c r="K194" i="1"/>
  <c r="J194" i="1"/>
  <c r="I194" i="1"/>
  <c r="H194" i="1"/>
  <c r="F194" i="1"/>
  <c r="Q193" i="1"/>
  <c r="P193" i="1"/>
  <c r="O193" i="1"/>
  <c r="N193" i="1"/>
  <c r="M193" i="1"/>
  <c r="L193" i="1"/>
  <c r="K193" i="1"/>
  <c r="J193" i="1"/>
  <c r="I193" i="1"/>
  <c r="H193" i="1"/>
  <c r="F193" i="1"/>
  <c r="N190" i="1"/>
  <c r="B189" i="1"/>
  <c r="Q186" i="1"/>
  <c r="P186" i="1"/>
  <c r="O186" i="1"/>
  <c r="N186" i="1"/>
  <c r="M186" i="1"/>
  <c r="L186" i="1"/>
  <c r="K186" i="1"/>
  <c r="J186" i="1"/>
  <c r="I186" i="1"/>
  <c r="H186" i="1"/>
  <c r="F186" i="1"/>
  <c r="A186" i="1"/>
  <c r="Q185" i="1"/>
  <c r="P185" i="1"/>
  <c r="O185" i="1"/>
  <c r="N185" i="1"/>
  <c r="M185" i="1"/>
  <c r="L185" i="1"/>
  <c r="K185" i="1"/>
  <c r="J185" i="1"/>
  <c r="I185" i="1"/>
  <c r="H185" i="1"/>
  <c r="F185" i="1"/>
  <c r="Q183" i="1"/>
  <c r="O183" i="1"/>
  <c r="N183" i="1"/>
  <c r="M183" i="1"/>
  <c r="L183" i="1"/>
  <c r="I183" i="1"/>
  <c r="F183" i="1"/>
  <c r="A183" i="1"/>
  <c r="O182" i="1"/>
  <c r="O184" i="1" s="1"/>
  <c r="O187" i="1" s="1"/>
  <c r="B181" i="1"/>
  <c r="Q178" i="1"/>
  <c r="P178" i="1"/>
  <c r="O178" i="1"/>
  <c r="N178" i="1"/>
  <c r="M178" i="1"/>
  <c r="L178" i="1"/>
  <c r="K178" i="1"/>
  <c r="J178" i="1"/>
  <c r="I178" i="1"/>
  <c r="H178" i="1"/>
  <c r="F178" i="1"/>
  <c r="Q177" i="1"/>
  <c r="P177" i="1"/>
  <c r="O177" i="1"/>
  <c r="N177" i="1"/>
  <c r="M177" i="1"/>
  <c r="L177" i="1"/>
  <c r="K177" i="1"/>
  <c r="J177" i="1"/>
  <c r="I177" i="1"/>
  <c r="H177" i="1"/>
  <c r="F177" i="1"/>
  <c r="Q176" i="1"/>
  <c r="P176" i="1"/>
  <c r="O176" i="1"/>
  <c r="N176" i="1"/>
  <c r="M176" i="1"/>
  <c r="L176" i="1"/>
  <c r="K176" i="1"/>
  <c r="J176" i="1"/>
  <c r="I176" i="1"/>
  <c r="H176" i="1"/>
  <c r="F176" i="1"/>
  <c r="Q175" i="1"/>
  <c r="P175" i="1"/>
  <c r="O175" i="1"/>
  <c r="N175" i="1"/>
  <c r="M175" i="1"/>
  <c r="L175" i="1"/>
  <c r="K175" i="1"/>
  <c r="J175" i="1"/>
  <c r="I175" i="1"/>
  <c r="H175" i="1"/>
  <c r="F175" i="1"/>
  <c r="M173" i="1"/>
  <c r="P172" i="1"/>
  <c r="H172" i="1"/>
  <c r="B171" i="1"/>
  <c r="B166" i="1"/>
  <c r="N153" i="1"/>
  <c r="I153" i="1"/>
  <c r="F152" i="1"/>
  <c r="P144" i="1"/>
  <c r="N144" i="1"/>
  <c r="M144" i="1"/>
  <c r="L144" i="1"/>
  <c r="K144" i="1"/>
  <c r="N143" i="1"/>
  <c r="M143" i="1"/>
  <c r="F143" i="1"/>
  <c r="K142" i="1"/>
  <c r="J142" i="1"/>
  <c r="H142" i="1"/>
  <c r="N135" i="1"/>
  <c r="M135" i="1"/>
  <c r="L135" i="1"/>
  <c r="J134" i="1"/>
  <c r="I134" i="1"/>
  <c r="Q133" i="1"/>
  <c r="P133" i="1"/>
  <c r="O133" i="1"/>
  <c r="N133" i="1"/>
  <c r="M133" i="1"/>
  <c r="L133" i="1"/>
  <c r="K133" i="1"/>
  <c r="J133" i="1"/>
  <c r="I133" i="1"/>
  <c r="H133" i="1"/>
  <c r="F133" i="1"/>
  <c r="Q132" i="1"/>
  <c r="P132" i="1"/>
  <c r="O132" i="1"/>
  <c r="N132" i="1"/>
  <c r="M132" i="1"/>
  <c r="L132" i="1"/>
  <c r="K132" i="1"/>
  <c r="J132" i="1"/>
  <c r="I132" i="1"/>
  <c r="H132" i="1"/>
  <c r="F132" i="1"/>
  <c r="O130" i="1"/>
  <c r="O134" i="1" s="1"/>
  <c r="Q129" i="1"/>
  <c r="Q135" i="1" s="1"/>
  <c r="O129" i="1"/>
  <c r="O135" i="1" s="1"/>
  <c r="Q128" i="1"/>
  <c r="P128" i="1"/>
  <c r="O128" i="1"/>
  <c r="N128" i="1"/>
  <c r="M128" i="1"/>
  <c r="L128" i="1"/>
  <c r="K128" i="1"/>
  <c r="J128" i="1"/>
  <c r="I128" i="1"/>
  <c r="H128" i="1"/>
  <c r="F128" i="1"/>
  <c r="Q127" i="1"/>
  <c r="P127" i="1"/>
  <c r="O127" i="1"/>
  <c r="N127" i="1"/>
  <c r="M127" i="1"/>
  <c r="L127" i="1"/>
  <c r="K127" i="1"/>
  <c r="J127" i="1"/>
  <c r="I127" i="1"/>
  <c r="H127" i="1"/>
  <c r="F127" i="1"/>
  <c r="M125" i="1"/>
  <c r="L125" i="1"/>
  <c r="K125" i="1"/>
  <c r="J125" i="1"/>
  <c r="Q124" i="1"/>
  <c r="P124" i="1"/>
  <c r="O124" i="1"/>
  <c r="N124" i="1"/>
  <c r="M124" i="1"/>
  <c r="L124" i="1"/>
  <c r="K124" i="1"/>
  <c r="J124" i="1"/>
  <c r="I124" i="1"/>
  <c r="H124" i="1"/>
  <c r="F124" i="1"/>
  <c r="Q116" i="1"/>
  <c r="P116" i="1"/>
  <c r="O116" i="1"/>
  <c r="N116" i="1"/>
  <c r="M116" i="1"/>
  <c r="L116" i="1"/>
  <c r="K116" i="1"/>
  <c r="J116" i="1"/>
  <c r="I116" i="1"/>
  <c r="H116" i="1"/>
  <c r="Q115" i="1"/>
  <c r="P115" i="1"/>
  <c r="O115" i="1"/>
  <c r="N115" i="1"/>
  <c r="M115" i="1"/>
  <c r="L115" i="1"/>
  <c r="K115" i="1"/>
  <c r="J115" i="1"/>
  <c r="I115" i="1"/>
  <c r="H115" i="1"/>
  <c r="F115" i="1"/>
  <c r="L113" i="1"/>
  <c r="K113" i="1"/>
  <c r="I113" i="1"/>
  <c r="F112" i="1"/>
  <c r="Q111" i="1"/>
  <c r="P111" i="1"/>
  <c r="J111" i="1"/>
  <c r="I111" i="1"/>
  <c r="H111" i="1"/>
  <c r="Q110" i="1"/>
  <c r="M110" i="1"/>
  <c r="L110" i="1"/>
  <c r="I110" i="1"/>
  <c r="Q109" i="1"/>
  <c r="P109" i="1"/>
  <c r="O109" i="1"/>
  <c r="N109" i="1"/>
  <c r="M109" i="1"/>
  <c r="L109" i="1"/>
  <c r="K109" i="1"/>
  <c r="J109" i="1"/>
  <c r="I109" i="1"/>
  <c r="H109" i="1"/>
  <c r="F109" i="1"/>
  <c r="F108" i="1"/>
  <c r="F141" i="1" s="1"/>
  <c r="F99" i="1"/>
  <c r="I98" i="1"/>
  <c r="J98" i="1" s="1"/>
  <c r="H98" i="1"/>
  <c r="F98" i="1"/>
  <c r="Q96" i="1"/>
  <c r="P96" i="1"/>
  <c r="O96" i="1"/>
  <c r="N96" i="1"/>
  <c r="M96" i="1"/>
  <c r="L96" i="1"/>
  <c r="K96" i="1"/>
  <c r="K99" i="1" s="1"/>
  <c r="L99" i="1" s="1"/>
  <c r="M99" i="1" s="1"/>
  <c r="N99" i="1" s="1"/>
  <c r="O99" i="1" s="1"/>
  <c r="J96" i="1"/>
  <c r="J99" i="1" s="1"/>
  <c r="I96" i="1"/>
  <c r="I99" i="1" s="1"/>
  <c r="H96" i="1"/>
  <c r="H99" i="1" s="1"/>
  <c r="F96" i="1"/>
  <c r="Q95" i="1"/>
  <c r="P95" i="1"/>
  <c r="O95" i="1"/>
  <c r="N95" i="1"/>
  <c r="M95" i="1"/>
  <c r="L95" i="1"/>
  <c r="K95" i="1"/>
  <c r="J95" i="1"/>
  <c r="I95" i="1"/>
  <c r="H95" i="1"/>
  <c r="F95" i="1"/>
  <c r="Q85" i="1"/>
  <c r="Q153" i="1" s="1"/>
  <c r="P85" i="1"/>
  <c r="P153" i="1" s="1"/>
  <c r="O85" i="1"/>
  <c r="O153" i="1" s="1"/>
  <c r="N85" i="1"/>
  <c r="M85" i="1"/>
  <c r="M153" i="1" s="1"/>
  <c r="L85" i="1"/>
  <c r="L153" i="1" s="1"/>
  <c r="K85" i="1"/>
  <c r="K153" i="1" s="1"/>
  <c r="J85" i="1"/>
  <c r="J153" i="1" s="1"/>
  <c r="I85" i="1"/>
  <c r="H85" i="1"/>
  <c r="H153" i="1" s="1"/>
  <c r="F85" i="1"/>
  <c r="F153" i="1" s="1"/>
  <c r="F83" i="1"/>
  <c r="F151" i="1" s="1"/>
  <c r="M82" i="1"/>
  <c r="M150" i="1" s="1"/>
  <c r="L82" i="1"/>
  <c r="L150" i="1" s="1"/>
  <c r="K82" i="1"/>
  <c r="K150" i="1" s="1"/>
  <c r="J82" i="1"/>
  <c r="J150" i="1" s="1"/>
  <c r="P81" i="1"/>
  <c r="O81" i="1"/>
  <c r="N81" i="1"/>
  <c r="M81" i="1"/>
  <c r="L81" i="1"/>
  <c r="H81" i="1"/>
  <c r="F81" i="1"/>
  <c r="Q80" i="1"/>
  <c r="K80" i="1"/>
  <c r="J80" i="1"/>
  <c r="I80" i="1"/>
  <c r="H80" i="1"/>
  <c r="F80" i="1"/>
  <c r="N79" i="1"/>
  <c r="L79" i="1"/>
  <c r="K79" i="1"/>
  <c r="J79" i="1"/>
  <c r="F78" i="1"/>
  <c r="Q72" i="1"/>
  <c r="P72" i="1"/>
  <c r="O72" i="1"/>
  <c r="N72" i="1"/>
  <c r="M72" i="1"/>
  <c r="L72" i="1"/>
  <c r="K72" i="1"/>
  <c r="J72" i="1"/>
  <c r="I72" i="1"/>
  <c r="H72" i="1"/>
  <c r="F72" i="1"/>
  <c r="Q70" i="1"/>
  <c r="P70" i="1"/>
  <c r="P129" i="1" s="1"/>
  <c r="P135" i="1" s="1"/>
  <c r="O70" i="1"/>
  <c r="N70" i="1"/>
  <c r="N129" i="1" s="1"/>
  <c r="M70" i="1"/>
  <c r="M129" i="1" s="1"/>
  <c r="L70" i="1"/>
  <c r="L129" i="1" s="1"/>
  <c r="K70" i="1"/>
  <c r="K129" i="1" s="1"/>
  <c r="K135" i="1" s="1"/>
  <c r="J70" i="1"/>
  <c r="J129" i="1" s="1"/>
  <c r="J135" i="1" s="1"/>
  <c r="I70" i="1"/>
  <c r="I129" i="1" s="1"/>
  <c r="I135" i="1" s="1"/>
  <c r="H70" i="1"/>
  <c r="H129" i="1" s="1"/>
  <c r="H135" i="1" s="1"/>
  <c r="F70" i="1"/>
  <c r="F129" i="1" s="1"/>
  <c r="F135" i="1" s="1"/>
  <c r="F65" i="1"/>
  <c r="F123" i="1" s="1"/>
  <c r="Q64" i="1"/>
  <c r="P64" i="1"/>
  <c r="O64" i="1"/>
  <c r="N64" i="1"/>
  <c r="M64" i="1"/>
  <c r="L64" i="1"/>
  <c r="K64" i="1"/>
  <c r="J64" i="1"/>
  <c r="I64" i="1"/>
  <c r="H64" i="1"/>
  <c r="F64" i="1"/>
  <c r="J63" i="1"/>
  <c r="J107" i="1" s="1"/>
  <c r="Q62" i="1"/>
  <c r="Q144" i="1" s="1"/>
  <c r="P62" i="1"/>
  <c r="P112" i="1" s="1"/>
  <c r="O62" i="1"/>
  <c r="O144" i="1" s="1"/>
  <c r="N62" i="1"/>
  <c r="N112" i="1" s="1"/>
  <c r="M62" i="1"/>
  <c r="M112" i="1" s="1"/>
  <c r="L62" i="1"/>
  <c r="L112" i="1" s="1"/>
  <c r="K62" i="1"/>
  <c r="K81" i="1" s="1"/>
  <c r="J62" i="1"/>
  <c r="J144" i="1" s="1"/>
  <c r="I62" i="1"/>
  <c r="I144" i="1" s="1"/>
  <c r="H62" i="1"/>
  <c r="H144" i="1" s="1"/>
  <c r="F62" i="1"/>
  <c r="F144" i="1" s="1"/>
  <c r="Q61" i="1"/>
  <c r="Q143" i="1" s="1"/>
  <c r="P61" i="1"/>
  <c r="P143" i="1" s="1"/>
  <c r="O61" i="1"/>
  <c r="N61" i="1"/>
  <c r="M61" i="1"/>
  <c r="M111" i="1" s="1"/>
  <c r="L61" i="1"/>
  <c r="L143" i="1" s="1"/>
  <c r="K61" i="1"/>
  <c r="K143" i="1" s="1"/>
  <c r="J61" i="1"/>
  <c r="J143" i="1" s="1"/>
  <c r="I61" i="1"/>
  <c r="I143" i="1" s="1"/>
  <c r="H61" i="1"/>
  <c r="H143" i="1" s="1"/>
  <c r="F61" i="1"/>
  <c r="F111" i="1" s="1"/>
  <c r="Q60" i="1"/>
  <c r="P60" i="1"/>
  <c r="P110" i="1" s="1"/>
  <c r="O60" i="1"/>
  <c r="O142" i="1" s="1"/>
  <c r="N60" i="1"/>
  <c r="N142" i="1" s="1"/>
  <c r="M60" i="1"/>
  <c r="M142" i="1" s="1"/>
  <c r="L60" i="1"/>
  <c r="L142" i="1" s="1"/>
  <c r="K60" i="1"/>
  <c r="K110" i="1" s="1"/>
  <c r="J60" i="1"/>
  <c r="J110" i="1" s="1"/>
  <c r="I60" i="1"/>
  <c r="H60" i="1"/>
  <c r="H110" i="1" s="1"/>
  <c r="F60" i="1"/>
  <c r="F142" i="1" s="1"/>
  <c r="H58" i="1"/>
  <c r="H108" i="1" s="1"/>
  <c r="H141" i="1" s="1"/>
  <c r="F58" i="1"/>
  <c r="Q57" i="1"/>
  <c r="P57" i="1"/>
  <c r="O57" i="1"/>
  <c r="O113" i="1" s="1"/>
  <c r="N57" i="1"/>
  <c r="N130" i="1" s="1"/>
  <c r="N134" i="1" s="1"/>
  <c r="M57" i="1"/>
  <c r="M130" i="1" s="1"/>
  <c r="M134" i="1" s="1"/>
  <c r="L57" i="1"/>
  <c r="L130" i="1" s="1"/>
  <c r="L134" i="1" s="1"/>
  <c r="K57" i="1"/>
  <c r="K130" i="1" s="1"/>
  <c r="K134" i="1" s="1"/>
  <c r="J57" i="1"/>
  <c r="J130" i="1" s="1"/>
  <c r="I57" i="1"/>
  <c r="I130" i="1" s="1"/>
  <c r="H57" i="1"/>
  <c r="F57" i="1"/>
  <c r="F113" i="1" s="1"/>
  <c r="H51" i="1"/>
  <c r="I51" i="1" s="1"/>
  <c r="J51" i="1" s="1"/>
  <c r="K51" i="1" s="1"/>
  <c r="L51" i="1" s="1"/>
  <c r="M51" i="1" s="1"/>
  <c r="N51" i="1" s="1"/>
  <c r="O51" i="1" s="1"/>
  <c r="P51" i="1" s="1"/>
  <c r="Q51" i="1" s="1"/>
  <c r="Q48" i="1"/>
  <c r="P48" i="1"/>
  <c r="O48" i="1"/>
  <c r="N48" i="1"/>
  <c r="M48" i="1"/>
  <c r="L48" i="1"/>
  <c r="K48" i="1"/>
  <c r="J48" i="1"/>
  <c r="I48" i="1"/>
  <c r="H48" i="1"/>
  <c r="F48" i="1"/>
  <c r="Q47" i="1"/>
  <c r="P47" i="1"/>
  <c r="O47" i="1"/>
  <c r="N47" i="1"/>
  <c r="M47" i="1"/>
  <c r="L47" i="1"/>
  <c r="K47" i="1"/>
  <c r="J47" i="1"/>
  <c r="I47" i="1"/>
  <c r="H47" i="1"/>
  <c r="F47" i="1"/>
  <c r="Q45" i="1"/>
  <c r="P45" i="1"/>
  <c r="O45" i="1"/>
  <c r="N45" i="1"/>
  <c r="M45" i="1"/>
  <c r="L45" i="1"/>
  <c r="K45" i="1"/>
  <c r="J45" i="1"/>
  <c r="I45" i="1"/>
  <c r="H45" i="1"/>
  <c r="F45" i="1"/>
  <c r="Q44" i="1"/>
  <c r="P44" i="1"/>
  <c r="O44" i="1"/>
  <c r="N44" i="1"/>
  <c r="M44" i="1"/>
  <c r="L44" i="1"/>
  <c r="K44" i="1"/>
  <c r="J44" i="1"/>
  <c r="I44" i="1"/>
  <c r="H44" i="1"/>
  <c r="F44" i="1"/>
  <c r="CN34" i="1"/>
  <c r="CM34" i="1"/>
  <c r="CL34" i="1"/>
  <c r="BN34" i="1"/>
  <c r="BM34" i="1"/>
  <c r="BL34" i="1"/>
  <c r="BK34" i="1"/>
  <c r="BJ34" i="1"/>
  <c r="BI34" i="1"/>
  <c r="BH34" i="1"/>
  <c r="BG34" i="1"/>
  <c r="BF34" i="1"/>
  <c r="BE34" i="1"/>
  <c r="BD34" i="1"/>
  <c r="CN33" i="1"/>
  <c r="CM33" i="1"/>
  <c r="CH33" i="1"/>
  <c r="CH34" i="1" s="1"/>
  <c r="CG33" i="1"/>
  <c r="CG34" i="1" s="1"/>
  <c r="CF33" i="1"/>
  <c r="CF34" i="1" s="1"/>
  <c r="CE33" i="1"/>
  <c r="CE34" i="1" s="1"/>
  <c r="CL33" i="1"/>
  <c r="CK33" i="1"/>
  <c r="CK34" i="1" s="1"/>
  <c r="CJ33" i="1"/>
  <c r="CJ34" i="1" s="1"/>
  <c r="CD33" i="1"/>
  <c r="CD34" i="1" s="1"/>
  <c r="DN28" i="1"/>
  <c r="CE28" i="1"/>
  <c r="DE28" i="1" s="1"/>
  <c r="BN28" i="1"/>
  <c r="BM28" i="1"/>
  <c r="CM28" i="1" s="1"/>
  <c r="DM28" i="1" s="1"/>
  <c r="BL28" i="1"/>
  <c r="CL28" i="1" s="1"/>
  <c r="DL28" i="1" s="1"/>
  <c r="BH28" i="1"/>
  <c r="BG28" i="1"/>
  <c r="BF28" i="1"/>
  <c r="BE28" i="1"/>
  <c r="BD28" i="1"/>
  <c r="CD28" i="1" s="1"/>
  <c r="DD28" i="1" s="1"/>
  <c r="CN28" i="1"/>
  <c r="P331" i="1"/>
  <c r="O331" i="1"/>
  <c r="I331" i="1"/>
  <c r="H331" i="1"/>
  <c r="F331" i="1"/>
  <c r="A28" i="1"/>
  <c r="CK27" i="1"/>
  <c r="DK27" i="1" s="1"/>
  <c r="BN27" i="1"/>
  <c r="BL27" i="1"/>
  <c r="BK27" i="1"/>
  <c r="BJ27" i="1"/>
  <c r="CJ27" i="1" s="1"/>
  <c r="DJ27" i="1" s="1"/>
  <c r="BD27" i="1"/>
  <c r="BM27" i="1"/>
  <c r="O319" i="1"/>
  <c r="N319" i="1"/>
  <c r="M319" i="1"/>
  <c r="BG27" i="1"/>
  <c r="F319" i="1"/>
  <c r="F320" i="1" s="1"/>
  <c r="A27" i="1"/>
  <c r="BL26" i="1"/>
  <c r="BK26" i="1"/>
  <c r="BJ26" i="1"/>
  <c r="BI26" i="1"/>
  <c r="CI26" i="1" s="1"/>
  <c r="DI26" i="1" s="1"/>
  <c r="BH26" i="1"/>
  <c r="CH26" i="1" s="1"/>
  <c r="DH26" i="1" s="1"/>
  <c r="BD26" i="1"/>
  <c r="M314" i="1"/>
  <c r="L314" i="1"/>
  <c r="K314" i="1"/>
  <c r="J314" i="1"/>
  <c r="I314" i="1"/>
  <c r="H314" i="1"/>
  <c r="H316" i="1" s="1"/>
  <c r="A26" i="1"/>
  <c r="H315" i="1" s="1"/>
  <c r="CG25" i="1"/>
  <c r="DG25" i="1" s="1"/>
  <c r="CF25" i="1"/>
  <c r="DF25" i="1" s="1"/>
  <c r="BH25" i="1"/>
  <c r="BG25" i="1"/>
  <c r="BF25" i="1"/>
  <c r="O302" i="1"/>
  <c r="N302" i="1"/>
  <c r="K302" i="1"/>
  <c r="J302" i="1"/>
  <c r="I302" i="1"/>
  <c r="F302" i="1"/>
  <c r="A25" i="1"/>
  <c r="BH24" i="1"/>
  <c r="BG24" i="1"/>
  <c r="F297" i="1"/>
  <c r="A24" i="1"/>
  <c r="BN23" i="1"/>
  <c r="BM23" i="1"/>
  <c r="BL23" i="1"/>
  <c r="BK23" i="1"/>
  <c r="BJ23" i="1"/>
  <c r="BF23" i="1"/>
  <c r="BE23" i="1"/>
  <c r="BD23" i="1"/>
  <c r="F56" i="1"/>
  <c r="F122" i="1" s="1"/>
  <c r="A23" i="1"/>
  <c r="BL22" i="1"/>
  <c r="BK22" i="1"/>
  <c r="BJ22" i="1"/>
  <c r="BI22" i="1"/>
  <c r="BH22" i="1"/>
  <c r="BD22" i="1"/>
  <c r="A22" i="1"/>
  <c r="O269" i="1" s="1"/>
  <c r="BH21" i="1"/>
  <c r="Q249" i="1"/>
  <c r="Q251" i="1" s="1"/>
  <c r="Q260" i="1" s="1"/>
  <c r="K249" i="1"/>
  <c r="K251" i="1" s="1"/>
  <c r="K260" i="1" s="1"/>
  <c r="J249" i="1"/>
  <c r="J251" i="1" s="1"/>
  <c r="J260" i="1" s="1"/>
  <c r="I249" i="1"/>
  <c r="I251" i="1" s="1"/>
  <c r="I260" i="1" s="1"/>
  <c r="F249" i="1"/>
  <c r="F251" i="1" s="1"/>
  <c r="F260" i="1" s="1"/>
  <c r="F263" i="1" s="1"/>
  <c r="A21" i="1"/>
  <c r="I67" i="1" s="1"/>
  <c r="BG20" i="1"/>
  <c r="BF20" i="1"/>
  <c r="A20" i="1"/>
  <c r="BN20" i="1" s="1"/>
  <c r="BN16" i="1"/>
  <c r="BG16" i="1"/>
  <c r="CG16" i="1" s="1"/>
  <c r="DG16" i="1" s="1"/>
  <c r="BF16" i="1"/>
  <c r="W16" i="1" s="1"/>
  <c r="BD16" i="1"/>
  <c r="CD16" i="1" s="1"/>
  <c r="DD16" i="1" s="1"/>
  <c r="AE16" i="1"/>
  <c r="Q231" i="1"/>
  <c r="K231" i="1"/>
  <c r="J231" i="1"/>
  <c r="I231" i="1"/>
  <c r="A16" i="1"/>
  <c r="DH15" i="1"/>
  <c r="BN15" i="1"/>
  <c r="BM15" i="1"/>
  <c r="CM15" i="1" s="1"/>
  <c r="DM15" i="1" s="1"/>
  <c r="BL15" i="1"/>
  <c r="CL15" i="1" s="1"/>
  <c r="DL15" i="1" s="1"/>
  <c r="BH15" i="1"/>
  <c r="CH15" i="1" s="1"/>
  <c r="BG15" i="1"/>
  <c r="X15" i="1" s="1"/>
  <c r="Y15" i="1"/>
  <c r="P218" i="1"/>
  <c r="L218" i="1"/>
  <c r="K218" i="1"/>
  <c r="J218" i="1"/>
  <c r="A15" i="1"/>
  <c r="DI13" i="1"/>
  <c r="CF13" i="1"/>
  <c r="DF13" i="1" s="1"/>
  <c r="BN13" i="1"/>
  <c r="BM13" i="1"/>
  <c r="BI13" i="1"/>
  <c r="CI13" i="1" s="1"/>
  <c r="BH13" i="1"/>
  <c r="BG13" i="1"/>
  <c r="BF13" i="1"/>
  <c r="BE13" i="1"/>
  <c r="Z13" i="1"/>
  <c r="Y13" i="1"/>
  <c r="N207" i="1"/>
  <c r="M207" i="1"/>
  <c r="A13" i="1"/>
  <c r="L208" i="1" s="1"/>
  <c r="DI12" i="1"/>
  <c r="CK12" i="1"/>
  <c r="DK12" i="1" s="1"/>
  <c r="BN12" i="1"/>
  <c r="BM12" i="1"/>
  <c r="BK12" i="1"/>
  <c r="BJ12" i="1"/>
  <c r="BI12" i="1"/>
  <c r="BH12" i="1"/>
  <c r="BG12" i="1"/>
  <c r="BF12" i="1"/>
  <c r="BE12" i="1"/>
  <c r="Z12" i="1"/>
  <c r="CN12" i="1"/>
  <c r="DN12" i="1" s="1"/>
  <c r="O200" i="1"/>
  <c r="N200" i="1"/>
  <c r="CI12" i="1"/>
  <c r="A12" i="1"/>
  <c r="CK11" i="1"/>
  <c r="DK11" i="1" s="1"/>
  <c r="CH11" i="1"/>
  <c r="DH11" i="1" s="1"/>
  <c r="BN11" i="1"/>
  <c r="BL11" i="1"/>
  <c r="CL11" i="1" s="1"/>
  <c r="DL11" i="1" s="1"/>
  <c r="BK11" i="1"/>
  <c r="AB11" i="1" s="1"/>
  <c r="BJ11" i="1"/>
  <c r="AA11" i="1" s="1"/>
  <c r="BH11" i="1"/>
  <c r="BG11" i="1"/>
  <c r="BD11" i="1"/>
  <c r="AC11" i="1"/>
  <c r="U11" i="1"/>
  <c r="P190" i="1"/>
  <c r="O190" i="1"/>
  <c r="H190" i="1"/>
  <c r="F190" i="1"/>
  <c r="A11" i="1"/>
  <c r="BE10" i="1"/>
  <c r="P182" i="1"/>
  <c r="O58" i="1"/>
  <c r="H182" i="1"/>
  <c r="F182" i="1"/>
  <c r="F184" i="1" s="1"/>
  <c r="F187" i="1" s="1"/>
  <c r="A10" i="1"/>
  <c r="CH9" i="1"/>
  <c r="DH9" i="1" s="1"/>
  <c r="BM9" i="1"/>
  <c r="CM9" i="1" s="1"/>
  <c r="DM9" i="1" s="1"/>
  <c r="BL9" i="1"/>
  <c r="BK9" i="1"/>
  <c r="CK9" i="1" s="1"/>
  <c r="DK9" i="1" s="1"/>
  <c r="BJ9" i="1"/>
  <c r="CJ9" i="1" s="1"/>
  <c r="DJ9" i="1" s="1"/>
  <c r="BH9" i="1"/>
  <c r="BF9" i="1"/>
  <c r="BD9" i="1"/>
  <c r="AD9" i="1"/>
  <c r="AC9" i="1"/>
  <c r="U9" i="1"/>
  <c r="N172" i="1"/>
  <c r="L172" i="1"/>
  <c r="K172" i="1"/>
  <c r="A9" i="1"/>
  <c r="BE8" i="1"/>
  <c r="Q167" i="1"/>
  <c r="O167" i="1"/>
  <c r="L167" i="1"/>
  <c r="I167" i="1"/>
  <c r="F167" i="1"/>
  <c r="A8" i="1"/>
  <c r="CK5" i="1"/>
  <c r="DK5" i="1" s="1"/>
  <c r="BK5" i="1"/>
  <c r="Q5" i="1"/>
  <c r="P5" i="1"/>
  <c r="O5" i="1"/>
  <c r="N5" i="1"/>
  <c r="M5" i="1"/>
  <c r="L5" i="1"/>
  <c r="K5" i="1"/>
  <c r="J5" i="1"/>
  <c r="I5" i="1"/>
  <c r="H5" i="1"/>
  <c r="F5" i="1"/>
  <c r="D5" i="1"/>
  <c r="AB4" i="1"/>
  <c r="AA4" i="1"/>
  <c r="Q4" i="1"/>
  <c r="AG4" i="1" s="1"/>
  <c r="P4" i="1"/>
  <c r="AD4" i="1" s="1"/>
  <c r="O4" i="1"/>
  <c r="AC4" i="1" s="1"/>
  <c r="N4" i="1"/>
  <c r="M4" i="1"/>
  <c r="BJ5" i="1" s="1"/>
  <c r="CJ5" i="1" s="1"/>
  <c r="DJ5" i="1" s="1"/>
  <c r="L4" i="1"/>
  <c r="Z4" i="1" s="1"/>
  <c r="K4" i="1"/>
  <c r="Y4" i="1" s="1"/>
  <c r="J4" i="1"/>
  <c r="BG5" i="1" s="1"/>
  <c r="CG5" i="1" s="1"/>
  <c r="DG5" i="1" s="1"/>
  <c r="I4" i="1"/>
  <c r="BF5" i="1" s="1"/>
  <c r="CF5" i="1" s="1"/>
  <c r="DF5" i="1" s="1"/>
  <c r="H4" i="1"/>
  <c r="F4" i="1"/>
  <c r="U4" i="1" s="1"/>
  <c r="D4" i="1"/>
  <c r="B4" i="1"/>
  <c r="B3" i="1"/>
  <c r="B2" i="1"/>
  <c r="B1" i="1"/>
  <c r="C23" i="4" l="1"/>
  <c r="E29" i="4"/>
  <c r="E30" i="4" s="1"/>
  <c r="G7" i="4"/>
  <c r="E27" i="4"/>
  <c r="I93" i="3"/>
  <c r="I94" i="3"/>
  <c r="J94" i="3"/>
  <c r="J93" i="3"/>
  <c r="N94" i="3"/>
  <c r="N93" i="3"/>
  <c r="G93" i="3"/>
  <c r="G94" i="3"/>
  <c r="O93" i="3"/>
  <c r="O94" i="3"/>
  <c r="E94" i="3"/>
  <c r="E93" i="3"/>
  <c r="H93" i="3"/>
  <c r="H94" i="3"/>
  <c r="P93" i="3"/>
  <c r="P94" i="3"/>
  <c r="K93" i="3"/>
  <c r="L93" i="3"/>
  <c r="C64" i="2"/>
  <c r="C65" i="2" s="1"/>
  <c r="C59" i="2" s="1"/>
  <c r="C60" i="2" s="1"/>
  <c r="E64" i="2"/>
  <c r="E65" i="2" s="1"/>
  <c r="E59" i="2" s="1"/>
  <c r="O304" i="1"/>
  <c r="O311" i="1" s="1"/>
  <c r="X16" i="1"/>
  <c r="F327" i="1"/>
  <c r="O105" i="1"/>
  <c r="CF20" i="1"/>
  <c r="K237" i="1"/>
  <c r="K239" i="1" s="1"/>
  <c r="K246" i="1" s="1"/>
  <c r="L302" i="1"/>
  <c r="CI25" i="1"/>
  <c r="DI25" i="1" s="1"/>
  <c r="F125" i="1"/>
  <c r="F82" i="1"/>
  <c r="F150" i="1" s="1"/>
  <c r="O125" i="1"/>
  <c r="O82" i="1"/>
  <c r="O150" i="1" s="1"/>
  <c r="BD5" i="1"/>
  <c r="CD5" i="1" s="1"/>
  <c r="DD5" i="1" s="1"/>
  <c r="BN10" i="1"/>
  <c r="AE10" i="1" s="1"/>
  <c r="BF10" i="1"/>
  <c r="CL10" i="1"/>
  <c r="DL10" i="1" s="1"/>
  <c r="BM10" i="1"/>
  <c r="CM10" i="1" s="1"/>
  <c r="DM10" i="1" s="1"/>
  <c r="BD10" i="1"/>
  <c r="U10" i="1" s="1"/>
  <c r="CJ10" i="1"/>
  <c r="DJ10" i="1" s="1"/>
  <c r="BL10" i="1"/>
  <c r="AC10" i="1" s="1"/>
  <c r="BK10" i="1"/>
  <c r="CK10" i="1" s="1"/>
  <c r="DK10" i="1" s="1"/>
  <c r="CI10" i="1"/>
  <c r="DI10" i="1" s="1"/>
  <c r="CF10" i="1"/>
  <c r="DF10" i="1" s="1"/>
  <c r="BH10" i="1"/>
  <c r="Y10" i="1" s="1"/>
  <c r="CH10" i="1"/>
  <c r="DH10" i="1" s="1"/>
  <c r="BJ10" i="1"/>
  <c r="AA10" i="1" s="1"/>
  <c r="CG10" i="1"/>
  <c r="DG10" i="1" s="1"/>
  <c r="BI10" i="1"/>
  <c r="H207" i="1"/>
  <c r="V13" i="1"/>
  <c r="P207" i="1"/>
  <c r="AD13" i="1"/>
  <c r="CM13" i="1"/>
  <c r="DM13" i="1" s="1"/>
  <c r="N231" i="1"/>
  <c r="N233" i="1" s="1"/>
  <c r="BK16" i="1"/>
  <c r="AB16" i="1" s="1"/>
  <c r="I126" i="1"/>
  <c r="I86" i="1"/>
  <c r="I154" i="1" s="1"/>
  <c r="H200" i="1"/>
  <c r="H202" i="1" s="1"/>
  <c r="H204" i="1" s="1"/>
  <c r="CE12" i="1"/>
  <c r="DE12" i="1" s="1"/>
  <c r="V12" i="1"/>
  <c r="P200" i="1"/>
  <c r="CM12" i="1"/>
  <c r="DM12" i="1" s="1"/>
  <c r="F314" i="1"/>
  <c r="CD26" i="1"/>
  <c r="DD26" i="1" s="1"/>
  <c r="O314" i="1"/>
  <c r="O316" i="1" s="1"/>
  <c r="CL26" i="1"/>
  <c r="DL26" i="1" s="1"/>
  <c r="BE5" i="1"/>
  <c r="CE5" i="1" s="1"/>
  <c r="DE5" i="1" s="1"/>
  <c r="V4" i="1"/>
  <c r="Q168" i="1"/>
  <c r="I168" i="1"/>
  <c r="H168" i="1"/>
  <c r="P168" i="1"/>
  <c r="F168" i="1"/>
  <c r="F169" i="1" s="1"/>
  <c r="O168" i="1"/>
  <c r="O169" i="1" s="1"/>
  <c r="N168" i="1"/>
  <c r="M168" i="1"/>
  <c r="L168" i="1"/>
  <c r="BH8" i="1"/>
  <c r="CH8" i="1" s="1"/>
  <c r="K168" i="1"/>
  <c r="BM8" i="1"/>
  <c r="BD8" i="1"/>
  <c r="BG8" i="1"/>
  <c r="BL8" i="1"/>
  <c r="AC8" i="1" s="1"/>
  <c r="BK8" i="1"/>
  <c r="BI8" i="1"/>
  <c r="BJ8" i="1"/>
  <c r="BF8" i="1"/>
  <c r="AG51" i="1"/>
  <c r="AH51" i="1" s="1"/>
  <c r="AI51" i="1" s="1"/>
  <c r="AJ51" i="1" s="1"/>
  <c r="AK51" i="1" s="1"/>
  <c r="AL51" i="1" s="1"/>
  <c r="AM51" i="1" s="1"/>
  <c r="AN51" i="1" s="1"/>
  <c r="AO51" i="1" s="1"/>
  <c r="AP51" i="1" s="1"/>
  <c r="BO51" i="1"/>
  <c r="BP51" i="1" s="1"/>
  <c r="BQ51" i="1" s="1"/>
  <c r="BR51" i="1" s="1"/>
  <c r="BS51" i="1" s="1"/>
  <c r="BT51" i="1" s="1"/>
  <c r="BU51" i="1" s="1"/>
  <c r="BV51" i="1" s="1"/>
  <c r="BW51" i="1" s="1"/>
  <c r="BX51" i="1" s="1"/>
  <c r="BO5" i="1"/>
  <c r="CO5" i="1" s="1"/>
  <c r="DO5" i="1" s="1"/>
  <c r="AH4" i="1"/>
  <c r="AB8" i="1"/>
  <c r="N167" i="1"/>
  <c r="CK8" i="1"/>
  <c r="BN8" i="1"/>
  <c r="L237" i="1"/>
  <c r="L239" i="1" s="1"/>
  <c r="L246" i="1" s="1"/>
  <c r="M58" i="1"/>
  <c r="M182" i="1"/>
  <c r="M184" i="1" s="1"/>
  <c r="M187" i="1" s="1"/>
  <c r="BG10" i="1"/>
  <c r="X10" i="1" s="1"/>
  <c r="AD12" i="1"/>
  <c r="F207" i="1"/>
  <c r="F209" i="1" s="1"/>
  <c r="O207" i="1"/>
  <c r="CL13" i="1"/>
  <c r="DL13" i="1" s="1"/>
  <c r="N182" i="1"/>
  <c r="N184" i="1" s="1"/>
  <c r="N187" i="1" s="1"/>
  <c r="N58" i="1"/>
  <c r="AB10" i="1"/>
  <c r="BL5" i="1"/>
  <c r="CL5" i="1" s="1"/>
  <c r="DL5" i="1" s="1"/>
  <c r="J172" i="1"/>
  <c r="CE10" i="1"/>
  <c r="DE10" i="1" s="1"/>
  <c r="P192" i="1"/>
  <c r="P197" i="1" s="1"/>
  <c r="P226" i="1"/>
  <c r="P219" i="1"/>
  <c r="P220" i="1" s="1"/>
  <c r="M167" i="1"/>
  <c r="M169" i="1" s="1"/>
  <c r="CJ8" i="1"/>
  <c r="AA8" i="1"/>
  <c r="I200" i="1"/>
  <c r="I202" i="1" s="1"/>
  <c r="I204" i="1" s="1"/>
  <c r="W12" i="1"/>
  <c r="CF12" i="1"/>
  <c r="DF12" i="1" s="1"/>
  <c r="Q200" i="1"/>
  <c r="AE12" i="1"/>
  <c r="CN20" i="1"/>
  <c r="J168" i="1"/>
  <c r="I172" i="1"/>
  <c r="I174" i="1" s="1"/>
  <c r="I179" i="1" s="1"/>
  <c r="CF9" i="1"/>
  <c r="DF9" i="1" s="1"/>
  <c r="W9" i="1"/>
  <c r="Q172" i="1"/>
  <c r="AE9" i="1"/>
  <c r="F231" i="1"/>
  <c r="F233" i="1" s="1"/>
  <c r="U16" i="1"/>
  <c r="O231" i="1"/>
  <c r="O233" i="1" s="1"/>
  <c r="BL16" i="1"/>
  <c r="CL16" i="1" s="1"/>
  <c r="DL16" i="1" s="1"/>
  <c r="N298" i="1"/>
  <c r="M298" i="1"/>
  <c r="K298" i="1"/>
  <c r="I298" i="1"/>
  <c r="H298" i="1"/>
  <c r="F298" i="1"/>
  <c r="P298" i="1"/>
  <c r="O298" i="1"/>
  <c r="L298" i="1"/>
  <c r="BK24" i="1"/>
  <c r="BJ24" i="1"/>
  <c r="BI24" i="1"/>
  <c r="J298" i="1"/>
  <c r="BN24" i="1"/>
  <c r="BN29" i="1" s="1"/>
  <c r="BM24" i="1"/>
  <c r="BL24" i="1"/>
  <c r="BD24" i="1"/>
  <c r="CD24" i="1" s="1"/>
  <c r="DD24" i="1" s="1"/>
  <c r="BF24" i="1"/>
  <c r="Q298" i="1"/>
  <c r="BE24" i="1"/>
  <c r="BM5" i="1"/>
  <c r="CM5" i="1" s="1"/>
  <c r="DM5" i="1" s="1"/>
  <c r="I190" i="1"/>
  <c r="Q190" i="1"/>
  <c r="Q192" i="1" s="1"/>
  <c r="Q197" i="1" s="1"/>
  <c r="AE11" i="1"/>
  <c r="CN11" i="1"/>
  <c r="DN11" i="1" s="1"/>
  <c r="CN10" i="1"/>
  <c r="DN10" i="1" s="1"/>
  <c r="J190" i="1"/>
  <c r="CG11" i="1"/>
  <c r="DG11" i="1" s="1"/>
  <c r="X11" i="1"/>
  <c r="CE13" i="1"/>
  <c r="DE13" i="1" s="1"/>
  <c r="H249" i="1"/>
  <c r="H251" i="1" s="1"/>
  <c r="H260" i="1" s="1"/>
  <c r="H263" i="1" s="1"/>
  <c r="H67" i="1"/>
  <c r="P249" i="1"/>
  <c r="P251" i="1" s="1"/>
  <c r="P260" i="1" s="1"/>
  <c r="P263" i="1" s="1"/>
  <c r="P67" i="1"/>
  <c r="Q207" i="1"/>
  <c r="AE13" i="1"/>
  <c r="M218" i="1"/>
  <c r="M63" i="1"/>
  <c r="M107" i="1" s="1"/>
  <c r="BJ15" i="1"/>
  <c r="CJ15" i="1" s="1"/>
  <c r="DJ15" i="1" s="1"/>
  <c r="H231" i="1"/>
  <c r="H233" i="1" s="1"/>
  <c r="BE16" i="1"/>
  <c r="CE16" i="1" s="1"/>
  <c r="DE16" i="1" s="1"/>
  <c r="P314" i="1"/>
  <c r="P316" i="1" s="1"/>
  <c r="F239" i="1"/>
  <c r="F246" i="1" s="1"/>
  <c r="H184" i="1"/>
  <c r="H187" i="1" s="1"/>
  <c r="L190" i="1"/>
  <c r="K200" i="1"/>
  <c r="CH12" i="1"/>
  <c r="DH12" i="1" s="1"/>
  <c r="N218" i="1"/>
  <c r="N63" i="1"/>
  <c r="N107" i="1" s="1"/>
  <c r="BK15" i="1"/>
  <c r="CK15" i="1" s="1"/>
  <c r="DK15" i="1" s="1"/>
  <c r="N237" i="1"/>
  <c r="CK20" i="1"/>
  <c r="BI20" i="1"/>
  <c r="BI21" i="1"/>
  <c r="CI21" i="1" s="1"/>
  <c r="DI21" i="1" s="1"/>
  <c r="P58" i="1"/>
  <c r="M237" i="1"/>
  <c r="AE4" i="1"/>
  <c r="BH5" i="1"/>
  <c r="CH5" i="1" s="1"/>
  <c r="DH5" i="1" s="1"/>
  <c r="I169" i="1"/>
  <c r="O173" i="1"/>
  <c r="F173" i="1"/>
  <c r="K173" i="1"/>
  <c r="J173" i="1"/>
  <c r="I173" i="1"/>
  <c r="L173" i="1"/>
  <c r="L174" i="1" s="1"/>
  <c r="L179" i="1" s="1"/>
  <c r="H173" i="1"/>
  <c r="H174" i="1" s="1"/>
  <c r="H179" i="1" s="1"/>
  <c r="BG9" i="1"/>
  <c r="X9" i="1" s="1"/>
  <c r="Q173" i="1"/>
  <c r="M172" i="1"/>
  <c r="M174" i="1" s="1"/>
  <c r="M179" i="1" s="1"/>
  <c r="AA9" i="1"/>
  <c r="BE9" i="1"/>
  <c r="BN9" i="1"/>
  <c r="CN9" i="1" s="1"/>
  <c r="DN9" i="1" s="1"/>
  <c r="I182" i="1"/>
  <c r="I184" i="1" s="1"/>
  <c r="I187" i="1" s="1"/>
  <c r="I58" i="1"/>
  <c r="Q182" i="1"/>
  <c r="Q184" i="1" s="1"/>
  <c r="Q187" i="1" s="1"/>
  <c r="Q58" i="1"/>
  <c r="O191" i="1"/>
  <c r="F191" i="1"/>
  <c r="N191" i="1"/>
  <c r="N192" i="1" s="1"/>
  <c r="N197" i="1" s="1"/>
  <c r="L191" i="1"/>
  <c r="P191" i="1"/>
  <c r="M191" i="1"/>
  <c r="J191" i="1"/>
  <c r="I191" i="1"/>
  <c r="H191" i="1"/>
  <c r="Q191" i="1"/>
  <c r="BM11" i="1"/>
  <c r="BE11" i="1"/>
  <c r="K191" i="1"/>
  <c r="M190" i="1"/>
  <c r="CJ11" i="1"/>
  <c r="DJ11" i="1" s="1"/>
  <c r="BF11" i="1"/>
  <c r="W11" i="1" s="1"/>
  <c r="CD11" i="1"/>
  <c r="DD11" i="1" s="1"/>
  <c r="Y12" i="1"/>
  <c r="CH13" i="1"/>
  <c r="DH13" i="1" s="1"/>
  <c r="F218" i="1"/>
  <c r="F63" i="1"/>
  <c r="F107" i="1" s="1"/>
  <c r="O218" i="1"/>
  <c r="O63" i="1"/>
  <c r="O107" i="1" s="1"/>
  <c r="AC15" i="1"/>
  <c r="BD15" i="1"/>
  <c r="CD15" i="1" s="1"/>
  <c r="DD15" i="1" s="1"/>
  <c r="U29" i="1"/>
  <c r="F121" i="1"/>
  <c r="O237" i="1"/>
  <c r="O239" i="1" s="1"/>
  <c r="O246" i="1" s="1"/>
  <c r="BN21" i="1"/>
  <c r="CN21" i="1" s="1"/>
  <c r="DN21" i="1" s="1"/>
  <c r="H302" i="1"/>
  <c r="CE25" i="1"/>
  <c r="DE25" i="1" s="1"/>
  <c r="P302" i="1"/>
  <c r="P304" i="1" s="1"/>
  <c r="P311" i="1" s="1"/>
  <c r="CM25" i="1"/>
  <c r="DM25" i="1" s="1"/>
  <c r="I319" i="1"/>
  <c r="BF27" i="1"/>
  <c r="CF27" i="1" s="1"/>
  <c r="DF27" i="1" s="1"/>
  <c r="Q319" i="1"/>
  <c r="CN27" i="1"/>
  <c r="DN27" i="1" s="1"/>
  <c r="CI33" i="1"/>
  <c r="CI34" i="1" s="1"/>
  <c r="AG95" i="1"/>
  <c r="AH95" i="1" s="1"/>
  <c r="AI95" i="1" s="1"/>
  <c r="AJ95" i="1" s="1"/>
  <c r="AK95" i="1" s="1"/>
  <c r="AL95" i="1" s="1"/>
  <c r="AM95" i="1" s="1"/>
  <c r="AN95" i="1" s="1"/>
  <c r="AO95" i="1" s="1"/>
  <c r="AP95" i="1" s="1"/>
  <c r="BN5" i="1"/>
  <c r="CN5" i="1" s="1"/>
  <c r="DN5" i="1" s="1"/>
  <c r="O108" i="1"/>
  <c r="O141" i="1" s="1"/>
  <c r="O78" i="1"/>
  <c r="K190" i="1"/>
  <c r="K192" i="1" s="1"/>
  <c r="K197" i="1" s="1"/>
  <c r="Y11" i="1"/>
  <c r="P231" i="1"/>
  <c r="Q238" i="1"/>
  <c r="I238" i="1"/>
  <c r="P238" i="1"/>
  <c r="H238" i="1"/>
  <c r="N238" i="1"/>
  <c r="L238" i="1"/>
  <c r="K238" i="1"/>
  <c r="BK20" i="1"/>
  <c r="O238" i="1"/>
  <c r="M238" i="1"/>
  <c r="BM20" i="1"/>
  <c r="BD20" i="1"/>
  <c r="J238" i="1"/>
  <c r="BL20" i="1"/>
  <c r="F238" i="1"/>
  <c r="BJ20" i="1"/>
  <c r="CJ20" i="1" s="1"/>
  <c r="BH20" i="1"/>
  <c r="H167" i="1"/>
  <c r="H169" i="1" s="1"/>
  <c r="CE8" i="1"/>
  <c r="W4" i="1"/>
  <c r="BI5" i="1"/>
  <c r="CI5" i="1" s="1"/>
  <c r="DI5" i="1" s="1"/>
  <c r="J167" i="1"/>
  <c r="U8" i="1"/>
  <c r="Y9" i="1"/>
  <c r="H218" i="1"/>
  <c r="BE15" i="1"/>
  <c r="CE15" i="1" s="1"/>
  <c r="DE15" i="1" s="1"/>
  <c r="H78" i="1"/>
  <c r="X4" i="1"/>
  <c r="K167" i="1"/>
  <c r="K169" i="1" s="1"/>
  <c r="V8" i="1"/>
  <c r="F172" i="1"/>
  <c r="F174" i="1" s="1"/>
  <c r="F179" i="1" s="1"/>
  <c r="CD9" i="1"/>
  <c r="DD9" i="1" s="1"/>
  <c r="O172" i="1"/>
  <c r="O174" i="1" s="1"/>
  <c r="O179" i="1" s="1"/>
  <c r="CL9" i="1"/>
  <c r="DL9" i="1" s="1"/>
  <c r="N202" i="1"/>
  <c r="N204" i="1" s="1"/>
  <c r="AB12" i="1"/>
  <c r="I218" i="1"/>
  <c r="AE15" i="1"/>
  <c r="Q218" i="1"/>
  <c r="CN15" i="1"/>
  <c r="DN15" i="1" s="1"/>
  <c r="Q63" i="1"/>
  <c r="Q107" i="1" s="1"/>
  <c r="BF15" i="1"/>
  <c r="W15" i="1" s="1"/>
  <c r="BM16" i="1"/>
  <c r="CM16" i="1" s="1"/>
  <c r="DM16" i="1" s="1"/>
  <c r="N249" i="1"/>
  <c r="N251" i="1" s="1"/>
  <c r="N260" i="1" s="1"/>
  <c r="N263" i="1" s="1"/>
  <c r="N67" i="1"/>
  <c r="M331" i="1"/>
  <c r="BJ28" i="1"/>
  <c r="CJ28" i="1" s="1"/>
  <c r="DJ28" i="1" s="1"/>
  <c r="I79" i="1"/>
  <c r="I142" i="1"/>
  <c r="Q142" i="1"/>
  <c r="Q79" i="1"/>
  <c r="N80" i="1"/>
  <c r="N111" i="1"/>
  <c r="I63" i="1"/>
  <c r="I107" i="1" s="1"/>
  <c r="K112" i="1"/>
  <c r="N173" i="1"/>
  <c r="N174" i="1" s="1"/>
  <c r="N179" i="1" s="1"/>
  <c r="K174" i="1"/>
  <c r="K179" i="1" s="1"/>
  <c r="J200" i="1"/>
  <c r="X12" i="1"/>
  <c r="CG12" i="1"/>
  <c r="DG12" i="1" s="1"/>
  <c r="I207" i="1"/>
  <c r="I209" i="1" s="1"/>
  <c r="W13" i="1"/>
  <c r="I125" i="1"/>
  <c r="I82" i="1"/>
  <c r="I150" i="1" s="1"/>
  <c r="Q125" i="1"/>
  <c r="Q82" i="1"/>
  <c r="Q150" i="1" s="1"/>
  <c r="J58" i="1"/>
  <c r="J182" i="1"/>
  <c r="Z11" i="1"/>
  <c r="CN13" i="1"/>
  <c r="DN13" i="1" s="1"/>
  <c r="P63" i="1"/>
  <c r="P107" i="1" s="1"/>
  <c r="AD15" i="1"/>
  <c r="BM21" i="1"/>
  <c r="CM21" i="1" s="1"/>
  <c r="DM21" i="1" s="1"/>
  <c r="BE21" i="1"/>
  <c r="CE21" i="1" s="1"/>
  <c r="DE21" i="1" s="1"/>
  <c r="BL21" i="1"/>
  <c r="CL21" i="1" s="1"/>
  <c r="DL21" i="1" s="1"/>
  <c r="BD21" i="1"/>
  <c r="CD21" i="1" s="1"/>
  <c r="DD21" i="1" s="1"/>
  <c r="BK21" i="1"/>
  <c r="CK21" i="1" s="1"/>
  <c r="DK21" i="1" s="1"/>
  <c r="BG21" i="1"/>
  <c r="CG21" i="1" s="1"/>
  <c r="DG21" i="1" s="1"/>
  <c r="K67" i="1"/>
  <c r="BF21" i="1"/>
  <c r="J67" i="1"/>
  <c r="BJ21" i="1"/>
  <c r="M249" i="1"/>
  <c r="M251" i="1" s="1"/>
  <c r="M260" i="1" s="1"/>
  <c r="M263" i="1" s="1"/>
  <c r="CJ21" i="1"/>
  <c r="DJ21" i="1" s="1"/>
  <c r="M67" i="1"/>
  <c r="F268" i="1"/>
  <c r="CD22" i="1"/>
  <c r="DD22" i="1" s="1"/>
  <c r="H63" i="1"/>
  <c r="H107" i="1" s="1"/>
  <c r="K58" i="1"/>
  <c r="K182" i="1"/>
  <c r="K184" i="1" s="1"/>
  <c r="K187" i="1" s="1"/>
  <c r="V10" i="1"/>
  <c r="F192" i="1"/>
  <c r="F197" i="1" s="1"/>
  <c r="O192" i="1"/>
  <c r="O197" i="1" s="1"/>
  <c r="CJ12" i="1"/>
  <c r="DJ12" i="1" s="1"/>
  <c r="AA12" i="1"/>
  <c r="L169" i="1"/>
  <c r="AB9" i="1"/>
  <c r="BI9" i="1"/>
  <c r="CI9" i="1" s="1"/>
  <c r="DI9" i="1" s="1"/>
  <c r="L182" i="1"/>
  <c r="L184" i="1" s="1"/>
  <c r="L187" i="1" s="1"/>
  <c r="Z10" i="1"/>
  <c r="L58" i="1"/>
  <c r="W10" i="1"/>
  <c r="H192" i="1"/>
  <c r="H197" i="1" s="1"/>
  <c r="BI11" i="1"/>
  <c r="CI11" i="1" s="1"/>
  <c r="DI11" i="1" s="1"/>
  <c r="O202" i="1"/>
  <c r="O204" i="1" s="1"/>
  <c r="AC12" i="1"/>
  <c r="L332" i="1"/>
  <c r="K232" i="1"/>
  <c r="K332" i="1"/>
  <c r="J232" i="1"/>
  <c r="J233" i="1" s="1"/>
  <c r="Q332" i="1"/>
  <c r="Q333" i="1" s="1"/>
  <c r="I332" i="1"/>
  <c r="I333" i="1" s="1"/>
  <c r="P232" i="1"/>
  <c r="H232" i="1"/>
  <c r="N332" i="1"/>
  <c r="M332" i="1"/>
  <c r="F232" i="1"/>
  <c r="J332" i="1"/>
  <c r="Q232" i="1"/>
  <c r="P332" i="1"/>
  <c r="P333" i="1" s="1"/>
  <c r="O332" i="1"/>
  <c r="H332" i="1"/>
  <c r="F332" i="1"/>
  <c r="F333" i="1" s="1"/>
  <c r="M232" i="1"/>
  <c r="L232" i="1"/>
  <c r="I232" i="1"/>
  <c r="N232" i="1"/>
  <c r="M231" i="1"/>
  <c r="M233" i="1" s="1"/>
  <c r="BJ16" i="1"/>
  <c r="CJ16" i="1" s="1"/>
  <c r="DJ16" i="1" s="1"/>
  <c r="BE20" i="1"/>
  <c r="H130" i="1"/>
  <c r="H134" i="1" s="1"/>
  <c r="H113" i="1"/>
  <c r="P130" i="1"/>
  <c r="P134" i="1" s="1"/>
  <c r="P113" i="1"/>
  <c r="Q67" i="1"/>
  <c r="K98" i="1"/>
  <c r="P167" i="1"/>
  <c r="P169" i="1" s="1"/>
  <c r="P173" i="1"/>
  <c r="P174" i="1" s="1"/>
  <c r="P179" i="1" s="1"/>
  <c r="J207" i="1"/>
  <c r="J209" i="1" s="1"/>
  <c r="X13" i="1"/>
  <c r="CG13" i="1"/>
  <c r="DG13" i="1" s="1"/>
  <c r="L231" i="1"/>
  <c r="BI16" i="1"/>
  <c r="L249" i="1"/>
  <c r="L251" i="1" s="1"/>
  <c r="L260" i="1" s="1"/>
  <c r="L263" i="1" s="1"/>
  <c r="L67" i="1"/>
  <c r="I316" i="1"/>
  <c r="K331" i="1"/>
  <c r="CH28" i="1"/>
  <c r="DH28" i="1" s="1"/>
  <c r="Q130" i="1"/>
  <c r="Q134" i="1" s="1"/>
  <c r="Q113" i="1"/>
  <c r="O143" i="1"/>
  <c r="O111" i="1"/>
  <c r="O80" i="1"/>
  <c r="F67" i="1"/>
  <c r="Q99" i="1"/>
  <c r="L202" i="1"/>
  <c r="L204" i="1" s="1"/>
  <c r="L209" i="1"/>
  <c r="Q314" i="1"/>
  <c r="J316" i="1"/>
  <c r="L331" i="1"/>
  <c r="L333" i="1" s="1"/>
  <c r="BI28" i="1"/>
  <c r="CI28" i="1" s="1"/>
  <c r="DI28" i="1" s="1"/>
  <c r="N82" i="1"/>
  <c r="N150" i="1" s="1"/>
  <c r="N125" i="1"/>
  <c r="M202" i="1"/>
  <c r="M204" i="1" s="1"/>
  <c r="O67" i="1"/>
  <c r="O249" i="1"/>
  <c r="O251" i="1" s="1"/>
  <c r="O260" i="1" s="1"/>
  <c r="O263" i="1" s="1"/>
  <c r="H319" i="1"/>
  <c r="CE27" i="1"/>
  <c r="DE27" i="1" s="1"/>
  <c r="BE27" i="1"/>
  <c r="P319" i="1"/>
  <c r="CM27" i="1"/>
  <c r="DM27" i="1" s="1"/>
  <c r="N331" i="1"/>
  <c r="N333" i="1" s="1"/>
  <c r="BK28" i="1"/>
  <c r="CK28" i="1" s="1"/>
  <c r="DK28" i="1" s="1"/>
  <c r="H125" i="1"/>
  <c r="H82" i="1"/>
  <c r="H150" i="1" s="1"/>
  <c r="P125" i="1"/>
  <c r="P82" i="1"/>
  <c r="P150" i="1" s="1"/>
  <c r="L98" i="1"/>
  <c r="M98" i="1" s="1"/>
  <c r="N98" i="1" s="1"/>
  <c r="O98" i="1" s="1"/>
  <c r="P98" i="1" s="1"/>
  <c r="Q98" i="1" s="1"/>
  <c r="J113" i="1"/>
  <c r="BJ13" i="1"/>
  <c r="J219" i="1"/>
  <c r="J226" i="1"/>
  <c r="J220" i="1"/>
  <c r="J227" i="1" s="1"/>
  <c r="BI15" i="1"/>
  <c r="I233" i="1"/>
  <c r="Q233" i="1"/>
  <c r="BH16" i="1"/>
  <c r="H237" i="1"/>
  <c r="P237" i="1"/>
  <c r="P239" i="1" s="1"/>
  <c r="P246" i="1" s="1"/>
  <c r="I263" i="1"/>
  <c r="L303" i="1"/>
  <c r="K303" i="1"/>
  <c r="Q303" i="1"/>
  <c r="Q304" i="1" s="1"/>
  <c r="Q311" i="1" s="1"/>
  <c r="I303" i="1"/>
  <c r="M303" i="1"/>
  <c r="J303" i="1"/>
  <c r="J304" i="1" s="1"/>
  <c r="J311" i="1" s="1"/>
  <c r="H303" i="1"/>
  <c r="P303" i="1"/>
  <c r="BM25" i="1"/>
  <c r="BE25" i="1"/>
  <c r="BL25" i="1"/>
  <c r="CL25" i="1" s="1"/>
  <c r="DL25" i="1" s="1"/>
  <c r="BD25" i="1"/>
  <c r="CD25" i="1" s="1"/>
  <c r="DD25" i="1" s="1"/>
  <c r="BK25" i="1"/>
  <c r="CK25" i="1" s="1"/>
  <c r="DK25" i="1" s="1"/>
  <c r="M302" i="1"/>
  <c r="M304" i="1" s="1"/>
  <c r="M311" i="1" s="1"/>
  <c r="CJ25" i="1"/>
  <c r="DJ25" i="1" s="1"/>
  <c r="BI25" i="1"/>
  <c r="CG27" i="1"/>
  <c r="DG27" i="1" s="1"/>
  <c r="K63" i="1"/>
  <c r="K107" i="1" s="1"/>
  <c r="H208" i="1"/>
  <c r="J319" i="1"/>
  <c r="Q169" i="1"/>
  <c r="N201" i="1"/>
  <c r="M201" i="1"/>
  <c r="K201" i="1"/>
  <c r="L201" i="1"/>
  <c r="J201" i="1"/>
  <c r="H201" i="1"/>
  <c r="F201" i="1"/>
  <c r="F202" i="1" s="1"/>
  <c r="F204" i="1" s="1"/>
  <c r="Q201" i="1"/>
  <c r="P201" i="1"/>
  <c r="O201" i="1"/>
  <c r="BD12" i="1"/>
  <c r="BL12" i="1"/>
  <c r="CL12" i="1" s="1"/>
  <c r="DL12" i="1" s="1"/>
  <c r="BK13" i="1"/>
  <c r="K219" i="1"/>
  <c r="K226" i="1"/>
  <c r="K220" i="1"/>
  <c r="K227" i="1" s="1"/>
  <c r="CG15" i="1"/>
  <c r="DG15" i="1" s="1"/>
  <c r="CF16" i="1"/>
  <c r="DF16" i="1" s="1"/>
  <c r="CN16" i="1"/>
  <c r="DN16" i="1" s="1"/>
  <c r="I237" i="1"/>
  <c r="I239" i="1" s="1"/>
  <c r="I246" i="1" s="1"/>
  <c r="Q237" i="1"/>
  <c r="Q239" i="1" s="1"/>
  <c r="Q246" i="1" s="1"/>
  <c r="CF21" i="1"/>
  <c r="DF21" i="1" s="1"/>
  <c r="BJ25" i="1"/>
  <c r="K319" i="1"/>
  <c r="BH27" i="1"/>
  <c r="CH27" i="1" s="1"/>
  <c r="DH27" i="1" s="1"/>
  <c r="L63" i="1"/>
  <c r="L107" i="1" s="1"/>
  <c r="M79" i="1"/>
  <c r="P80" i="1"/>
  <c r="F100" i="1"/>
  <c r="H100" i="1" s="1"/>
  <c r="I100" i="1" s="1"/>
  <c r="J100" i="1" s="1"/>
  <c r="K100" i="1" s="1"/>
  <c r="L100" i="1" s="1"/>
  <c r="M100" i="1" s="1"/>
  <c r="N100" i="1" s="1"/>
  <c r="O100" i="1" s="1"/>
  <c r="P100" i="1" s="1"/>
  <c r="Q100" i="1" s="1"/>
  <c r="AG96" i="1"/>
  <c r="AH96" i="1" s="1"/>
  <c r="AI96" i="1" s="1"/>
  <c r="AJ96" i="1" s="1"/>
  <c r="AK96" i="1" s="1"/>
  <c r="AL96" i="1" s="1"/>
  <c r="AM96" i="1" s="1"/>
  <c r="AN96" i="1" s="1"/>
  <c r="AO96" i="1" s="1"/>
  <c r="AP96" i="1" s="1"/>
  <c r="F130" i="1"/>
  <c r="F134" i="1" s="1"/>
  <c r="F303" i="1"/>
  <c r="F304" i="1" s="1"/>
  <c r="F311" i="1" s="1"/>
  <c r="N208" i="1"/>
  <c r="N209" i="1" s="1"/>
  <c r="M208" i="1"/>
  <c r="M209" i="1" s="1"/>
  <c r="K208" i="1"/>
  <c r="K209" i="1" s="1"/>
  <c r="J208" i="1"/>
  <c r="I208" i="1"/>
  <c r="F208" i="1"/>
  <c r="Q208" i="1"/>
  <c r="P208" i="1"/>
  <c r="O208" i="1"/>
  <c r="BD13" i="1"/>
  <c r="U13" i="1" s="1"/>
  <c r="BL13" i="1"/>
  <c r="AC13" i="1" s="1"/>
  <c r="L226" i="1"/>
  <c r="L220" i="1"/>
  <c r="L227" i="1" s="1"/>
  <c r="L219" i="1"/>
  <c r="K233" i="1"/>
  <c r="J237" i="1"/>
  <c r="CG20" i="1"/>
  <c r="K263" i="1"/>
  <c r="BN25" i="1"/>
  <c r="CN25" i="1" s="1"/>
  <c r="DN25" i="1" s="1"/>
  <c r="N314" i="1"/>
  <c r="CK26" i="1"/>
  <c r="DK26" i="1" s="1"/>
  <c r="BI27" i="1"/>
  <c r="L319" i="1"/>
  <c r="CI27" i="1"/>
  <c r="DI27" i="1" s="1"/>
  <c r="J331" i="1"/>
  <c r="CG28" i="1"/>
  <c r="DG28" i="1" s="1"/>
  <c r="P99" i="1"/>
  <c r="O112" i="1"/>
  <c r="N303" i="1"/>
  <c r="N304" i="1" s="1"/>
  <c r="N311" i="1" s="1"/>
  <c r="CH21" i="1"/>
  <c r="DH21" i="1" s="1"/>
  <c r="BE22" i="1"/>
  <c r="BM22" i="1"/>
  <c r="J287" i="1"/>
  <c r="Q287" i="1"/>
  <c r="I287" i="1"/>
  <c r="O287" i="1"/>
  <c r="F287" i="1"/>
  <c r="F288" i="1" s="1"/>
  <c r="F294" i="1" s="1"/>
  <c r="N287" i="1"/>
  <c r="M287" i="1"/>
  <c r="L287" i="1"/>
  <c r="BG23" i="1"/>
  <c r="CD23" i="1"/>
  <c r="DD23" i="1" s="1"/>
  <c r="F299" i="1"/>
  <c r="I304" i="1"/>
  <c r="I311" i="1" s="1"/>
  <c r="CH25" i="1"/>
  <c r="DH25" i="1" s="1"/>
  <c r="BE26" i="1"/>
  <c r="CE26" i="1" s="1"/>
  <c r="DE26" i="1" s="1"/>
  <c r="BM26" i="1"/>
  <c r="CM26" i="1" s="1"/>
  <c r="DM26" i="1" s="1"/>
  <c r="CJ26" i="1"/>
  <c r="DJ26" i="1" s="1"/>
  <c r="M327" i="1"/>
  <c r="M320" i="1"/>
  <c r="M321" i="1" s="1"/>
  <c r="M328" i="1" s="1"/>
  <c r="CD27" i="1"/>
  <c r="DD27" i="1" s="1"/>
  <c r="CL27" i="1"/>
  <c r="DL27" i="1" s="1"/>
  <c r="O333" i="1"/>
  <c r="CF28" i="1"/>
  <c r="DF28" i="1" s="1"/>
  <c r="F79" i="1"/>
  <c r="O79" i="1"/>
  <c r="L80" i="1"/>
  <c r="I81" i="1"/>
  <c r="Q81" i="1"/>
  <c r="N110" i="1"/>
  <c r="K111" i="1"/>
  <c r="H112" i="1"/>
  <c r="M113" i="1"/>
  <c r="N269" i="1"/>
  <c r="P287" i="1"/>
  <c r="F315" i="1"/>
  <c r="BF22" i="1"/>
  <c r="BN22" i="1"/>
  <c r="BH23" i="1"/>
  <c r="BF26" i="1"/>
  <c r="CF26" i="1" s="1"/>
  <c r="DF26" i="1" s="1"/>
  <c r="BN26" i="1"/>
  <c r="CN26" i="1" s="1"/>
  <c r="DN26" i="1" s="1"/>
  <c r="N327" i="1"/>
  <c r="N320" i="1"/>
  <c r="N321" i="1" s="1"/>
  <c r="H333" i="1"/>
  <c r="H79" i="1"/>
  <c r="P79" i="1"/>
  <c r="M80" i="1"/>
  <c r="J81" i="1"/>
  <c r="F110" i="1"/>
  <c r="O110" i="1"/>
  <c r="L111" i="1"/>
  <c r="I112" i="1"/>
  <c r="Q112" i="1"/>
  <c r="N113" i="1"/>
  <c r="P142" i="1"/>
  <c r="K269" i="1"/>
  <c r="J269" i="1"/>
  <c r="P269" i="1"/>
  <c r="H269" i="1"/>
  <c r="I269" i="1"/>
  <c r="F269" i="1"/>
  <c r="Q269" i="1"/>
  <c r="BG22" i="1"/>
  <c r="BI23" i="1"/>
  <c r="K304" i="1"/>
  <c r="K311" i="1" s="1"/>
  <c r="M315" i="1"/>
  <c r="M316" i="1" s="1"/>
  <c r="L315" i="1"/>
  <c r="L316" i="1" s="1"/>
  <c r="J315" i="1"/>
  <c r="P315" i="1"/>
  <c r="O315" i="1"/>
  <c r="N315" i="1"/>
  <c r="Q315" i="1"/>
  <c r="K315" i="1"/>
  <c r="K316" i="1" s="1"/>
  <c r="I315" i="1"/>
  <c r="BG26" i="1"/>
  <c r="BG29" i="1" s="1"/>
  <c r="F321" i="1"/>
  <c r="O320" i="1"/>
  <c r="O321" i="1" s="1"/>
  <c r="O327" i="1"/>
  <c r="J112" i="1"/>
  <c r="K183" i="1"/>
  <c r="J183" i="1"/>
  <c r="P183" i="1"/>
  <c r="P184" i="1" s="1"/>
  <c r="P187" i="1" s="1"/>
  <c r="H183" i="1"/>
  <c r="M262" i="1"/>
  <c r="L262" i="1"/>
  <c r="J262" i="1"/>
  <c r="J263" i="1" s="1"/>
  <c r="Q262" i="1"/>
  <c r="Q263" i="1" s="1"/>
  <c r="E82" i="3" l="1"/>
  <c r="E83" i="3" s="1"/>
  <c r="E60" i="2"/>
  <c r="AC16" i="1"/>
  <c r="CF15" i="1"/>
  <c r="DF15" i="1" s="1"/>
  <c r="AA15" i="1"/>
  <c r="O328" i="1"/>
  <c r="BF29" i="1"/>
  <c r="F328" i="1"/>
  <c r="N328" i="1"/>
  <c r="U15" i="1"/>
  <c r="P227" i="1"/>
  <c r="V16" i="1"/>
  <c r="AC17" i="1"/>
  <c r="DH8" i="1"/>
  <c r="K210" i="1"/>
  <c r="K215" i="1" s="1"/>
  <c r="M210" i="1"/>
  <c r="M215" i="1"/>
  <c r="DJ20" i="1"/>
  <c r="N210" i="1"/>
  <c r="N215" i="1" s="1"/>
  <c r="N126" i="1"/>
  <c r="N86" i="1"/>
  <c r="N154" i="1" s="1"/>
  <c r="DE8" i="1"/>
  <c r="N108" i="1"/>
  <c r="N141" i="1" s="1"/>
  <c r="N78" i="1"/>
  <c r="F210" i="1"/>
  <c r="F215" i="1"/>
  <c r="L126" i="1"/>
  <c r="L86" i="1"/>
  <c r="L154" i="1" s="1"/>
  <c r="J105" i="1"/>
  <c r="U12" i="1"/>
  <c r="U17" i="1" s="1"/>
  <c r="CD12" i="1"/>
  <c r="DD12" i="1" s="1"/>
  <c r="CI15" i="1"/>
  <c r="DI15" i="1" s="1"/>
  <c r="Z15" i="1"/>
  <c r="CG26" i="1"/>
  <c r="DG26" i="1" s="1"/>
  <c r="J184" i="1"/>
  <c r="J187" i="1" s="1"/>
  <c r="I210" i="1"/>
  <c r="I215" i="1" s="1"/>
  <c r="BM29" i="1"/>
  <c r="CM20" i="1"/>
  <c r="I78" i="1"/>
  <c r="I108" i="1"/>
  <c r="I141" i="1" s="1"/>
  <c r="Q297" i="1"/>
  <c r="Q299" i="1" s="1"/>
  <c r="CN24" i="1"/>
  <c r="DN24" i="1" s="1"/>
  <c r="DJ8" i="1"/>
  <c r="N105" i="1"/>
  <c r="BN17" i="1"/>
  <c r="BN31" i="1" s="1"/>
  <c r="BN36" i="1" s="1"/>
  <c r="BN39" i="1" s="1"/>
  <c r="AE8" i="1"/>
  <c r="AE17" i="1" s="1"/>
  <c r="CN8" i="1"/>
  <c r="J78" i="1"/>
  <c r="J108" i="1"/>
  <c r="J141" i="1" s="1"/>
  <c r="I219" i="1"/>
  <c r="I220" i="1" s="1"/>
  <c r="I227" i="1" s="1"/>
  <c r="I226" i="1"/>
  <c r="H226" i="1"/>
  <c r="H219" i="1"/>
  <c r="H220" i="1"/>
  <c r="H227" i="1" s="1"/>
  <c r="DK20" i="1"/>
  <c r="CF11" i="1"/>
  <c r="DF11" i="1" s="1"/>
  <c r="M105" i="1"/>
  <c r="CG9" i="1"/>
  <c r="DG9" i="1" s="1"/>
  <c r="DK8" i="1"/>
  <c r="BM17" i="1"/>
  <c r="BM31" i="1" s="1"/>
  <c r="BM36" i="1" s="1"/>
  <c r="BM39" i="1" s="1"/>
  <c r="P209" i="1"/>
  <c r="N316" i="1"/>
  <c r="H239" i="1"/>
  <c r="H246" i="1" s="1"/>
  <c r="Q316" i="1"/>
  <c r="F126" i="1"/>
  <c r="F86" i="1"/>
  <c r="F154" i="1" s="1"/>
  <c r="Z16" i="1"/>
  <c r="CI16" i="1"/>
  <c r="DI16" i="1" s="1"/>
  <c r="BE29" i="1"/>
  <c r="CE20" i="1"/>
  <c r="H105" i="1"/>
  <c r="H114" i="1" s="1"/>
  <c r="K105" i="1"/>
  <c r="AD10" i="1"/>
  <c r="H304" i="1"/>
  <c r="H311" i="1" s="1"/>
  <c r="F105" i="1"/>
  <c r="F114" i="1" s="1"/>
  <c r="F219" i="1"/>
  <c r="F220" i="1" s="1"/>
  <c r="F227" i="1" s="1"/>
  <c r="F226" i="1"/>
  <c r="CE11" i="1"/>
  <c r="DE11" i="1" s="1"/>
  <c r="V11" i="1"/>
  <c r="N239" i="1"/>
  <c r="N246" i="1" s="1"/>
  <c r="K202" i="1"/>
  <c r="K204" i="1" s="1"/>
  <c r="M226" i="1"/>
  <c r="M219" i="1"/>
  <c r="M220" i="1"/>
  <c r="M227" i="1" s="1"/>
  <c r="P126" i="1"/>
  <c r="P86" i="1"/>
  <c r="P154" i="1" s="1"/>
  <c r="J192" i="1"/>
  <c r="J197" i="1" s="1"/>
  <c r="I192" i="1"/>
  <c r="I197" i="1" s="1"/>
  <c r="O297" i="1"/>
  <c r="O299" i="1" s="1"/>
  <c r="CL24" i="1"/>
  <c r="DL24" i="1" s="1"/>
  <c r="J174" i="1"/>
  <c r="J179" i="1" s="1"/>
  <c r="N169" i="1"/>
  <c r="W8" i="1"/>
  <c r="W17" i="1" s="1"/>
  <c r="CF8" i="1"/>
  <c r="BF17" i="1"/>
  <c r="BF31" i="1" s="1"/>
  <c r="BF36" i="1" s="1"/>
  <c r="BF39" i="1" s="1"/>
  <c r="F316" i="1"/>
  <c r="DF20" i="1"/>
  <c r="AB13" i="1"/>
  <c r="CK13" i="1"/>
  <c r="DK13" i="1" s="1"/>
  <c r="I327" i="1"/>
  <c r="I320" i="1"/>
  <c r="I321" i="1" s="1"/>
  <c r="I328" i="1" s="1"/>
  <c r="Q108" i="1"/>
  <c r="Q141" i="1" s="1"/>
  <c r="Q78" i="1"/>
  <c r="CH24" i="1"/>
  <c r="DH24" i="1" s="1"/>
  <c r="K297" i="1"/>
  <c r="K299" i="1" s="1"/>
  <c r="L327" i="1"/>
  <c r="L320" i="1"/>
  <c r="L321" i="1"/>
  <c r="L328" i="1" s="1"/>
  <c r="DG20" i="1"/>
  <c r="K78" i="1"/>
  <c r="K108" i="1"/>
  <c r="K141" i="1" s="1"/>
  <c r="BD29" i="1"/>
  <c r="CD20" i="1"/>
  <c r="N297" i="1"/>
  <c r="N299" i="1" s="1"/>
  <c r="CK24" i="1"/>
  <c r="DK24" i="1" s="1"/>
  <c r="CG8" i="1"/>
  <c r="BG17" i="1"/>
  <c r="BG31" i="1" s="1"/>
  <c r="BG36" i="1" s="1"/>
  <c r="BG39" i="1" s="1"/>
  <c r="X8" i="1"/>
  <c r="X17" i="1" s="1"/>
  <c r="J239" i="1"/>
  <c r="J246" i="1" s="1"/>
  <c r="BH29" i="1"/>
  <c r="BI29" i="1"/>
  <c r="N219" i="1"/>
  <c r="N220" i="1" s="1"/>
  <c r="N226" i="1"/>
  <c r="DN20" i="1"/>
  <c r="BD17" i="1"/>
  <c r="BD31" i="1" s="1"/>
  <c r="BD36" i="1" s="1"/>
  <c r="BD39" i="1" s="1"/>
  <c r="CD8" i="1"/>
  <c r="J126" i="1"/>
  <c r="J86" i="1"/>
  <c r="J154" i="1" s="1"/>
  <c r="Q86" i="1"/>
  <c r="Q154" i="1" s="1"/>
  <c r="Q126" i="1"/>
  <c r="L78" i="1"/>
  <c r="L108" i="1"/>
  <c r="L141" i="1" s="1"/>
  <c r="BJ29" i="1"/>
  <c r="Q174" i="1"/>
  <c r="Q179" i="1" s="1"/>
  <c r="O209" i="1"/>
  <c r="BJ17" i="1"/>
  <c r="H209" i="1"/>
  <c r="J320" i="1"/>
  <c r="J321" i="1" s="1"/>
  <c r="J327" i="1"/>
  <c r="I105" i="1"/>
  <c r="CJ13" i="1"/>
  <c r="DJ13" i="1" s="1"/>
  <c r="AA13" i="1"/>
  <c r="AA17" i="1" s="1"/>
  <c r="H320" i="1"/>
  <c r="H321" i="1" s="1"/>
  <c r="H327" i="1"/>
  <c r="AA16" i="1"/>
  <c r="F270" i="1"/>
  <c r="F283" i="1" s="1"/>
  <c r="M333" i="1"/>
  <c r="Z9" i="1"/>
  <c r="P105" i="1"/>
  <c r="P114" i="1" s="1"/>
  <c r="AD16" i="1"/>
  <c r="AB15" i="1"/>
  <c r="L192" i="1"/>
  <c r="L197" i="1" s="1"/>
  <c r="Q209" i="1"/>
  <c r="H126" i="1"/>
  <c r="H86" i="1"/>
  <c r="H154" i="1" s="1"/>
  <c r="H297" i="1"/>
  <c r="H299" i="1" s="1"/>
  <c r="CE24" i="1"/>
  <c r="DE24" i="1" s="1"/>
  <c r="CD10" i="1"/>
  <c r="DD10" i="1" s="1"/>
  <c r="CD13" i="1"/>
  <c r="DD13" i="1" s="1"/>
  <c r="CI20" i="1"/>
  <c r="BI17" i="1"/>
  <c r="Z8" i="1"/>
  <c r="CI8" i="1"/>
  <c r="P202" i="1"/>
  <c r="P204" i="1" s="1"/>
  <c r="CK16" i="1"/>
  <c r="DK16" i="1" s="1"/>
  <c r="L304" i="1"/>
  <c r="L311" i="1" s="1"/>
  <c r="O114" i="1"/>
  <c r="O86" i="1"/>
  <c r="O154" i="1" s="1"/>
  <c r="O126" i="1"/>
  <c r="J210" i="1"/>
  <c r="J215" i="1" s="1"/>
  <c r="BL17" i="1"/>
  <c r="CL8" i="1"/>
  <c r="K320" i="1"/>
  <c r="K321" i="1" s="1"/>
  <c r="K327" i="1"/>
  <c r="O219" i="1"/>
  <c r="O220" i="1" s="1"/>
  <c r="O226" i="1"/>
  <c r="I297" i="1"/>
  <c r="I299" i="1" s="1"/>
  <c r="CF24" i="1"/>
  <c r="DF24" i="1" s="1"/>
  <c r="L105" i="1"/>
  <c r="V15" i="1"/>
  <c r="J169" i="1"/>
  <c r="F131" i="1"/>
  <c r="M192" i="1"/>
  <c r="M197" i="1" s="1"/>
  <c r="BE17" i="1"/>
  <c r="CH20" i="1"/>
  <c r="P320" i="1"/>
  <c r="P321" i="1" s="1"/>
  <c r="P328" i="1" s="1"/>
  <c r="P327" i="1"/>
  <c r="Q105" i="1"/>
  <c r="K333" i="1"/>
  <c r="L233" i="1"/>
  <c r="K86" i="1"/>
  <c r="K154" i="1" s="1"/>
  <c r="K126" i="1"/>
  <c r="J202" i="1"/>
  <c r="J204" i="1" s="1"/>
  <c r="BK29" i="1"/>
  <c r="Q320" i="1"/>
  <c r="Q327" i="1"/>
  <c r="Q321" i="1"/>
  <c r="Q328" i="1" s="1"/>
  <c r="CM11" i="1"/>
  <c r="DM11" i="1" s="1"/>
  <c r="AD11" i="1"/>
  <c r="V9" i="1"/>
  <c r="CE9" i="1"/>
  <c r="DE9" i="1" s="1"/>
  <c r="M239" i="1"/>
  <c r="M246" i="1" s="1"/>
  <c r="L297" i="1"/>
  <c r="L299" i="1" s="1"/>
  <c r="CI24" i="1"/>
  <c r="DI24" i="1" s="1"/>
  <c r="Q202" i="1"/>
  <c r="Q204" i="1" s="1"/>
  <c r="M108" i="1"/>
  <c r="M141" i="1" s="1"/>
  <c r="M78" i="1"/>
  <c r="BH17" i="1"/>
  <c r="BH31" i="1" s="1"/>
  <c r="BH36" i="1" s="1"/>
  <c r="BH39" i="1" s="1"/>
  <c r="Y8" i="1"/>
  <c r="J333" i="1"/>
  <c r="Y16" i="1"/>
  <c r="CH16" i="1"/>
  <c r="DH16" i="1" s="1"/>
  <c r="L210" i="1"/>
  <c r="L215" i="1" s="1"/>
  <c r="M126" i="1"/>
  <c r="M86" i="1"/>
  <c r="M154" i="1" s="1"/>
  <c r="Q219" i="1"/>
  <c r="Q226" i="1"/>
  <c r="Q220" i="1"/>
  <c r="Q227" i="1" s="1"/>
  <c r="AD8" i="1"/>
  <c r="CM8" i="1"/>
  <c r="BL29" i="1"/>
  <c r="P233" i="1"/>
  <c r="CL20" i="1"/>
  <c r="P108" i="1"/>
  <c r="P141" i="1" s="1"/>
  <c r="P78" i="1"/>
  <c r="J297" i="1"/>
  <c r="J299" i="1" s="1"/>
  <c r="CG24" i="1"/>
  <c r="DG24" i="1" s="1"/>
  <c r="M297" i="1"/>
  <c r="M299" i="1" s="1"/>
  <c r="CJ24" i="1"/>
  <c r="DJ24" i="1" s="1"/>
  <c r="P297" i="1"/>
  <c r="P299" i="1" s="1"/>
  <c r="CM24" i="1"/>
  <c r="DM24" i="1" s="1"/>
  <c r="AI4" i="1"/>
  <c r="BP5" i="1"/>
  <c r="CP5" i="1" s="1"/>
  <c r="DP5" i="1" s="1"/>
  <c r="BK17" i="1"/>
  <c r="BK31" i="1" s="1"/>
  <c r="BK36" i="1" s="1"/>
  <c r="BK39" i="1" s="1"/>
  <c r="CE17" i="1" l="1"/>
  <c r="J328" i="1"/>
  <c r="N227" i="1"/>
  <c r="CJ17" i="1"/>
  <c r="AD17" i="1"/>
  <c r="L114" i="1"/>
  <c r="BE31" i="1"/>
  <c r="BE36" i="1" s="1"/>
  <c r="BE39" i="1" s="1"/>
  <c r="K328" i="1"/>
  <c r="DE17" i="1"/>
  <c r="BL31" i="1"/>
  <c r="BL36" i="1" s="1"/>
  <c r="BL39" i="1" s="1"/>
  <c r="V17" i="1"/>
  <c r="DJ17" i="1"/>
  <c r="BJ31" i="1"/>
  <c r="BJ36" i="1" s="1"/>
  <c r="BJ39" i="1" s="1"/>
  <c r="O227" i="1"/>
  <c r="AB17" i="1"/>
  <c r="H328" i="1"/>
  <c r="K114" i="1"/>
  <c r="CG17" i="1"/>
  <c r="DG8" i="1"/>
  <c r="DG17" i="1" s="1"/>
  <c r="Q114" i="1"/>
  <c r="DK17" i="1"/>
  <c r="J114" i="1"/>
  <c r="CF17" i="1"/>
  <c r="DF8" i="1"/>
  <c r="DF17" i="1" s="1"/>
  <c r="CK17" i="1"/>
  <c r="Y17" i="1"/>
  <c r="F136" i="1"/>
  <c r="F149" i="1"/>
  <c r="F155" i="1" s="1"/>
  <c r="F159" i="1" s="1"/>
  <c r="DI8" i="1"/>
  <c r="DI17" i="1" s="1"/>
  <c r="CI17" i="1"/>
  <c r="O210" i="1"/>
  <c r="O215" i="1"/>
  <c r="K140" i="1"/>
  <c r="K145" i="1" s="1"/>
  <c r="K158" i="1" s="1"/>
  <c r="K117" i="1"/>
  <c r="DL20" i="1"/>
  <c r="Z17" i="1"/>
  <c r="CD17" i="1"/>
  <c r="DD8" i="1"/>
  <c r="DD17" i="1" s="1"/>
  <c r="DD20" i="1"/>
  <c r="DD29" i="1" s="1"/>
  <c r="CD29" i="1"/>
  <c r="BI31" i="1"/>
  <c r="BI36" i="1" s="1"/>
  <c r="BI39" i="1" s="1"/>
  <c r="Q210" i="1"/>
  <c r="Q215" i="1" s="1"/>
  <c r="I114" i="1"/>
  <c r="H117" i="1"/>
  <c r="H140" i="1"/>
  <c r="H145" i="1" s="1"/>
  <c r="H158" i="1" s="1"/>
  <c r="M114" i="1"/>
  <c r="DH17" i="1"/>
  <c r="DI20" i="1"/>
  <c r="F117" i="1"/>
  <c r="F140" i="1"/>
  <c r="F145" i="1" s="1"/>
  <c r="F158" i="1" s="1"/>
  <c r="DE20" i="1"/>
  <c r="N114" i="1"/>
  <c r="DM20" i="1"/>
  <c r="CH17" i="1"/>
  <c r="DH20" i="1"/>
  <c r="L140" i="1"/>
  <c r="L145" i="1" s="1"/>
  <c r="L158" i="1" s="1"/>
  <c r="L117" i="1"/>
  <c r="CL17" i="1"/>
  <c r="DL8" i="1"/>
  <c r="DL17" i="1" s="1"/>
  <c r="P117" i="1"/>
  <c r="P140" i="1"/>
  <c r="P145" i="1" s="1"/>
  <c r="P158" i="1" s="1"/>
  <c r="H210" i="1"/>
  <c r="H215" i="1"/>
  <c r="AJ4" i="1"/>
  <c r="BQ5" i="1"/>
  <c r="CQ5" i="1" s="1"/>
  <c r="DQ5" i="1" s="1"/>
  <c r="CN17" i="1"/>
  <c r="DN8" i="1"/>
  <c r="DN17" i="1" s="1"/>
  <c r="CM17" i="1"/>
  <c r="DM8" i="1"/>
  <c r="DM17" i="1" s="1"/>
  <c r="O117" i="1"/>
  <c r="O140" i="1"/>
  <c r="O145" i="1" s="1"/>
  <c r="O158" i="1" s="1"/>
  <c r="F54" i="1"/>
  <c r="F71" i="1" s="1"/>
  <c r="P210" i="1"/>
  <c r="P215" i="1"/>
  <c r="CD31" i="1" l="1"/>
  <c r="CD36" i="1" s="1"/>
  <c r="CD39" i="1" s="1"/>
  <c r="F160" i="1"/>
  <c r="F162" i="1" s="1"/>
  <c r="J140" i="1"/>
  <c r="J145" i="1" s="1"/>
  <c r="J158" i="1" s="1"/>
  <c r="J117" i="1"/>
  <c r="F77" i="1"/>
  <c r="F87" i="1" s="1"/>
  <c r="F161" i="1" s="1"/>
  <c r="F73" i="1"/>
  <c r="I140" i="1"/>
  <c r="I145" i="1" s="1"/>
  <c r="I158" i="1" s="1"/>
  <c r="I117" i="1"/>
  <c r="BR5" i="1"/>
  <c r="CR5" i="1" s="1"/>
  <c r="DR5" i="1" s="1"/>
  <c r="AK4" i="1"/>
  <c r="Q117" i="1"/>
  <c r="Q140" i="1"/>
  <c r="Q145" i="1" s="1"/>
  <c r="Q158" i="1" s="1"/>
  <c r="M140" i="1"/>
  <c r="M145" i="1" s="1"/>
  <c r="M158" i="1" s="1"/>
  <c r="M117" i="1"/>
  <c r="N117" i="1"/>
  <c r="N140" i="1"/>
  <c r="N145" i="1" s="1"/>
  <c r="N158" i="1" s="1"/>
  <c r="BS5" i="1" l="1"/>
  <c r="CS5" i="1" s="1"/>
  <c r="DS5" i="1" s="1"/>
  <c r="AL4" i="1"/>
  <c r="BT5" i="1" l="1"/>
  <c r="CT5" i="1" s="1"/>
  <c r="DT5" i="1" s="1"/>
  <c r="AM4" i="1"/>
  <c r="AN4" i="1" l="1"/>
  <c r="BU5" i="1"/>
  <c r="CU5" i="1" s="1"/>
  <c r="DU5" i="1" s="1"/>
  <c r="AO4" i="1" l="1"/>
  <c r="BV5" i="1"/>
  <c r="CV5" i="1" s="1"/>
  <c r="DV5" i="1" s="1"/>
  <c r="BW5" i="1" l="1"/>
  <c r="CW5" i="1" s="1"/>
  <c r="DW5" i="1" s="1"/>
  <c r="AP4" i="1"/>
  <c r="BX5" i="1" s="1"/>
  <c r="CX5" i="1" s="1"/>
  <c r="DX5" i="1" s="1"/>
  <c r="I65" i="1" l="1"/>
  <c r="I273" i="1"/>
  <c r="L273" i="1"/>
  <c r="L65" i="1"/>
  <c r="N273" i="1"/>
  <c r="N65" i="1"/>
  <c r="H273" i="1"/>
  <c r="H65" i="1"/>
  <c r="J65" i="1"/>
  <c r="J273" i="1"/>
  <c r="K273" i="1"/>
  <c r="K65" i="1"/>
  <c r="O273" i="1"/>
  <c r="O65" i="1"/>
  <c r="M273" i="1"/>
  <c r="M65" i="1"/>
  <c r="Q65" i="1"/>
  <c r="Q273" i="1"/>
  <c r="P273" i="1"/>
  <c r="P65" i="1"/>
  <c r="M123" i="1" l="1"/>
  <c r="M83" i="1"/>
  <c r="M151" i="1" s="1"/>
  <c r="P123" i="1"/>
  <c r="P83" i="1"/>
  <c r="P151" i="1" s="1"/>
  <c r="J123" i="1"/>
  <c r="J83" i="1"/>
  <c r="J151" i="1" s="1"/>
  <c r="L83" i="1"/>
  <c r="L151" i="1" s="1"/>
  <c r="L123" i="1"/>
  <c r="O123" i="1"/>
  <c r="O83" i="1"/>
  <c r="O151" i="1" s="1"/>
  <c r="H123" i="1"/>
  <c r="H83" i="1"/>
  <c r="H151" i="1" s="1"/>
  <c r="Q123" i="1"/>
  <c r="Q83" i="1"/>
  <c r="Q151" i="1" s="1"/>
  <c r="K83" i="1"/>
  <c r="K151" i="1" s="1"/>
  <c r="K123" i="1"/>
  <c r="I123" i="1"/>
  <c r="I83" i="1"/>
  <c r="I151" i="1" s="1"/>
  <c r="N123" i="1"/>
  <c r="N83" i="1"/>
  <c r="N151" i="1" s="1"/>
  <c r="H268" i="1" l="1"/>
  <c r="H270" i="1" s="1"/>
  <c r="H283" i="1" s="1"/>
  <c r="CE22" i="1"/>
  <c r="CF22" i="1"/>
  <c r="I268" i="1"/>
  <c r="I270" i="1" s="1"/>
  <c r="I283" i="1" s="1"/>
  <c r="DF22" i="1" l="1"/>
  <c r="J268" i="1"/>
  <c r="J270" i="1" s="1"/>
  <c r="J283" i="1" s="1"/>
  <c r="CG22" i="1"/>
  <c r="DE22" i="1"/>
  <c r="DG22" i="1" l="1"/>
  <c r="K268" i="1"/>
  <c r="K270" i="1" s="1"/>
  <c r="K283" i="1" s="1"/>
  <c r="CH22" i="1"/>
  <c r="DH22" i="1" l="1"/>
  <c r="L268" i="1"/>
  <c r="L270" i="1" s="1"/>
  <c r="L283" i="1" s="1"/>
  <c r="CI22" i="1"/>
  <c r="DI22" i="1" l="1"/>
  <c r="M268" i="1"/>
  <c r="M270" i="1" s="1"/>
  <c r="M283" i="1" s="1"/>
  <c r="CJ22" i="1"/>
  <c r="DJ22" i="1" l="1"/>
  <c r="N268" i="1"/>
  <c r="N270" i="1" s="1"/>
  <c r="N283" i="1" s="1"/>
  <c r="CK22" i="1"/>
  <c r="DK22" i="1" l="1"/>
  <c r="O268" i="1"/>
  <c r="O270" i="1" s="1"/>
  <c r="O283" i="1" s="1"/>
  <c r="CL22" i="1"/>
  <c r="DL22" i="1" l="1"/>
  <c r="Q268" i="1"/>
  <c r="Q270" i="1" s="1"/>
  <c r="Q283" i="1" s="1"/>
  <c r="CN22" i="1"/>
  <c r="CM22" i="1"/>
  <c r="P268" i="1"/>
  <c r="P270" i="1" s="1"/>
  <c r="P283" i="1" s="1"/>
  <c r="DM22" i="1" l="1"/>
  <c r="DN22" i="1"/>
  <c r="L290" i="1" l="1"/>
  <c r="H290" i="1"/>
  <c r="O290" i="1"/>
  <c r="K290" i="1"/>
  <c r="J290" i="1"/>
  <c r="I290" i="1"/>
  <c r="M290" i="1"/>
  <c r="Q290" i="1"/>
  <c r="N290" i="1"/>
  <c r="P290" i="1"/>
  <c r="G10" i="4" l="1"/>
  <c r="G14" i="4" s="1"/>
  <c r="H293" i="1" l="1"/>
  <c r="H10" i="4" l="1"/>
  <c r="H14" i="4" s="1"/>
  <c r="H56" i="1" l="1"/>
  <c r="H122" i="1" s="1"/>
  <c r="CE23" i="1"/>
  <c r="H84" i="1"/>
  <c r="H152" i="1" s="1"/>
  <c r="H286" i="1"/>
  <c r="H288" i="1" s="1"/>
  <c r="H294" i="1" s="1"/>
  <c r="V29" i="1"/>
  <c r="G16" i="4" l="1"/>
  <c r="G18" i="4" s="1"/>
  <c r="G23" i="4" s="1"/>
  <c r="H121" i="1"/>
  <c r="H131" i="1" s="1"/>
  <c r="DE23" i="1"/>
  <c r="DE29" i="1" s="1"/>
  <c r="CE29" i="1"/>
  <c r="CE31" i="1" s="1"/>
  <c r="CE36" i="1" s="1"/>
  <c r="CE39" i="1" s="1"/>
  <c r="I293" i="1"/>
  <c r="G27" i="4" l="1"/>
  <c r="H7" i="4"/>
  <c r="H54" i="1"/>
  <c r="H71" i="1" s="1"/>
  <c r="H136" i="1"/>
  <c r="H149" i="1"/>
  <c r="H155" i="1" s="1"/>
  <c r="H159" i="1" s="1"/>
  <c r="H160" i="1" s="1"/>
  <c r="H73" i="1" l="1"/>
  <c r="H77" i="1"/>
  <c r="H87" i="1" s="1"/>
  <c r="H161" i="1" s="1"/>
  <c r="H162" i="1" s="1"/>
  <c r="I10" i="4"/>
  <c r="I14" i="4" s="1"/>
  <c r="G28" i="4" l="1"/>
  <c r="G29" i="4" s="1"/>
  <c r="G30" i="4" s="1"/>
  <c r="I286" i="1"/>
  <c r="I288" i="1" s="1"/>
  <c r="I294" i="1" s="1"/>
  <c r="I56" i="1"/>
  <c r="I122" i="1" s="1"/>
  <c r="CF23" i="1"/>
  <c r="I84" i="1"/>
  <c r="I152" i="1" s="1"/>
  <c r="W29" i="1"/>
  <c r="I121" i="1" l="1"/>
  <c r="I131" i="1" s="1"/>
  <c r="DF23" i="1"/>
  <c r="DF29" i="1" s="1"/>
  <c r="CF29" i="1"/>
  <c r="CF31" i="1" s="1"/>
  <c r="CF36" i="1" s="1"/>
  <c r="CF39" i="1" s="1"/>
  <c r="J293" i="1"/>
  <c r="H16" i="4" l="1"/>
  <c r="H18" i="4" s="1"/>
  <c r="H23" i="4" s="1"/>
  <c r="I54" i="1"/>
  <c r="I71" i="1" s="1"/>
  <c r="I149" i="1"/>
  <c r="I155" i="1" s="1"/>
  <c r="I159" i="1" s="1"/>
  <c r="I160" i="1" s="1"/>
  <c r="I136" i="1"/>
  <c r="H27" i="4" l="1"/>
  <c r="I7" i="4"/>
  <c r="I73" i="1"/>
  <c r="I77" i="1"/>
  <c r="I87" i="1" s="1"/>
  <c r="I161" i="1" s="1"/>
  <c r="I162" i="1" s="1"/>
  <c r="J10" i="4"/>
  <c r="J14" i="4" s="1"/>
  <c r="H28" i="4" l="1"/>
  <c r="H29" i="4" s="1"/>
  <c r="H30" i="4" s="1"/>
  <c r="G77" i="2"/>
  <c r="J286" i="1"/>
  <c r="J288" i="1" s="1"/>
  <c r="J294" i="1" s="1"/>
  <c r="J84" i="1"/>
  <c r="J152" i="1" s="1"/>
  <c r="J56" i="1"/>
  <c r="J122" i="1" s="1"/>
  <c r="CG23" i="1"/>
  <c r="X29" i="1"/>
  <c r="G81" i="3"/>
  <c r="G82" i="3" s="1"/>
  <c r="G83" i="3" s="1"/>
  <c r="G78" i="2" l="1"/>
  <c r="G64" i="2"/>
  <c r="G65" i="2" s="1"/>
  <c r="G59" i="2" s="1"/>
  <c r="G60" i="2" s="1"/>
  <c r="J121" i="1"/>
  <c r="J131" i="1" s="1"/>
  <c r="DG23" i="1"/>
  <c r="DG29" i="1" s="1"/>
  <c r="CG29" i="1"/>
  <c r="CG31" i="1" s="1"/>
  <c r="CG36" i="1" s="1"/>
  <c r="CG39" i="1" s="1"/>
  <c r="K293" i="1"/>
  <c r="I16" i="4" l="1"/>
  <c r="I18" i="4" s="1"/>
  <c r="I23" i="4" s="1"/>
  <c r="J54" i="1"/>
  <c r="J71" i="1" s="1"/>
  <c r="J136" i="1"/>
  <c r="J149" i="1"/>
  <c r="J155" i="1" s="1"/>
  <c r="J159" i="1" s="1"/>
  <c r="J160" i="1" s="1"/>
  <c r="I27" i="4" l="1"/>
  <c r="J7" i="4"/>
  <c r="J73" i="1"/>
  <c r="J77" i="1"/>
  <c r="J87" i="1" s="1"/>
  <c r="J161" i="1" s="1"/>
  <c r="J162" i="1" s="1"/>
  <c r="K10" i="4"/>
  <c r="K14" i="4" s="1"/>
  <c r="I28" i="4" l="1"/>
  <c r="I29" i="4" s="1"/>
  <c r="I30" i="4" s="1"/>
  <c r="K286" i="1"/>
  <c r="K288" i="1" s="1"/>
  <c r="K294" i="1" s="1"/>
  <c r="K84" i="1"/>
  <c r="K152" i="1" s="1"/>
  <c r="CH23" i="1"/>
  <c r="K56" i="1"/>
  <c r="K122" i="1" s="1"/>
  <c r="Y29" i="1"/>
  <c r="J16" i="4"/>
  <c r="J18" i="4" s="1"/>
  <c r="J23" i="4" s="1"/>
  <c r="K7" i="4" l="1"/>
  <c r="J27" i="4"/>
  <c r="K121" i="1"/>
  <c r="K131" i="1" s="1"/>
  <c r="DH23" i="1"/>
  <c r="DH29" i="1" s="1"/>
  <c r="CH29" i="1"/>
  <c r="CH31" i="1" s="1"/>
  <c r="CH36" i="1" s="1"/>
  <c r="CH39" i="1" s="1"/>
  <c r="L293" i="1"/>
  <c r="H78" i="2" l="1"/>
  <c r="K54" i="1"/>
  <c r="K71" i="1" s="1"/>
  <c r="K136" i="1"/>
  <c r="K149" i="1"/>
  <c r="K155" i="1" s="1"/>
  <c r="K159" i="1" s="1"/>
  <c r="K160" i="1" s="1"/>
  <c r="H81" i="3"/>
  <c r="H82" i="3" s="1"/>
  <c r="H83" i="3" s="1"/>
  <c r="H77" i="2" l="1"/>
  <c r="H64" i="2"/>
  <c r="H65" i="2" s="1"/>
  <c r="K77" i="1"/>
  <c r="K87" i="1" s="1"/>
  <c r="K161" i="1" s="1"/>
  <c r="K162" i="1" s="1"/>
  <c r="K73" i="1"/>
  <c r="L10" i="4"/>
  <c r="L14" i="4" s="1"/>
  <c r="J28" i="4" l="1"/>
  <c r="J29" i="4" s="1"/>
  <c r="J30" i="4" s="1"/>
  <c r="H59" i="2"/>
  <c r="H60" i="2" s="1"/>
  <c r="L286" i="1"/>
  <c r="L288" i="1" s="1"/>
  <c r="L294" i="1" s="1"/>
  <c r="L84" i="1"/>
  <c r="L152" i="1" s="1"/>
  <c r="CI23" i="1"/>
  <c r="L56" i="1"/>
  <c r="L122" i="1" s="1"/>
  <c r="Z29" i="1"/>
  <c r="K16" i="4"/>
  <c r="K18" i="4" s="1"/>
  <c r="K23" i="4" s="1"/>
  <c r="K27" i="4" l="1"/>
  <c r="L7" i="4"/>
  <c r="L121" i="1"/>
  <c r="L131" i="1" s="1"/>
  <c r="DI23" i="1"/>
  <c r="DI29" i="1" s="1"/>
  <c r="CI29" i="1"/>
  <c r="CI31" i="1" s="1"/>
  <c r="CI36" i="1" s="1"/>
  <c r="CI39" i="1" s="1"/>
  <c r="M293" i="1"/>
  <c r="L54" i="1" l="1"/>
  <c r="L71" i="1" s="1"/>
  <c r="L149" i="1"/>
  <c r="L155" i="1" s="1"/>
  <c r="L159" i="1" s="1"/>
  <c r="L160" i="1" s="1"/>
  <c r="L136" i="1"/>
  <c r="L77" i="1" l="1"/>
  <c r="L87" i="1" s="1"/>
  <c r="L161" i="1" s="1"/>
  <c r="L162" i="1" s="1"/>
  <c r="L73" i="1"/>
  <c r="M10" i="4"/>
  <c r="M14" i="4" s="1"/>
  <c r="K28" i="4" l="1"/>
  <c r="K29" i="4" s="1"/>
  <c r="K30" i="4" s="1"/>
  <c r="M286" i="1"/>
  <c r="M288" i="1" s="1"/>
  <c r="M294" i="1" s="1"/>
  <c r="M84" i="1"/>
  <c r="M152" i="1" s="1"/>
  <c r="CJ23" i="1"/>
  <c r="M56" i="1"/>
  <c r="M122" i="1" s="1"/>
  <c r="AA29" i="1"/>
  <c r="L16" i="4"/>
  <c r="L18" i="4" s="1"/>
  <c r="L23" i="4" s="1"/>
  <c r="M7" i="4" l="1"/>
  <c r="L27" i="4"/>
  <c r="I81" i="3"/>
  <c r="I82" i="3" s="1"/>
  <c r="I83" i="3" s="1"/>
  <c r="I78" i="2"/>
  <c r="I64" i="2"/>
  <c r="I65" i="2" s="1"/>
  <c r="I77" i="2"/>
  <c r="M121" i="1"/>
  <c r="M131" i="1" s="1"/>
  <c r="DJ23" i="1"/>
  <c r="DJ29" i="1" s="1"/>
  <c r="CJ29" i="1"/>
  <c r="CJ31" i="1" s="1"/>
  <c r="CJ36" i="1" s="1"/>
  <c r="CJ39" i="1" s="1"/>
  <c r="N293" i="1"/>
  <c r="I59" i="2" l="1"/>
  <c r="I60" i="2" s="1"/>
  <c r="M54" i="1"/>
  <c r="M71" i="1" s="1"/>
  <c r="M149" i="1"/>
  <c r="M155" i="1" s="1"/>
  <c r="M159" i="1" s="1"/>
  <c r="M160" i="1" s="1"/>
  <c r="M136" i="1"/>
  <c r="M77" i="1" l="1"/>
  <c r="M87" i="1" s="1"/>
  <c r="M161" i="1" s="1"/>
  <c r="M162" i="1" s="1"/>
  <c r="M73" i="1"/>
  <c r="N10" i="4"/>
  <c r="N14" i="4" s="1"/>
  <c r="L28" i="4" l="1"/>
  <c r="L29" i="4" s="1"/>
  <c r="L30" i="4" s="1"/>
  <c r="N286" i="1"/>
  <c r="N288" i="1" s="1"/>
  <c r="N294" i="1" s="1"/>
  <c r="CK23" i="1"/>
  <c r="N56" i="1"/>
  <c r="N122" i="1" s="1"/>
  <c r="N84" i="1"/>
  <c r="N152" i="1" s="1"/>
  <c r="AB29" i="1"/>
  <c r="M16" i="4" l="1"/>
  <c r="M18" i="4" s="1"/>
  <c r="M23" i="4" s="1"/>
  <c r="N121" i="1"/>
  <c r="N131" i="1" s="1"/>
  <c r="DK23" i="1"/>
  <c r="DK29" i="1" s="1"/>
  <c r="CK29" i="1"/>
  <c r="CK31" i="1" s="1"/>
  <c r="CK36" i="1" s="1"/>
  <c r="CK39" i="1" s="1"/>
  <c r="O293" i="1"/>
  <c r="M27" i="4" l="1"/>
  <c r="N7" i="4"/>
  <c r="J77" i="2"/>
  <c r="N54" i="1"/>
  <c r="N71" i="1" s="1"/>
  <c r="N149" i="1"/>
  <c r="N155" i="1" s="1"/>
  <c r="N159" i="1" s="1"/>
  <c r="N160" i="1" s="1"/>
  <c r="N136" i="1"/>
  <c r="J81" i="3"/>
  <c r="J82" i="3" s="1"/>
  <c r="J83" i="3" s="1"/>
  <c r="J78" i="2" l="1"/>
  <c r="J64" i="2"/>
  <c r="J65" i="2" s="1"/>
  <c r="J59" i="2" s="1"/>
  <c r="J60" i="2" s="1"/>
  <c r="N77" i="1"/>
  <c r="N87" i="1" s="1"/>
  <c r="N161" i="1" s="1"/>
  <c r="N162" i="1" s="1"/>
  <c r="N73" i="1"/>
  <c r="O10" i="4"/>
  <c r="O14" i="4" s="1"/>
  <c r="M28" i="4" l="1"/>
  <c r="M29" i="4" s="1"/>
  <c r="M30" i="4" s="1"/>
  <c r="O286" i="1"/>
  <c r="O288" i="1" s="1"/>
  <c r="O294" i="1" s="1"/>
  <c r="O56" i="1"/>
  <c r="O122" i="1" s="1"/>
  <c r="CL23" i="1"/>
  <c r="O84" i="1"/>
  <c r="O152" i="1" s="1"/>
  <c r="AC29" i="1"/>
  <c r="N16" i="4" l="1"/>
  <c r="N18" i="4" s="1"/>
  <c r="N23" i="4" s="1"/>
  <c r="O121" i="1"/>
  <c r="O131" i="1" s="1"/>
  <c r="DL23" i="1"/>
  <c r="DL29" i="1" s="1"/>
  <c r="CL29" i="1"/>
  <c r="CL31" i="1" s="1"/>
  <c r="CL36" i="1" s="1"/>
  <c r="CL39" i="1" s="1"/>
  <c r="P293" i="1"/>
  <c r="O7" i="4" l="1"/>
  <c r="N27" i="4"/>
  <c r="O54" i="1"/>
  <c r="O71" i="1" s="1"/>
  <c r="O149" i="1"/>
  <c r="O155" i="1" s="1"/>
  <c r="O159" i="1" s="1"/>
  <c r="O160" i="1" s="1"/>
  <c r="O136" i="1"/>
  <c r="O77" i="1" l="1"/>
  <c r="O87" i="1" s="1"/>
  <c r="O161" i="1" s="1"/>
  <c r="O162" i="1" s="1"/>
  <c r="O73" i="1"/>
  <c r="P10" i="4"/>
  <c r="P14" i="4" s="1"/>
  <c r="N28" i="4" l="1"/>
  <c r="N29" i="4" s="1"/>
  <c r="N30" i="4" s="1"/>
  <c r="P286" i="1"/>
  <c r="P288" i="1" s="1"/>
  <c r="P294" i="1" s="1"/>
  <c r="P56" i="1"/>
  <c r="P122" i="1" s="1"/>
  <c r="CM23" i="1"/>
  <c r="P84" i="1"/>
  <c r="P152" i="1" s="1"/>
  <c r="AD29" i="1"/>
  <c r="O16" i="4"/>
  <c r="O18" i="4" s="1"/>
  <c r="O23" i="4" s="1"/>
  <c r="K81" i="3" l="1"/>
  <c r="K82" i="3" s="1"/>
  <c r="K83" i="3" s="1"/>
  <c r="P7" i="4"/>
  <c r="O27" i="4"/>
  <c r="K64" i="2"/>
  <c r="K65" i="2" s="1"/>
  <c r="K78" i="2"/>
  <c r="K77" i="2"/>
  <c r="P121" i="1"/>
  <c r="P131" i="1" s="1"/>
  <c r="DM23" i="1"/>
  <c r="DM29" i="1" s="1"/>
  <c r="CM29" i="1"/>
  <c r="CM31" i="1" s="1"/>
  <c r="CM36" i="1" s="1"/>
  <c r="CM39" i="1" s="1"/>
  <c r="Q293" i="1"/>
  <c r="K59" i="2" l="1"/>
  <c r="K60" i="2" s="1"/>
  <c r="P54" i="1"/>
  <c r="P71" i="1" s="1"/>
  <c r="P136" i="1"/>
  <c r="P149" i="1"/>
  <c r="P155" i="1" s="1"/>
  <c r="P159" i="1" s="1"/>
  <c r="P160" i="1" s="1"/>
  <c r="P73" i="1" l="1"/>
  <c r="P77" i="1"/>
  <c r="P87" i="1" s="1"/>
  <c r="P161" i="1" s="1"/>
  <c r="P162" i="1" s="1"/>
  <c r="O28" i="4" l="1"/>
  <c r="O29" i="4" s="1"/>
  <c r="O30" i="4" s="1"/>
  <c r="Q286" i="1"/>
  <c r="Q288" i="1" s="1"/>
  <c r="Q294" i="1" s="1"/>
  <c r="Q56" i="1"/>
  <c r="Q122" i="1" s="1"/>
  <c r="CN23" i="1"/>
  <c r="Q84" i="1"/>
  <c r="Q152" i="1" s="1"/>
  <c r="AE29" i="1"/>
  <c r="P16" i="4"/>
  <c r="P18" i="4" s="1"/>
  <c r="P23" i="4" s="1"/>
  <c r="P27" i="4" l="1"/>
  <c r="Q121" i="1"/>
  <c r="Q131" i="1" s="1"/>
  <c r="DN23" i="1"/>
  <c r="DN29" i="1" s="1"/>
  <c r="CN29" i="1"/>
  <c r="CN31" i="1" s="1"/>
  <c r="CN36" i="1" s="1"/>
  <c r="CN39" i="1" s="1"/>
  <c r="Q54" i="1" l="1"/>
  <c r="Q71" i="1" s="1"/>
  <c r="Q149" i="1"/>
  <c r="Q155" i="1" s="1"/>
  <c r="Q159" i="1" s="1"/>
  <c r="Q160" i="1" s="1"/>
  <c r="Q136" i="1"/>
  <c r="P28" i="4" l="1"/>
  <c r="P29" i="4" s="1"/>
  <c r="P30" i="4" s="1"/>
  <c r="L81" i="3"/>
  <c r="L82" i="3" s="1"/>
  <c r="L83" i="3" s="1"/>
  <c r="L77" i="2"/>
  <c r="L64" i="2"/>
  <c r="L65" i="2" s="1"/>
  <c r="L78" i="2"/>
  <c r="Q73" i="1"/>
  <c r="Q77" i="1"/>
  <c r="Q87" i="1" s="1"/>
  <c r="Q161" i="1" s="1"/>
  <c r="Q162" i="1" s="1"/>
  <c r="L59" i="2" l="1"/>
  <c r="L60" i="2" s="1"/>
  <c r="M81" i="3" l="1"/>
  <c r="M82" i="3" s="1"/>
  <c r="M83" i="3" s="1"/>
  <c r="M77" i="2" l="1"/>
  <c r="M78" i="2"/>
  <c r="M64" i="2"/>
  <c r="M65" i="2" s="1"/>
  <c r="M59" i="2" l="1"/>
  <c r="M60" i="2" s="1"/>
  <c r="N81" i="3" l="1"/>
  <c r="N82" i="3" s="1"/>
  <c r="N83" i="3" s="1"/>
  <c r="N78" i="2"/>
  <c r="N64" i="2"/>
  <c r="N65" i="2" s="1"/>
  <c r="N77" i="2"/>
  <c r="N59" i="2" l="1"/>
  <c r="N60" i="2" s="1"/>
  <c r="O81" i="3" l="1"/>
  <c r="O82" i="3" s="1"/>
  <c r="O83" i="3" s="1"/>
  <c r="O78" i="2"/>
  <c r="O64" i="2"/>
  <c r="O65" i="2" s="1"/>
  <c r="O77" i="2"/>
  <c r="O59" i="2" l="1"/>
  <c r="O60" i="2" s="1"/>
  <c r="P77" i="2" l="1"/>
  <c r="P81" i="3"/>
  <c r="P82" i="3" s="1"/>
  <c r="P83" i="3" s="1"/>
  <c r="P64" i="2" l="1"/>
  <c r="P65" i="2" s="1"/>
  <c r="P59" i="2" s="1"/>
  <c r="P60" i="2" s="1"/>
  <c r="P78" i="2"/>
</calcChain>
</file>

<file path=xl/sharedStrings.xml><?xml version="1.0" encoding="utf-8"?>
<sst xmlns="http://schemas.openxmlformats.org/spreadsheetml/2006/main" count="4811" uniqueCount="246">
  <si>
    <t>hide</t>
  </si>
  <si>
    <t xml:space="preserve"> </t>
  </si>
  <si>
    <t>end</t>
  </si>
  <si>
    <t>Actuals</t>
  </si>
  <si>
    <t>Current Year</t>
  </si>
  <si>
    <t>Projected Years</t>
  </si>
  <si>
    <t>Forecasted Income</t>
  </si>
  <si>
    <t>Non-cash Income</t>
  </si>
  <si>
    <t>Cash Income</t>
  </si>
  <si>
    <t>Cash Receivables</t>
  </si>
  <si>
    <t>Income from Continuing Operations</t>
  </si>
  <si>
    <t>Code</t>
  </si>
  <si>
    <t>Revenue:</t>
  </si>
  <si>
    <t>Rates &amp; Annual Charges</t>
  </si>
  <si>
    <t>yes</t>
  </si>
  <si>
    <t>User Charges &amp; Fees</t>
  </si>
  <si>
    <t>Interest &amp; Investment Revenue</t>
  </si>
  <si>
    <t>rc</t>
  </si>
  <si>
    <t>Other Revenues</t>
  </si>
  <si>
    <t>Grants &amp; Contributions provided for Operating Purposes</t>
  </si>
  <si>
    <t>Grants &amp; Contributions provided for Capital Purposes</t>
  </si>
  <si>
    <t>Other Income:</t>
  </si>
  <si>
    <t>Net gains from the disposal of assets</t>
  </si>
  <si>
    <t>different formula</t>
  </si>
  <si>
    <t>Joint Ventures &amp; Associated Entities</t>
  </si>
  <si>
    <t>Total Income from Continuing Operations</t>
  </si>
  <si>
    <t>Expenses from Continuing Operations</t>
  </si>
  <si>
    <t>Forecasted Expenditure</t>
  </si>
  <si>
    <t>Non-cash Expenditure</t>
  </si>
  <si>
    <t>Cash Expenditure</t>
  </si>
  <si>
    <t>Cash Payables</t>
  </si>
  <si>
    <t>Employee Benefits &amp; On-Costs</t>
  </si>
  <si>
    <t>Borrowing Costs</t>
  </si>
  <si>
    <t>Materials &amp; Contracts</t>
  </si>
  <si>
    <t>Depreciation &amp; Amortisation</t>
  </si>
  <si>
    <t>Impairment</t>
  </si>
  <si>
    <t>Other Expenses</t>
  </si>
  <si>
    <t>Interest &amp; Investment Losses</t>
  </si>
  <si>
    <t>Net Losses from the Disposal of Assets</t>
  </si>
  <si>
    <t>Total Expenses from Continuing Operations</t>
  </si>
  <si>
    <t>Operating Result from Continuing Operations</t>
  </si>
  <si>
    <t>Discontinued Operations</t>
  </si>
  <si>
    <t>Discontinued Operations - Profit/(Loss)</t>
  </si>
  <si>
    <t>Net Profit/(Loss) from Discontinued Operations</t>
  </si>
  <si>
    <t>Net Operating Result for the Year</t>
  </si>
  <si>
    <t xml:space="preserve">Net Operating Result before Grants and Contributions provided for </t>
  </si>
  <si>
    <t>Capital Purposes</t>
  </si>
  <si>
    <t>hide row</t>
  </si>
  <si>
    <t>Net Internal Surplus</t>
  </si>
  <si>
    <t>Net Internal Deficit</t>
  </si>
  <si>
    <t>Interest receivable on Internal Loans</t>
  </si>
  <si>
    <t>Interest payable on Internal Loans</t>
  </si>
  <si>
    <t>Reconciliation of Budget Result (from Recurrent Operations)</t>
  </si>
  <si>
    <t>Less: Grants &amp; Contributions provided for Capital Purposes</t>
  </si>
  <si>
    <t>Plus: Depreciation &amp; Amortisation</t>
  </si>
  <si>
    <t>Plus/(Less) Net Reserve Transfer</t>
  </si>
  <si>
    <t>Plus/(Less) Investment Revenue variance (Model vs BU's)</t>
  </si>
  <si>
    <t>Plus/(Less): Investment (Revenues)/Deficit applicable to Section 94</t>
  </si>
  <si>
    <t>Plus/(Less) User Charges &amp; Fees variance (Model vs BU's)</t>
  </si>
  <si>
    <t>Plus/(Less) Other Revenue variance (Model vs BU's)</t>
  </si>
  <si>
    <t>Plus/(Less) Capital Grants &amp; Contribution variance (Model vs BU's)</t>
  </si>
  <si>
    <t>Less: Net gains from the disposal of assets</t>
  </si>
  <si>
    <t>Plus/(Less) Employee Costs variance (Model vs BU's)</t>
  </si>
  <si>
    <t>Plus/(Less) Materials &amp; Contracts Expense variance (Model vs BU's)</t>
  </si>
  <si>
    <t>Plus/(Less) Net Internal Charges</t>
  </si>
  <si>
    <t>Plus/(Less) Borrowing Cost variance (Model vs BU's)</t>
  </si>
  <si>
    <t>Plus/(Less) Other Expenses variance (Property Development)</t>
  </si>
  <si>
    <t>Plus: Net Losses from the Disposal of Assets</t>
  </si>
  <si>
    <t>Plus/(Less) Capital Expenses (BU's)</t>
  </si>
  <si>
    <t>Revised Budget Result</t>
  </si>
  <si>
    <t>Budget Result per Recurrent Operations</t>
  </si>
  <si>
    <t>Variance</t>
  </si>
  <si>
    <t>Variance can be booked in Tech1 at any time</t>
  </si>
  <si>
    <r>
      <t xml:space="preserve">Variance can </t>
    </r>
    <r>
      <rPr>
        <b/>
        <sz val="10"/>
        <rFont val="Arial"/>
        <family val="2"/>
      </rPr>
      <t>ONLY</t>
    </r>
    <r>
      <rPr>
        <sz val="10"/>
        <rFont val="Arial"/>
        <family val="2"/>
      </rPr>
      <t xml:space="preserve"> be booked in Tech1 at end of Financial Year</t>
    </r>
  </si>
  <si>
    <t>Plus/(Less) Depreciation Expense variance (Model vs BU's)</t>
  </si>
  <si>
    <t>Revised Budget for Recurring Operations</t>
  </si>
  <si>
    <t>Investment Revenue / Interest Rate (applicable to calculate Investment Revenues)</t>
  </si>
  <si>
    <t>Average of last 11 years</t>
  </si>
  <si>
    <t>Investment Revenue / Interest Rate (applicable to Section 94)</t>
  </si>
  <si>
    <t>Check that Rate applicable to Investment Revenues is entered</t>
  </si>
  <si>
    <t>Check that Rate applicable to S94 is entered</t>
  </si>
  <si>
    <t>Check that S94 rate is not greater than Investment Revenue rate</t>
  </si>
  <si>
    <t>Plus Net Reserve Transfer</t>
  </si>
  <si>
    <t>Operational Income</t>
  </si>
  <si>
    <t>Operational Income per Budget</t>
  </si>
  <si>
    <t>Operational Expenses</t>
  </si>
  <si>
    <t>Operational Expenses per Budget</t>
  </si>
  <si>
    <t>Plus/(Less) Internal Net Result</t>
  </si>
  <si>
    <t>Revised Operational</t>
  </si>
  <si>
    <t>Operational Income from above</t>
  </si>
  <si>
    <t>Revised Operational Income</t>
  </si>
  <si>
    <t>Operational Expenses from above</t>
  </si>
  <si>
    <t>Revised Operational Expenses</t>
  </si>
  <si>
    <t>Revised Operational Income above</t>
  </si>
  <si>
    <t>Revised Operational Expenses above</t>
  </si>
  <si>
    <t>Revised Operational Result</t>
  </si>
  <si>
    <t>Revised Budget for Recurring Operations above</t>
  </si>
  <si>
    <t>variance</t>
  </si>
  <si>
    <t>Variances between Income Statement &amp; Centres/Units:</t>
  </si>
  <si>
    <t>Income Statement</t>
  </si>
  <si>
    <t>Centres/Units:</t>
  </si>
  <si>
    <t>Reconciliation item 1</t>
  </si>
  <si>
    <t>Reconciliation item 2</t>
  </si>
  <si>
    <t>Reconciliation item 3</t>
  </si>
  <si>
    <t>Reconciliation item 4</t>
  </si>
  <si>
    <t>Reconciled Variance</t>
  </si>
  <si>
    <t>Less: Internal Interest per database</t>
  </si>
  <si>
    <t>Plus: Internal Interest per Schedule</t>
  </si>
  <si>
    <t>Reconciliation item 5</t>
  </si>
  <si>
    <t>Reconciliation item 6</t>
  </si>
  <si>
    <t>Less: External Interest per database</t>
  </si>
  <si>
    <t>Plus: External Interest per schedule</t>
  </si>
  <si>
    <t>Less: Finance Lease Interest per database</t>
  </si>
  <si>
    <t>Plus: Finance Interest per schedule</t>
  </si>
  <si>
    <t>Plus: Internal Interest per schedule</t>
  </si>
  <si>
    <t>Additional Borrowing Costs per Dev Contr Summary</t>
  </si>
  <si>
    <t>Additional accrued Remediation expenses per BalSht Wrk</t>
  </si>
  <si>
    <t>Interest on Loans - Loan Schedule</t>
  </si>
  <si>
    <t>Interest on Loans - Centres/Units</t>
  </si>
  <si>
    <t>Reconciliation item 7</t>
  </si>
  <si>
    <t>Reconciliation item 8</t>
  </si>
  <si>
    <t>Reconciliation item 9</t>
  </si>
  <si>
    <t>Reconciliation item 10</t>
  </si>
  <si>
    <t>Reconciliation item 11</t>
  </si>
  <si>
    <t>Reconciliation item 12</t>
  </si>
  <si>
    <t>ASSETS</t>
  </si>
  <si>
    <t>Current Assets</t>
  </si>
  <si>
    <t>Cash &amp; Cash Equivalents</t>
  </si>
  <si>
    <t>Investments</t>
  </si>
  <si>
    <t>Receivables</t>
  </si>
  <si>
    <t>Inventories</t>
  </si>
  <si>
    <t>Other</t>
  </si>
  <si>
    <t>Non-current assets classified as "held for sale"</t>
  </si>
  <si>
    <t>Rounding adjustment (keep line always hidden!!!!!)</t>
  </si>
  <si>
    <t>Total Current Assets</t>
  </si>
  <si>
    <t>Non-Current Assets</t>
  </si>
  <si>
    <t>Infrastructure, Property, Plant &amp; Equipment</t>
  </si>
  <si>
    <t>Investments Accounted for using the equity method</t>
  </si>
  <si>
    <t>Investment Property</t>
  </si>
  <si>
    <t>Intangible Assets</t>
  </si>
  <si>
    <t>Total Non-Current Assets</t>
  </si>
  <si>
    <t>TOTAL ASSETS</t>
  </si>
  <si>
    <t>LIABILITIES</t>
  </si>
  <si>
    <t>Current Liabilities</t>
  </si>
  <si>
    <t>Bank Overdraft</t>
  </si>
  <si>
    <t>Payables</t>
  </si>
  <si>
    <t>Income received in advance</t>
  </si>
  <si>
    <t>Borrowings</t>
  </si>
  <si>
    <t>Provisions</t>
  </si>
  <si>
    <t>Liabilities associated with assets classified as "held for sale"</t>
  </si>
  <si>
    <t>Total Current Liabilities</t>
  </si>
  <si>
    <t>Non-Current Liabilities</t>
  </si>
  <si>
    <t>Total Non-Current Liabilities</t>
  </si>
  <si>
    <t>TOTAL LIABILITIES</t>
  </si>
  <si>
    <t>Net Assets</t>
  </si>
  <si>
    <t>EQUITY</t>
  </si>
  <si>
    <t>Retained Earnings</t>
  </si>
  <si>
    <t>Revaluation Reserves</t>
  </si>
  <si>
    <t>Council Equity Interest</t>
  </si>
  <si>
    <t>Minority Equity Interest</t>
  </si>
  <si>
    <t>Total Equity</t>
  </si>
  <si>
    <t>Variance Net assets to Total Equity</t>
  </si>
  <si>
    <t>Check that variance above is NIL</t>
  </si>
  <si>
    <t>Variance Net assets to Total Equity (excluding rounding adjustment)</t>
  </si>
  <si>
    <t>Rounding adjustment required</t>
  </si>
  <si>
    <t>Internal Loans receivable - Current</t>
  </si>
  <si>
    <t>Internal Loans receivable - Non-current</t>
  </si>
  <si>
    <t>Internal Loans payable - Current</t>
  </si>
  <si>
    <t>Internal Loans payable - Non-current</t>
  </si>
  <si>
    <t>Debit Balance</t>
  </si>
  <si>
    <t>Overdraft Balance</t>
  </si>
  <si>
    <t>Cash Flows from Operating Activities</t>
  </si>
  <si>
    <t>Receipts:</t>
  </si>
  <si>
    <t>Allocate Income Line items here</t>
  </si>
  <si>
    <t>Interest &amp; Investment Revenue Received</t>
  </si>
  <si>
    <t>Grants &amp; Contributions</t>
  </si>
  <si>
    <t>Bonds &amp; Deposits Received</t>
  </si>
  <si>
    <t>Payments:</t>
  </si>
  <si>
    <t>Bonds &amp; Deposits Refunded</t>
  </si>
  <si>
    <t>Net Cash provided (or used in) Operating Activities</t>
  </si>
  <si>
    <t>Cash Flows from Investing Activities</t>
  </si>
  <si>
    <t>Sale of Investment Securities</t>
  </si>
  <si>
    <t>Sale of Investment Property</t>
  </si>
  <si>
    <t>Sale of Real Estate Assets</t>
  </si>
  <si>
    <t>Sale of Infrastructure, Property, Plant &amp; Equipment</t>
  </si>
  <si>
    <t>Sale of Interests in Joint Ventures &amp; Associates</t>
  </si>
  <si>
    <t>Sale of Intangible Assets</t>
  </si>
  <si>
    <t>Deferred Debtors Receipts</t>
  </si>
  <si>
    <t>Sale of Disposal Groups</t>
  </si>
  <si>
    <t>Distributions Received from Joint Ventures &amp; Associates</t>
  </si>
  <si>
    <t>Other Investing Activity Receipts</t>
  </si>
  <si>
    <t>Purchase of Investment Securities</t>
  </si>
  <si>
    <t>Purchase of Investment Property</t>
  </si>
  <si>
    <t>Purchase of Infrastructure, Property, Plant &amp; Equipment</t>
  </si>
  <si>
    <t>Purchase of Real Estate Assets</t>
  </si>
  <si>
    <t>Purchase of Intangible Assets</t>
  </si>
  <si>
    <t>Deferred Debtors &amp; Advances Made</t>
  </si>
  <si>
    <t>Purchase of Interests in Joint Ventures &amp; Associates</t>
  </si>
  <si>
    <t>Contributions Paid to Joint Ventures &amp; Associates</t>
  </si>
  <si>
    <t>Other Investing Activity Payments</t>
  </si>
  <si>
    <t>Net Cash provided (or used in) Investing Activities</t>
  </si>
  <si>
    <t>Cash Flows from Financing Activities</t>
  </si>
  <si>
    <t>Proceeds from Borrowings &amp; Advances</t>
  </si>
  <si>
    <t>Proceeds from Finance Leases</t>
  </si>
  <si>
    <t>Other Financing Activity Receipts</t>
  </si>
  <si>
    <t>Repayment of Borrowings &amp; Advances</t>
  </si>
  <si>
    <t>Repayment of Finance Lease Liabilities</t>
  </si>
  <si>
    <t>Distributions to Minority Interests</t>
  </si>
  <si>
    <t>Other Financing Activity Payments</t>
  </si>
  <si>
    <t>Net Cash Flow provided (used in) Financing Activities</t>
  </si>
  <si>
    <t>Net Increase/(Decrease) in Cash &amp; Cash Equivalents</t>
  </si>
  <si>
    <t>plus: Cash, Cash Equivalents &amp; Investments - beginning of year</t>
  </si>
  <si>
    <t>Cash &amp; Cash Equivalents - end of the year</t>
  </si>
  <si>
    <t>Investments - end of the year</t>
  </si>
  <si>
    <t>Cash, Cash Equivalents &amp; Investments - end of the year</t>
  </si>
  <si>
    <t>Representing:</t>
  </si>
  <si>
    <t>- External Restrictions</t>
  </si>
  <si>
    <t>- Internal Restricitons</t>
  </si>
  <si>
    <t>- Unrestricted</t>
  </si>
  <si>
    <t>Cash &amp; Investments per Balance Sheet</t>
  </si>
  <si>
    <t>Variance per Balance Sheet to Cash Flow</t>
  </si>
  <si>
    <t>Check that variance above is not greater than $2000</t>
  </si>
  <si>
    <t>Other Cash adjustments</t>
  </si>
  <si>
    <t>Change in other assets</t>
  </si>
  <si>
    <t>Change in Inventories</t>
  </si>
  <si>
    <t>Change in Liabilities associated with assets classified as "held for sale"</t>
  </si>
  <si>
    <t>Adjustment Other receipts</t>
  </si>
  <si>
    <t>Adjustment Other payments</t>
  </si>
  <si>
    <t>New Internal Loans provided</t>
  </si>
  <si>
    <t>New Internal Loans taken up</t>
  </si>
  <si>
    <t>Internal Loans Principal received</t>
  </si>
  <si>
    <t>Internal Loans Principal paid</t>
  </si>
  <si>
    <t>Opening Balance</t>
  </si>
  <si>
    <t>a. Current Year Income &amp; Expenses Recognised direct to Equity</t>
  </si>
  <si>
    <t>- Transfers to/(from) Asset Revaluation Reserve</t>
  </si>
  <si>
    <t>- Transfers to/(from) Other Reserves</t>
  </si>
  <si>
    <t>- Other Income/Expenses recognised</t>
  </si>
  <si>
    <t>- Other Adjustments</t>
  </si>
  <si>
    <t>Net Income Recognised Directly in Equity</t>
  </si>
  <si>
    <t>b. Net Operating Result for the Year</t>
  </si>
  <si>
    <t>Total Recognised Income &amp; Expenses (c&amp;d)</t>
  </si>
  <si>
    <t>c. Distributions to/(Contributions from) Minority Interests</t>
  </si>
  <si>
    <t>d. Transfers between Equity</t>
  </si>
  <si>
    <t>Equity - Balance at end of the reporting period</t>
  </si>
  <si>
    <t>Equity per above</t>
  </si>
  <si>
    <t>per Balance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</si>
</sst>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-* &quot;-&quot;_-"/>
    <numFmt numFmtId="165" formatCode="_(* #,##0_);[Red]_(* \(#,##0\);_-* &quot;-&quot;_-"/>
    <numFmt numFmtId="166" formatCode="_(* #,##0,_);[Red]_(* \(#,##0,\);_-* &quot;-&quot;_-"/>
    <numFmt numFmtId="167" formatCode="_(* #,##0.0000_);_(* \(#,##0.0000\);_-* &quot;-&quot;_-"/>
    <numFmt numFmtId="168" formatCode="_(* #,##0.000_);_(* \(#,##0.000\);_-* &quot;-&quot;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5" tint="-0.499984740745262"/>
      <name val="Arial"/>
      <family val="2"/>
    </font>
    <font>
      <b/>
      <sz val="9"/>
      <name val="Arial"/>
      <family val="2"/>
    </font>
    <font>
      <sz val="10"/>
      <color rgb="FFFFC00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 style="medium">
        <color rgb="FFCCFFCC"/>
      </left>
      <right style="medium">
        <color rgb="FFCCFFCC"/>
      </right>
      <top style="medium">
        <color rgb="FFCCFFCC"/>
      </top>
      <bottom style="medium">
        <color rgb="FFCCFFCC"/>
      </bottom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rgb="FFFFC000"/>
      </right>
      <top style="medium">
        <color indexed="64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medium">
        <color indexed="64"/>
      </top>
      <bottom style="thin">
        <color rgb="FFFFC000"/>
      </bottom>
      <diagonal/>
    </border>
    <border>
      <left style="thick">
        <color indexed="42"/>
      </left>
      <right/>
      <top style="thick">
        <color indexed="42"/>
      </top>
      <bottom/>
      <diagonal/>
    </border>
    <border>
      <left/>
      <right style="thick">
        <color indexed="42"/>
      </right>
      <top style="thick">
        <color indexed="42"/>
      </top>
      <bottom/>
      <diagonal/>
    </border>
    <border>
      <left style="thick">
        <color indexed="42"/>
      </left>
      <right/>
      <top/>
      <bottom/>
      <diagonal/>
    </border>
    <border>
      <left/>
      <right style="thick">
        <color indexed="42"/>
      </right>
      <top/>
      <bottom/>
      <diagonal/>
    </border>
    <border>
      <left/>
      <right style="thick">
        <color indexed="42"/>
      </right>
      <top/>
      <bottom style="thick">
        <color indexed="4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 style="thin">
        <color indexed="64"/>
      </top>
      <bottom style="thin">
        <color rgb="FFFFC000"/>
      </bottom>
      <diagonal/>
    </border>
    <border>
      <left/>
      <right style="thin">
        <color rgb="FFFFC000"/>
      </right>
      <top style="thin">
        <color indexed="64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indexed="64"/>
      </top>
      <bottom style="thin">
        <color rgb="FFFFC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164" fontId="3" fillId="2" borderId="0" xfId="0" applyNumberFormat="1" applyFont="1" applyFill="1" applyProtection="1">
      <protection hidden="1"/>
    </xf>
    <xf numFmtId="164" fontId="0" fillId="0" borderId="0" xfId="0" applyNumberFormat="1" applyProtection="1">
      <protection hidden="1"/>
    </xf>
    <xf numFmtId="164" fontId="4" fillId="3" borderId="0" xfId="0" applyNumberFormat="1" applyFont="1" applyFill="1" applyProtection="1">
      <protection hidden="1"/>
    </xf>
    <xf numFmtId="164" fontId="0" fillId="0" borderId="0" xfId="0" applyNumberFormat="1" applyFill="1" applyProtection="1">
      <protection hidden="1"/>
    </xf>
    <xf numFmtId="164" fontId="3" fillId="0" borderId="0" xfId="0" applyNumberFormat="1" applyFont="1" applyBorder="1" applyProtection="1">
      <protection hidden="1"/>
    </xf>
    <xf numFmtId="164" fontId="0" fillId="2" borderId="0" xfId="0" applyNumberFormat="1" applyFill="1" applyProtection="1">
      <protection hidden="1"/>
    </xf>
    <xf numFmtId="164" fontId="5" fillId="0" borderId="0" xfId="0" applyNumberFormat="1" applyFont="1" applyAlignment="1" applyProtection="1">
      <alignment horizontal="right"/>
      <protection hidden="1"/>
    </xf>
    <xf numFmtId="164" fontId="5" fillId="2" borderId="0" xfId="0" applyNumberFormat="1" applyFont="1" applyFill="1" applyAlignment="1" applyProtection="1">
      <alignment horizontal="right"/>
      <protection hidden="1"/>
    </xf>
    <xf numFmtId="164" fontId="5" fillId="2" borderId="0" xfId="0" applyNumberFormat="1" applyFont="1" applyFill="1" applyProtection="1">
      <protection hidden="1"/>
    </xf>
    <xf numFmtId="164" fontId="5" fillId="0" borderId="0" xfId="0" applyNumberFormat="1" applyFont="1" applyAlignment="1" applyProtection="1">
      <alignment horizontal="center"/>
      <protection hidden="1"/>
    </xf>
    <xf numFmtId="164" fontId="5" fillId="0" borderId="0" xfId="0" applyNumberFormat="1" applyFont="1" applyProtection="1">
      <protection hidden="1"/>
    </xf>
    <xf numFmtId="164" fontId="5" fillId="2" borderId="0" xfId="0" applyNumberFormat="1" applyFont="1" applyFill="1" applyBorder="1" applyAlignment="1" applyProtection="1">
      <alignment horizontal="right"/>
      <protection hidden="1"/>
    </xf>
    <xf numFmtId="164" fontId="5" fillId="0" borderId="0" xfId="0" applyNumberFormat="1" applyFont="1" applyBorder="1" applyAlignment="1" applyProtection="1">
      <alignment horizontal="right"/>
      <protection hidden="1"/>
    </xf>
    <xf numFmtId="164" fontId="0" fillId="0" borderId="1" xfId="0" applyNumberFormat="1" applyBorder="1" applyProtection="1">
      <protection hidden="1"/>
    </xf>
    <xf numFmtId="165" fontId="5" fillId="2" borderId="1" xfId="0" quotePrefix="1" applyNumberFormat="1" applyFont="1" applyFill="1" applyBorder="1" applyAlignment="1" applyProtection="1">
      <alignment horizontal="right"/>
      <protection hidden="1"/>
    </xf>
    <xf numFmtId="165" fontId="5" fillId="0" borderId="1" xfId="0" quotePrefix="1" applyNumberFormat="1" applyFont="1" applyBorder="1" applyAlignment="1" applyProtection="1">
      <alignment horizontal="right"/>
      <protection hidden="1"/>
    </xf>
    <xf numFmtId="166" fontId="0" fillId="0" borderId="0" xfId="0" applyNumberFormat="1" applyProtection="1">
      <protection hidden="1"/>
    </xf>
    <xf numFmtId="166" fontId="3" fillId="0" borderId="0" xfId="0" applyNumberFormat="1" applyFont="1" applyProtection="1">
      <protection hidden="1"/>
    </xf>
    <xf numFmtId="166" fontId="0" fillId="2" borderId="0" xfId="0" applyNumberFormat="1" applyFill="1" applyProtection="1">
      <protection hidden="1"/>
    </xf>
    <xf numFmtId="166" fontId="2" fillId="0" borderId="0" xfId="0" applyNumberFormat="1" applyFont="1" applyProtection="1">
      <protection hidden="1"/>
    </xf>
    <xf numFmtId="166" fontId="4" fillId="3" borderId="0" xfId="0" applyNumberFormat="1" applyFont="1" applyFill="1" applyProtection="1">
      <protection hidden="1"/>
    </xf>
    <xf numFmtId="166" fontId="4" fillId="0" borderId="0" xfId="0" applyNumberFormat="1" applyFont="1" applyProtection="1">
      <protection hidden="1"/>
    </xf>
    <xf numFmtId="166" fontId="5" fillId="0" borderId="0" xfId="0" applyNumberFormat="1" applyFont="1" applyProtection="1">
      <protection hidden="1"/>
    </xf>
    <xf numFmtId="166" fontId="4" fillId="0" borderId="0" xfId="0" applyNumberFormat="1" applyFont="1" applyAlignment="1" applyProtection="1">
      <alignment horizontal="center"/>
      <protection hidden="1"/>
    </xf>
    <xf numFmtId="166" fontId="0" fillId="0" borderId="2" xfId="0" applyNumberFormat="1" applyBorder="1" applyProtection="1">
      <protection hidden="1"/>
    </xf>
    <xf numFmtId="166" fontId="0" fillId="0" borderId="3" xfId="0" applyNumberFormat="1" applyBorder="1" applyProtection="1">
      <protection hidden="1"/>
    </xf>
    <xf numFmtId="166" fontId="0" fillId="0" borderId="4" xfId="0" applyNumberFormat="1" applyBorder="1" applyProtection="1">
      <protection hidden="1"/>
    </xf>
    <xf numFmtId="166" fontId="6" fillId="0" borderId="0" xfId="0" applyNumberFormat="1" applyFont="1" applyProtection="1">
      <protection hidden="1"/>
    </xf>
    <xf numFmtId="166" fontId="0" fillId="0" borderId="5" xfId="0" applyNumberFormat="1" applyBorder="1" applyProtection="1">
      <protection hidden="1"/>
    </xf>
    <xf numFmtId="166" fontId="0" fillId="0" borderId="6" xfId="0" applyNumberFormat="1" applyBorder="1" applyProtection="1">
      <protection hidden="1"/>
    </xf>
    <xf numFmtId="166" fontId="0" fillId="0" borderId="7" xfId="0" applyNumberFormat="1" applyBorder="1" applyProtection="1">
      <protection hidden="1"/>
    </xf>
    <xf numFmtId="166" fontId="0" fillId="0" borderId="0" xfId="0" applyNumberFormat="1" applyFill="1" applyProtection="1">
      <protection hidden="1"/>
    </xf>
    <xf numFmtId="166" fontId="4" fillId="0" borderId="8" xfId="0" applyNumberFormat="1" applyFont="1" applyBorder="1" applyAlignment="1" applyProtection="1">
      <alignment horizontal="center"/>
      <protection hidden="1"/>
    </xf>
    <xf numFmtId="166" fontId="0" fillId="0" borderId="9" xfId="0" applyNumberFormat="1" applyBorder="1" applyProtection="1">
      <protection hidden="1"/>
    </xf>
    <xf numFmtId="166" fontId="0" fillId="0" borderId="0" xfId="0" applyNumberFormat="1" applyBorder="1" applyProtection="1">
      <protection hidden="1"/>
    </xf>
    <xf numFmtId="166" fontId="0" fillId="0" borderId="10" xfId="0" applyNumberFormat="1" applyBorder="1" applyProtection="1">
      <protection hidden="1"/>
    </xf>
    <xf numFmtId="166" fontId="0" fillId="0" borderId="0" xfId="0" applyNumberFormat="1" applyAlignment="1" applyProtection="1">
      <alignment horizontal="center"/>
      <protection hidden="1"/>
    </xf>
    <xf numFmtId="166" fontId="0" fillId="2" borderId="0" xfId="0" applyNumberFormat="1" applyFill="1" applyBorder="1" applyProtection="1">
      <protection hidden="1"/>
    </xf>
    <xf numFmtId="166" fontId="0" fillId="0" borderId="11" xfId="0" applyNumberFormat="1" applyBorder="1" applyProtection="1">
      <protection hidden="1"/>
    </xf>
    <xf numFmtId="166" fontId="0" fillId="0" borderId="12" xfId="0" applyNumberFormat="1" applyBorder="1" applyProtection="1">
      <protection hidden="1"/>
    </xf>
    <xf numFmtId="166" fontId="0" fillId="0" borderId="13" xfId="0" applyNumberFormat="1" applyBorder="1" applyProtection="1">
      <protection hidden="1"/>
    </xf>
    <xf numFmtId="166" fontId="0" fillId="0" borderId="14" xfId="0" applyNumberFormat="1" applyBorder="1" applyProtection="1">
      <protection hidden="1"/>
    </xf>
    <xf numFmtId="166" fontId="0" fillId="0" borderId="15" xfId="0" applyNumberFormat="1" applyBorder="1" applyProtection="1">
      <protection hidden="1"/>
    </xf>
    <xf numFmtId="166" fontId="0" fillId="0" borderId="16" xfId="0" applyNumberFormat="1" applyBorder="1" applyProtection="1">
      <protection hidden="1"/>
    </xf>
    <xf numFmtId="166" fontId="5" fillId="2" borderId="0" xfId="0" applyNumberFormat="1" applyFont="1" applyFill="1" applyBorder="1" applyProtection="1">
      <protection hidden="1"/>
    </xf>
    <xf numFmtId="166" fontId="5" fillId="0" borderId="12" xfId="0" applyNumberFormat="1" applyFont="1" applyBorder="1" applyProtection="1">
      <protection hidden="1"/>
    </xf>
    <xf numFmtId="166" fontId="5" fillId="0" borderId="0" xfId="0" applyNumberFormat="1" applyFont="1" applyBorder="1" applyProtection="1">
      <protection hidden="1"/>
    </xf>
    <xf numFmtId="166" fontId="0" fillId="4" borderId="0" xfId="0" applyNumberFormat="1" applyFill="1" applyProtection="1">
      <protection hidden="1"/>
    </xf>
    <xf numFmtId="166" fontId="0" fillId="0" borderId="17" xfId="0" applyNumberFormat="1" applyBorder="1" applyProtection="1">
      <protection hidden="1"/>
    </xf>
    <xf numFmtId="166" fontId="0" fillId="0" borderId="18" xfId="0" applyNumberFormat="1" applyBorder="1" applyProtection="1">
      <protection hidden="1"/>
    </xf>
    <xf numFmtId="166" fontId="0" fillId="0" borderId="19" xfId="0" applyNumberFormat="1" applyBorder="1" applyProtection="1">
      <protection hidden="1"/>
    </xf>
    <xf numFmtId="166" fontId="4" fillId="5" borderId="0" xfId="0" applyNumberFormat="1" applyFont="1" applyFill="1" applyBorder="1" applyAlignment="1" applyProtection="1">
      <alignment horizontal="right"/>
      <protection hidden="1"/>
    </xf>
    <xf numFmtId="166" fontId="5" fillId="0" borderId="20" xfId="0" applyNumberFormat="1" applyFont="1" applyBorder="1" applyProtection="1">
      <protection hidden="1"/>
    </xf>
    <xf numFmtId="166" fontId="7" fillId="0" borderId="0" xfId="0" applyNumberFormat="1" applyFont="1" applyProtection="1">
      <protection hidden="1"/>
    </xf>
    <xf numFmtId="166" fontId="7" fillId="2" borderId="0" xfId="0" applyNumberFormat="1" applyFont="1" applyFill="1" applyBorder="1" applyProtection="1">
      <protection hidden="1"/>
    </xf>
    <xf numFmtId="166" fontId="0" fillId="5" borderId="0" xfId="0" applyNumberFormat="1" applyFill="1" applyProtection="1">
      <protection hidden="1"/>
    </xf>
    <xf numFmtId="166" fontId="0" fillId="0" borderId="8" xfId="0" applyNumberFormat="1" applyBorder="1" applyProtection="1">
      <protection hidden="1"/>
    </xf>
    <xf numFmtId="164" fontId="4" fillId="0" borderId="0" xfId="0" applyNumberFormat="1" applyFont="1" applyProtection="1">
      <protection hidden="1"/>
    </xf>
    <xf numFmtId="165" fontId="0" fillId="0" borderId="0" xfId="0" applyNumberFormat="1" applyProtection="1">
      <protection hidden="1"/>
    </xf>
    <xf numFmtId="10" fontId="4" fillId="5" borderId="0" xfId="1" applyNumberFormat="1" applyFont="1" applyFill="1" applyBorder="1" applyProtection="1">
      <protection hidden="1"/>
    </xf>
    <xf numFmtId="165" fontId="4" fillId="3" borderId="0" xfId="0" applyNumberFormat="1" applyFont="1" applyFill="1" applyProtection="1">
      <protection hidden="1"/>
    </xf>
    <xf numFmtId="164" fontId="8" fillId="0" borderId="0" xfId="0" applyNumberFormat="1" applyFont="1" applyProtection="1">
      <protection hidden="1"/>
    </xf>
    <xf numFmtId="165" fontId="0" fillId="0" borderId="21" xfId="0" applyNumberFormat="1" applyBorder="1" applyProtection="1">
      <protection hidden="1"/>
    </xf>
    <xf numFmtId="166" fontId="0" fillId="0" borderId="0" xfId="0" applyNumberFormat="1" applyAlignment="1" applyProtection="1">
      <alignment horizontal="left" indent="1"/>
      <protection hidden="1"/>
    </xf>
    <xf numFmtId="166" fontId="4" fillId="0" borderId="0" xfId="0" applyNumberFormat="1" applyFont="1" applyAlignment="1" applyProtection="1">
      <alignment horizontal="left" indent="2"/>
      <protection hidden="1"/>
    </xf>
    <xf numFmtId="166" fontId="0" fillId="0" borderId="0" xfId="0" applyNumberFormat="1" applyFill="1" applyBorder="1" applyProtection="1">
      <protection hidden="1"/>
    </xf>
    <xf numFmtId="166" fontId="5" fillId="0" borderId="22" xfId="0" applyNumberFormat="1" applyFont="1" applyBorder="1" applyProtection="1">
      <protection hidden="1"/>
    </xf>
    <xf numFmtId="166" fontId="5" fillId="0" borderId="23" xfId="0" applyNumberFormat="1" applyFont="1" applyBorder="1" applyProtection="1">
      <protection hidden="1"/>
    </xf>
    <xf numFmtId="166" fontId="4" fillId="0" borderId="0" xfId="0" applyNumberFormat="1" applyFont="1" applyBorder="1" applyProtection="1">
      <protection hidden="1"/>
    </xf>
    <xf numFmtId="166" fontId="8" fillId="0" borderId="0" xfId="0" applyNumberFormat="1" applyFont="1" applyProtection="1">
      <protection hidden="1"/>
    </xf>
    <xf numFmtId="166" fontId="8" fillId="0" borderId="0" xfId="0" applyNumberFormat="1" applyFont="1" applyBorder="1" applyProtection="1">
      <protection hidden="1"/>
    </xf>
    <xf numFmtId="166" fontId="0" fillId="0" borderId="24" xfId="0" applyNumberFormat="1" applyBorder="1" applyAlignment="1" applyProtection="1">
      <alignment horizontal="right"/>
      <protection hidden="1"/>
    </xf>
    <xf numFmtId="166" fontId="0" fillId="0" borderId="25" xfId="0" applyNumberFormat="1" applyBorder="1" applyAlignment="1" applyProtection="1">
      <alignment horizontal="right"/>
      <protection hidden="1"/>
    </xf>
    <xf numFmtId="166" fontId="0" fillId="0" borderId="1" xfId="0" applyNumberFormat="1" applyBorder="1" applyProtection="1">
      <protection hidden="1"/>
    </xf>
    <xf numFmtId="164" fontId="0" fillId="0" borderId="0" xfId="0" applyNumberFormat="1" applyBorder="1" applyProtection="1">
      <protection hidden="1"/>
    </xf>
    <xf numFmtId="165" fontId="4" fillId="0" borderId="0" xfId="0" applyNumberFormat="1" applyFont="1" applyProtection="1">
      <protection hidden="1"/>
    </xf>
    <xf numFmtId="164" fontId="0" fillId="2" borderId="0" xfId="0" applyNumberFormat="1" applyFill="1" applyAlignment="1" applyProtection="1">
      <alignment horizontal="right"/>
      <protection hidden="1"/>
    </xf>
    <xf numFmtId="164" fontId="9" fillId="0" borderId="0" xfId="0" applyNumberFormat="1" applyFont="1" applyProtection="1">
      <protection hidden="1"/>
    </xf>
    <xf numFmtId="164" fontId="0" fillId="0" borderId="26" xfId="0" applyNumberFormat="1" applyBorder="1" applyProtection="1">
      <protection hidden="1"/>
    </xf>
    <xf numFmtId="164" fontId="0" fillId="0" borderId="27" xfId="0" applyNumberFormat="1" applyBorder="1" applyProtection="1">
      <protection hidden="1"/>
    </xf>
    <xf numFmtId="10" fontId="0" fillId="0" borderId="0" xfId="1" applyNumberFormat="1" applyFont="1" applyProtection="1">
      <protection hidden="1"/>
    </xf>
    <xf numFmtId="164" fontId="0" fillId="0" borderId="28" xfId="0" applyNumberFormat="1" applyBorder="1" applyProtection="1">
      <protection hidden="1"/>
    </xf>
    <xf numFmtId="164" fontId="0" fillId="0" borderId="29" xfId="0" applyNumberFormat="1" applyBorder="1" applyProtection="1">
      <protection hidden="1"/>
    </xf>
    <xf numFmtId="164" fontId="0" fillId="0" borderId="30" xfId="0" applyNumberFormat="1" applyBorder="1" applyProtection="1">
      <protection hidden="1"/>
    </xf>
    <xf numFmtId="166" fontId="4" fillId="2" borderId="0" xfId="0" applyNumberFormat="1" applyFont="1" applyFill="1" applyBorder="1" applyAlignment="1" applyProtection="1">
      <alignment horizontal="right"/>
      <protection hidden="1"/>
    </xf>
    <xf numFmtId="166" fontId="0" fillId="0" borderId="31" xfId="0" applyNumberFormat="1" applyBorder="1" applyProtection="1">
      <protection hidden="1"/>
    </xf>
    <xf numFmtId="166" fontId="5" fillId="0" borderId="18" xfId="0" applyNumberFormat="1" applyFont="1" applyBorder="1" applyProtection="1">
      <protection hidden="1"/>
    </xf>
    <xf numFmtId="166" fontId="0" fillId="0" borderId="0" xfId="0" quotePrefix="1" applyNumberFormat="1" applyProtection="1">
      <protection hidden="1"/>
    </xf>
    <xf numFmtId="166" fontId="0" fillId="0" borderId="32" xfId="0" applyNumberFormat="1" applyBorder="1" applyAlignment="1" applyProtection="1">
      <alignment horizontal="right"/>
      <protection hidden="1"/>
    </xf>
    <xf numFmtId="166" fontId="0" fillId="0" borderId="33" xfId="0" applyNumberFormat="1" applyBorder="1" applyAlignment="1" applyProtection="1">
      <alignment horizontal="right"/>
      <protection hidden="1"/>
    </xf>
    <xf numFmtId="166" fontId="0" fillId="0" borderId="21" xfId="0" applyNumberFormat="1" applyBorder="1" applyAlignment="1" applyProtection="1">
      <alignment horizontal="right"/>
      <protection hidden="1"/>
    </xf>
    <xf numFmtId="166" fontId="4" fillId="3" borderId="0" xfId="0" applyNumberFormat="1" applyFont="1" applyFill="1" applyBorder="1" applyProtection="1">
      <protection hidden="1"/>
    </xf>
    <xf numFmtId="165" fontId="4" fillId="3" borderId="0" xfId="0" applyNumberFormat="1" applyFont="1" applyFill="1" applyBorder="1" applyProtection="1">
      <protection hidden="1"/>
    </xf>
    <xf numFmtId="167" fontId="0" fillId="0" borderId="0" xfId="0" applyNumberFormat="1" applyProtection="1">
      <protection hidden="1"/>
    </xf>
    <xf numFmtId="168" fontId="0" fillId="0" borderId="0" xfId="0" applyNumberFormat="1" applyProtection="1">
      <protection hidden="1"/>
    </xf>
    <xf numFmtId="166" fontId="0" fillId="0" borderId="34" xfId="0" applyNumberFormat="1" applyBorder="1" applyAlignment="1" applyProtection="1">
      <alignment horizontal="right"/>
      <protection hidden="1"/>
    </xf>
    <xf numFmtId="166" fontId="0" fillId="0" borderId="0" xfId="0" applyNumberFormat="1" applyBorder="1" applyAlignment="1" applyProtection="1">
      <alignment horizontal="right"/>
      <protection hidden="1"/>
    </xf>
    <xf numFmtId="166" fontId="0" fillId="0" borderId="35" xfId="0" applyNumberFormat="1" applyBorder="1" applyAlignment="1" applyProtection="1">
      <alignment horizontal="right"/>
      <protection hidden="1"/>
    </xf>
    <xf numFmtId="166" fontId="0" fillId="0" borderId="36" xfId="0" applyNumberFormat="1" applyBorder="1" applyAlignment="1" applyProtection="1">
      <alignment horizontal="right"/>
      <protection hidden="1"/>
    </xf>
    <xf numFmtId="164" fontId="0" fillId="0" borderId="0" xfId="0" applyNumberFormat="1" applyFill="1" applyBorder="1" applyProtection="1"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Finance/Finance/SRV%20Application/LTFP%20Implemented/Scenario%203%20-%20Additional%20SRV%20+%20Improvement%20Plan%20+%20Landfill%20Operations/LTFP_General_Main_Workfi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 names"/>
      <sheetName val="Check Range names"/>
      <sheetName val="Cover Page"/>
      <sheetName val="year"/>
      <sheetName val="Checklist"/>
      <sheetName val="Income Statement"/>
      <sheetName val="IS Workings"/>
      <sheetName val="Balance Sheet"/>
      <sheetName val="BS workings"/>
      <sheetName val="Target %"/>
      <sheetName val="Cash Flow"/>
      <sheetName val="CF workings"/>
      <sheetName val="Equity Statement"/>
      <sheetName val="TY-LY Comparison"/>
      <sheetName val="Interest Calculation"/>
      <sheetName val="Budget Summary 1"/>
      <sheetName val="Budget Reconciliation"/>
      <sheetName val="Budget Summary 2"/>
      <sheetName val="Cap Exp Summary"/>
      <sheetName val="Exp Type Summary"/>
      <sheetName val="Working Capital"/>
      <sheetName val="Historical Data"/>
      <sheetName val="Budget Summary 1 by level"/>
      <sheetName val="Budget Summary 2 by level"/>
      <sheetName val="Summary L1"/>
      <sheetName val="Summary L2"/>
      <sheetName val="Summary L3"/>
      <sheetName val="Summary L4"/>
      <sheetName val="Summary L5"/>
      <sheetName val="Summary L6"/>
      <sheetName val="Summary F1"/>
      <sheetName val="Summary F2"/>
      <sheetName val="Summary F3"/>
      <sheetName val="Summary F4"/>
      <sheetName val="KPI - Snapshot"/>
      <sheetName val="KPI - Benchmark Targets"/>
      <sheetName val="KPI calculation"/>
      <sheetName val="Charts"/>
      <sheetName val="Chart Data"/>
      <sheetName val="Chart 1 General"/>
      <sheetName val="Chart 2 General"/>
      <sheetName val="Scenarios"/>
      <sheetName val="S94 - Plan Summary"/>
      <sheetName val="S94 Plans"/>
      <sheetName val="S94 Plans --&gt;"/>
      <sheetName val="S94 specific Plans --&gt;"/>
      <sheetName val="S94 - Plan 1"/>
      <sheetName val="&lt;-- S94 specific Plans"/>
      <sheetName val="S94 Plan reconciling --&gt;"/>
      <sheetName val="S94 - Not under Plan"/>
      <sheetName val="&lt;-- S94 Plan reconciling"/>
      <sheetName val="&lt;-- S94 Plans"/>
      <sheetName val="S94 - Plan spare"/>
      <sheetName val="CAPEX Summary"/>
      <sheetName val="CAPEX program"/>
      <sheetName val="Major Projects summary"/>
      <sheetName val="Major Projects dump"/>
      <sheetName val="RE Dev Summary"/>
      <sheetName val="RE Dev --&gt;"/>
      <sheetName val="RE Dev Reconciling --&gt;"/>
      <sheetName val="RE Dev 1"/>
      <sheetName val="&lt;-- RE Dev Reconciling"/>
      <sheetName val="RE Dev additional --&gt;"/>
      <sheetName val="&lt;-- RE Dev additional"/>
      <sheetName val="&lt;-- RE Dev"/>
      <sheetName val="RE Dev spare"/>
      <sheetName val="Assets - Disposals &amp; Transfers"/>
      <sheetName val="IPP&amp;E Reconciliation"/>
      <sheetName val="Loans - External"/>
      <sheetName val="Loans Payable - Internal"/>
      <sheetName val="Loans Receivable - Internal"/>
      <sheetName val="Finance Leases"/>
      <sheetName val="Internal Reserves"/>
      <sheetName val="External Reserves"/>
      <sheetName val="Leave Entitlements General"/>
      <sheetName val="Group Data General"/>
      <sheetName val="Global Indexation"/>
      <sheetName val="Population Indexation"/>
      <sheetName val="GL Table"/>
      <sheetName val="CoA - Op Exp"/>
      <sheetName val="CoA - Op Inc"/>
      <sheetName val="CoA - Cap Exp"/>
      <sheetName val="CoA - Cap Inc"/>
      <sheetName val="CoA - Res Exp"/>
      <sheetName val="CoA - Res Inc"/>
      <sheetName val="CoA - Int Exp"/>
      <sheetName val="CoA - Int Inc"/>
      <sheetName val="check s94"/>
      <sheetName val="check RE Dev"/>
      <sheetName val="Database Extract"/>
      <sheetName val="Database"/>
      <sheetName val="Data Dump"/>
      <sheetName val="writing errors"/>
      <sheetName val="Levels (Org Structure)"/>
      <sheetName val="Fcts (Fctional Struct)"/>
      <sheetName val="drop down list"/>
      <sheetName val="IS-BS table general"/>
      <sheetName val="Acct Components"/>
      <sheetName val="LSOp --&gt;"/>
      <sheetName val="LSGOp1"/>
      <sheetName val="LSGOp2"/>
      <sheetName val="LSGOp3"/>
      <sheetName val="LSGOp4"/>
      <sheetName val="LSGOp5"/>
      <sheetName val="LSGOp6"/>
      <sheetName val="LSGOp7"/>
      <sheetName val="LSGOp8"/>
      <sheetName val="LSGOp9"/>
      <sheetName val="LSGOp10"/>
      <sheetName val="LSGOp11"/>
      <sheetName val="LSGOp12"/>
      <sheetName val="LSGOp13"/>
      <sheetName val="LSGOp14"/>
      <sheetName val="LSGOp15"/>
      <sheetName val="LSGOp16"/>
      <sheetName val="LSGOp17"/>
      <sheetName val="LSGOp18"/>
      <sheetName val="LSGOp19"/>
      <sheetName val="LSGOp20"/>
      <sheetName val="&lt;-- LSOp"/>
      <sheetName val="LSCap --&gt;"/>
      <sheetName val="LSGCap1"/>
      <sheetName val="LSGCap2"/>
      <sheetName val="LSGCap3"/>
      <sheetName val="LSGCap4"/>
      <sheetName val="LSGCap5"/>
      <sheetName val="LSGCap6"/>
      <sheetName val="LSGCap7"/>
      <sheetName val="LSGCap8"/>
      <sheetName val="LSGCap9"/>
      <sheetName val="LSGCap10"/>
      <sheetName val="LSGCap11"/>
      <sheetName val="LSGCap12"/>
      <sheetName val="LSGCap13"/>
      <sheetName val="LSGCap14"/>
      <sheetName val="LSGCap15"/>
      <sheetName val="LSGCap16"/>
      <sheetName val="LSGCap17"/>
      <sheetName val="LSGCap18"/>
      <sheetName val="LSGCap19"/>
      <sheetName val="LSGCap20"/>
      <sheetName val="&lt;-- LSCap"/>
      <sheetName val="LSMajor --&gt;"/>
      <sheetName val="LSGMajor1"/>
      <sheetName val="LSGMajor2"/>
      <sheetName val="LSGMajor3"/>
      <sheetName val="LSGMajor4"/>
      <sheetName val="LSGMajor5"/>
      <sheetName val="LSGMajor6"/>
      <sheetName val="LSGMajor7"/>
      <sheetName val="LSGMajor8"/>
      <sheetName val="LSGMajor9"/>
      <sheetName val="LSGMajor10"/>
      <sheetName val="&lt;-- LSMajor"/>
      <sheetName val="FLS --&gt;"/>
      <sheetName val="FinLSG1"/>
      <sheetName val="FinLSG2"/>
      <sheetName val="FinLSG3"/>
      <sheetName val="FinLSG4"/>
      <sheetName val="FinLSG5"/>
      <sheetName val="FinLSG6"/>
      <sheetName val="FinLSG7"/>
      <sheetName val="FinLSG8"/>
      <sheetName val="FinLSG9"/>
      <sheetName val="FinLSG10"/>
      <sheetName val="&lt;-- FLS"/>
      <sheetName val="LSInt --&gt;"/>
      <sheetName val="LSGInt1"/>
      <sheetName val="LSGInt2"/>
      <sheetName val="LSGInt3"/>
      <sheetName val="LSGInt4"/>
      <sheetName val="LSGInt5"/>
      <sheetName val="LSGInt6"/>
      <sheetName val="LSGInt7"/>
      <sheetName val="LSGInt8"/>
      <sheetName val="LSGInt9"/>
      <sheetName val="LSGInt10"/>
      <sheetName val="&lt;-- LSInt"/>
      <sheetName val="Sheet1"/>
      <sheetName val="Sheet2"/>
      <sheetName val="Sheet3"/>
      <sheetName val="Sheet4"/>
    </sheetNames>
    <sheetDataSet>
      <sheetData sheetId="0"/>
      <sheetData sheetId="1"/>
      <sheetData sheetId="2">
        <row r="3">
          <cell r="A3" t="str">
            <v>Lithgow City Council</v>
          </cell>
        </row>
        <row r="5">
          <cell r="A5" t="str">
            <v>10 Year Financial Plan for the Years ending 30 June 2029</v>
          </cell>
        </row>
        <row r="11">
          <cell r="E11" t="str">
            <v>Base Scenario</v>
          </cell>
        </row>
        <row r="13">
          <cell r="E13" t="str">
            <v>General Fund</v>
          </cell>
        </row>
        <row r="19">
          <cell r="K19" t="b">
            <v>0</v>
          </cell>
        </row>
      </sheetData>
      <sheetData sheetId="3">
        <row r="5">
          <cell r="E5">
            <v>2019</v>
          </cell>
        </row>
      </sheetData>
      <sheetData sheetId="4"/>
      <sheetData sheetId="5">
        <row r="36">
          <cell r="F36">
            <v>3591533.6300000139</v>
          </cell>
          <cell r="H36">
            <v>2882978.191702541</v>
          </cell>
          <cell r="I36">
            <v>3473343.3753916062</v>
          </cell>
          <cell r="J36">
            <v>4053498.6622249074</v>
          </cell>
          <cell r="K36">
            <v>4319912.7379756793</v>
          </cell>
          <cell r="L36">
            <v>4709370.6659158804</v>
          </cell>
          <cell r="M36">
            <v>4602290.9459327608</v>
          </cell>
          <cell r="N36">
            <v>4779211.4864401594</v>
          </cell>
          <cell r="O36">
            <v>4837350.5731174573</v>
          </cell>
          <cell r="P36">
            <v>4878563.0991989747</v>
          </cell>
          <cell r="Q36">
            <v>4921185.5093323812</v>
          </cell>
        </row>
      </sheetData>
      <sheetData sheetId="6"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201">
          <cell r="E201">
            <v>-194156.11</v>
          </cell>
          <cell r="G201">
            <v>-155857.10999999999</v>
          </cell>
          <cell r="H201">
            <v>-125572.11</v>
          </cell>
          <cell r="I201">
            <v>-95372.11</v>
          </cell>
          <cell r="J201">
            <v>-66071.11</v>
          </cell>
          <cell r="K201">
            <v>-43133.11</v>
          </cell>
          <cell r="L201">
            <v>-17783.11</v>
          </cell>
          <cell r="M201">
            <v>-9710.11</v>
          </cell>
          <cell r="N201">
            <v>-9022.11</v>
          </cell>
          <cell r="O201">
            <v>-8329.11</v>
          </cell>
          <cell r="P201">
            <v>-7564.11</v>
          </cell>
        </row>
        <row r="202">
          <cell r="E202">
            <v>194156.12</v>
          </cell>
          <cell r="G202">
            <v>155857.18</v>
          </cell>
          <cell r="H202">
            <v>125571.66</v>
          </cell>
          <cell r="I202">
            <v>95371.97</v>
          </cell>
          <cell r="J202">
            <v>66071.42</v>
          </cell>
          <cell r="K202">
            <v>43132.7</v>
          </cell>
          <cell r="L202">
            <v>17782.88</v>
          </cell>
          <cell r="M202">
            <v>9710.49</v>
          </cell>
          <cell r="N202">
            <v>9022.2999999999993</v>
          </cell>
          <cell r="O202">
            <v>8329.4699999999993</v>
          </cell>
          <cell r="P202">
            <v>7563.6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E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E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</sheetData>
      <sheetData sheetId="7">
        <row r="56">
          <cell r="E56">
            <v>413848533.63</v>
          </cell>
          <cell r="G56">
            <v>416731511.8217026</v>
          </cell>
          <cell r="H56">
            <v>420204855.1970942</v>
          </cell>
          <cell r="I56">
            <v>424258353.85931909</v>
          </cell>
          <cell r="J56">
            <v>428578266.59729481</v>
          </cell>
          <cell r="K56">
            <v>433287637.26321065</v>
          </cell>
          <cell r="L56">
            <v>437889928.2091434</v>
          </cell>
          <cell r="M56">
            <v>442669139.69558358</v>
          </cell>
          <cell r="N56">
            <v>447506490.26870102</v>
          </cell>
          <cell r="O56">
            <v>452385053.36790001</v>
          </cell>
          <cell r="P56">
            <v>457306238.87723237</v>
          </cell>
        </row>
      </sheetData>
      <sheetData sheetId="8">
        <row r="32"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48">
          <cell r="E48">
            <v>16205371.602352718</v>
          </cell>
          <cell r="G48">
            <v>12210973.674641291</v>
          </cell>
          <cell r="H48">
            <v>12040104.00252589</v>
          </cell>
          <cell r="I48">
            <v>11964801.64971667</v>
          </cell>
          <cell r="J48">
            <v>11733045.578884056</v>
          </cell>
          <cell r="K48">
            <v>12100932.385998407</v>
          </cell>
          <cell r="L48">
            <v>13102385.578271221</v>
          </cell>
          <cell r="M48">
            <v>14239207.231150996</v>
          </cell>
          <cell r="N48">
            <v>16540899.482639484</v>
          </cell>
          <cell r="O48">
            <v>18878037.498770811</v>
          </cell>
          <cell r="P48">
            <v>20348703.362976443</v>
          </cell>
        </row>
        <row r="49">
          <cell r="E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439">
          <cell r="E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552">
          <cell r="E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</row>
        <row r="579">
          <cell r="E579">
            <v>335000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</row>
        <row r="600">
          <cell r="E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32">
          <cell r="E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</row>
        <row r="839">
          <cell r="E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</row>
        <row r="840">
          <cell r="E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</row>
        <row r="918">
          <cell r="R918" t="str">
            <v xml:space="preserve"> </v>
          </cell>
        </row>
        <row r="919">
          <cell r="R919" t="str">
            <v xml:space="preserve"> </v>
          </cell>
        </row>
      </sheetData>
      <sheetData sheetId="9">
        <row r="11">
          <cell r="G11">
            <v>0.03</v>
          </cell>
          <cell r="H11">
            <v>0.03</v>
          </cell>
          <cell r="I11">
            <v>0.03</v>
          </cell>
          <cell r="J11">
            <v>0.03</v>
          </cell>
          <cell r="K11">
            <v>0.03</v>
          </cell>
          <cell r="L11">
            <v>0.03</v>
          </cell>
          <cell r="M11">
            <v>0.03</v>
          </cell>
          <cell r="N11">
            <v>0.03</v>
          </cell>
          <cell r="O11">
            <v>0.03</v>
          </cell>
          <cell r="P11">
            <v>0.03</v>
          </cell>
          <cell r="Q11">
            <v>0.03</v>
          </cell>
        </row>
      </sheetData>
      <sheetData sheetId="10"/>
      <sheetData sheetId="11">
        <row r="118">
          <cell r="R118" t="str">
            <v xml:space="preserve"> </v>
          </cell>
        </row>
      </sheetData>
      <sheetData sheetId="12"/>
      <sheetData sheetId="13"/>
      <sheetData sheetId="14"/>
      <sheetData sheetId="15">
        <row r="1">
          <cell r="C1" t="str">
            <v>hide</v>
          </cell>
          <cell r="D1" t="str">
            <v>Lithgow City Council</v>
          </cell>
          <cell r="BC1" t="str">
            <v>hide</v>
          </cell>
          <cell r="BD1" t="str">
            <v>hide</v>
          </cell>
          <cell r="BE1" t="str">
            <v>hide</v>
          </cell>
          <cell r="BF1" t="str">
            <v>hide</v>
          </cell>
          <cell r="BG1" t="str">
            <v>hide</v>
          </cell>
          <cell r="BH1" t="str">
            <v>hide</v>
          </cell>
          <cell r="BI1" t="str">
            <v>hide</v>
          </cell>
          <cell r="BJ1" t="str">
            <v>hide</v>
          </cell>
          <cell r="BK1" t="str">
            <v>hide</v>
          </cell>
          <cell r="BL1" t="str">
            <v>hide</v>
          </cell>
          <cell r="BM1" t="str">
            <v>hide</v>
          </cell>
        </row>
        <row r="2">
          <cell r="D2" t="str">
            <v>10 Year Financial Plan for the Years ending 
30 June 2029</v>
          </cell>
        </row>
        <row r="4">
          <cell r="D4" t="str">
            <v>SUMMARY OF BUDGET OF ALL G/L ACCOUNTS - GENERAL FUND</v>
          </cell>
          <cell r="BC4" t="str">
            <v>non-cash</v>
          </cell>
        </row>
        <row r="5">
          <cell r="J5" t="str">
            <v>Current Year</v>
          </cell>
          <cell r="L5" t="str">
            <v>Projected Years</v>
          </cell>
          <cell r="BC5" t="str">
            <v>2018/19</v>
          </cell>
          <cell r="BD5" t="str">
            <v>2019/20</v>
          </cell>
          <cell r="BE5" t="str">
            <v>2020/21</v>
          </cell>
          <cell r="BF5" t="str">
            <v>2021/22</v>
          </cell>
          <cell r="BG5" t="str">
            <v>2022/23</v>
          </cell>
          <cell r="BH5" t="str">
            <v>2023/24</v>
          </cell>
          <cell r="BI5" t="str">
            <v>2024/25</v>
          </cell>
          <cell r="BJ5" t="str">
            <v>2025/26</v>
          </cell>
          <cell r="BK5" t="str">
            <v>2026/27</v>
          </cell>
          <cell r="BL5" t="str">
            <v>2027/28</v>
          </cell>
          <cell r="BM5" t="str">
            <v>2028/29</v>
          </cell>
        </row>
        <row r="6">
          <cell r="D6" t="str">
            <v>by Income &amp; Expenditure type</v>
          </cell>
          <cell r="J6" t="str">
            <v>2018/19</v>
          </cell>
          <cell r="L6" t="str">
            <v>2019/20</v>
          </cell>
          <cell r="M6" t="str">
            <v>2020/21</v>
          </cell>
          <cell r="N6" t="str">
            <v>2021/22</v>
          </cell>
          <cell r="O6" t="str">
            <v>2022/23</v>
          </cell>
          <cell r="P6" t="str">
            <v>2023/24</v>
          </cell>
          <cell r="Q6" t="str">
            <v>2024/25</v>
          </cell>
          <cell r="R6" t="str">
            <v>2025/26</v>
          </cell>
          <cell r="S6" t="str">
            <v>2026/27</v>
          </cell>
          <cell r="T6" t="str">
            <v>2027/28</v>
          </cell>
          <cell r="U6" t="str">
            <v>2028/29</v>
          </cell>
        </row>
        <row r="7">
          <cell r="D7" t="str">
            <v>Scenario: Base Scenario</v>
          </cell>
          <cell r="J7" t="str">
            <v>$'000</v>
          </cell>
          <cell r="L7" t="str">
            <v>$'000</v>
          </cell>
          <cell r="M7" t="str">
            <v>$'000</v>
          </cell>
          <cell r="N7" t="str">
            <v>$'000</v>
          </cell>
          <cell r="O7" t="str">
            <v>$'000</v>
          </cell>
          <cell r="P7" t="str">
            <v>$'000</v>
          </cell>
          <cell r="Q7" t="str">
            <v>$'000</v>
          </cell>
          <cell r="R7" t="str">
            <v>$'000</v>
          </cell>
          <cell r="S7" t="str">
            <v>$'000</v>
          </cell>
          <cell r="T7" t="str">
            <v>$'000</v>
          </cell>
          <cell r="U7" t="str">
            <v>$'000</v>
          </cell>
        </row>
        <row r="8">
          <cell r="C8" t="str">
            <v>IS Line</v>
          </cell>
          <cell r="D8" t="str">
            <v>Operating Income</v>
          </cell>
        </row>
        <row r="9">
          <cell r="C9" t="str">
            <v>Rates &amp; Annual Charges</v>
          </cell>
          <cell r="D9" t="str">
            <v>Rates - Ordinary</v>
          </cell>
          <cell r="J9">
            <v>11859080.220000003</v>
          </cell>
          <cell r="L9">
            <v>12793275.380000008</v>
          </cell>
          <cell r="M9">
            <v>13123357.199999996</v>
          </cell>
          <cell r="N9">
            <v>13451441.179999994</v>
          </cell>
          <cell r="O9">
            <v>13787727.260000009</v>
          </cell>
          <cell r="P9">
            <v>14132420.429999989</v>
          </cell>
          <cell r="Q9">
            <v>14485730.969999997</v>
          </cell>
          <cell r="R9">
            <v>14847874.190000001</v>
          </cell>
          <cell r="S9">
            <v>15219070.990000002</v>
          </cell>
          <cell r="T9">
            <v>15599547.780000011</v>
          </cell>
          <cell r="U9">
            <v>15989536.419999996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</row>
        <row r="10">
          <cell r="C10" t="str">
            <v>Rates &amp; Annual Charges</v>
          </cell>
          <cell r="D10" t="str">
            <v>Rates - Special</v>
          </cell>
          <cell r="J10">
            <v>249052.1</v>
          </cell>
          <cell r="L10">
            <v>255776.51</v>
          </cell>
          <cell r="M10">
            <v>262170.92</v>
          </cell>
          <cell r="N10">
            <v>268725.19</v>
          </cell>
          <cell r="O10">
            <v>275443.32</v>
          </cell>
          <cell r="P10">
            <v>282329.40000000002</v>
          </cell>
          <cell r="Q10">
            <v>289387.64</v>
          </cell>
          <cell r="R10">
            <v>296622.33</v>
          </cell>
          <cell r="S10">
            <v>304037.89</v>
          </cell>
          <cell r="T10">
            <v>311638.84000000003</v>
          </cell>
          <cell r="U10">
            <v>319429.81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</row>
        <row r="11">
          <cell r="C11" t="str">
            <v>Rates &amp; Annual Charges</v>
          </cell>
          <cell r="D11" t="str">
            <v>Rates - Special Variation</v>
          </cell>
          <cell r="J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</row>
        <row r="12">
          <cell r="C12" t="str">
            <v>Rates &amp; Annual Charges</v>
          </cell>
          <cell r="D12" t="str">
            <v>Annual Charges</v>
          </cell>
          <cell r="J12">
            <v>4571195.84</v>
          </cell>
          <cell r="L12">
            <v>4679368.8600000003</v>
          </cell>
          <cell r="M12">
            <v>4790246.21</v>
          </cell>
          <cell r="N12">
            <v>4903895.49</v>
          </cell>
          <cell r="O12">
            <v>5020386</v>
          </cell>
          <cell r="P12">
            <v>5139788.7699999996</v>
          </cell>
          <cell r="Q12">
            <v>5262176.6099999994</v>
          </cell>
          <cell r="R12">
            <v>5387624.1600000001</v>
          </cell>
          <cell r="S12">
            <v>5516207.8899999997</v>
          </cell>
          <cell r="T12">
            <v>5648006.21</v>
          </cell>
          <cell r="U12">
            <v>5783099.4900000002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</row>
        <row r="13">
          <cell r="C13" t="str">
            <v>User Charges &amp; Fees</v>
          </cell>
          <cell r="D13" t="str">
            <v>User Charges - Specific</v>
          </cell>
          <cell r="J13">
            <v>117970</v>
          </cell>
          <cell r="L13">
            <v>120919.25</v>
          </cell>
          <cell r="M13">
            <v>123942.24</v>
          </cell>
          <cell r="N13">
            <v>127040.8</v>
          </cell>
          <cell r="O13">
            <v>130216.81999999999</v>
          </cell>
          <cell r="P13">
            <v>133472.23000000001</v>
          </cell>
          <cell r="Q13">
            <v>136809.03000000003</v>
          </cell>
          <cell r="R13">
            <v>140229.26000000004</v>
          </cell>
          <cell r="S13">
            <v>143734.99</v>
          </cell>
          <cell r="T13">
            <v>147328.35999999999</v>
          </cell>
          <cell r="U13">
            <v>151011.57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</row>
        <row r="14">
          <cell r="C14" t="str">
            <v>User Charges &amp; Fees</v>
          </cell>
          <cell r="D14" t="str">
            <v>Fees &amp; Charges - Statutory &amp; Regulatory</v>
          </cell>
          <cell r="J14">
            <v>841050</v>
          </cell>
          <cell r="L14">
            <v>883076.25</v>
          </cell>
          <cell r="M14">
            <v>905153.2</v>
          </cell>
          <cell r="N14">
            <v>927782.02999999991</v>
          </cell>
          <cell r="O14">
            <v>950976.58</v>
          </cell>
          <cell r="P14">
            <v>974751.04000000015</v>
          </cell>
          <cell r="Q14">
            <v>999119.81999999983</v>
          </cell>
          <cell r="R14">
            <v>1024097.8200000001</v>
          </cell>
          <cell r="S14">
            <v>1049700.26</v>
          </cell>
          <cell r="T14">
            <v>1075942.7500000002</v>
          </cell>
          <cell r="U14">
            <v>1102841.32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</row>
        <row r="15">
          <cell r="C15" t="str">
            <v>User Charges &amp; Fees</v>
          </cell>
          <cell r="D15" t="str">
            <v>Fees &amp; Charges - Other</v>
          </cell>
          <cell r="J15">
            <v>601152.5</v>
          </cell>
          <cell r="L15">
            <v>626181.31999999995</v>
          </cell>
          <cell r="M15">
            <v>2276835.88</v>
          </cell>
          <cell r="N15">
            <v>2543756.7799999998</v>
          </cell>
          <cell r="O15">
            <v>2859350.6899999995</v>
          </cell>
          <cell r="P15">
            <v>3233234.46</v>
          </cell>
          <cell r="Q15">
            <v>3314065.3200000003</v>
          </cell>
          <cell r="R15">
            <v>3396916.9699999997</v>
          </cell>
          <cell r="S15">
            <v>3481839.8899999997</v>
          </cell>
          <cell r="T15">
            <v>3568885.88</v>
          </cell>
          <cell r="U15">
            <v>3658108.0300000003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</row>
        <row r="16">
          <cell r="C16" t="str">
            <v>Interest &amp; Investment Revenue</v>
          </cell>
          <cell r="D16" t="str">
            <v>Interest &amp; Investment Revenues - o/s Rates &amp; Annual Charges</v>
          </cell>
          <cell r="J16">
            <v>109764.3</v>
          </cell>
          <cell r="L16">
            <v>113057.23</v>
          </cell>
          <cell r="M16">
            <v>116448.95</v>
          </cell>
          <cell r="N16">
            <v>119942.42</v>
          </cell>
          <cell r="O16">
            <v>123540.69</v>
          </cell>
          <cell r="P16">
            <v>127246.91</v>
          </cell>
          <cell r="Q16">
            <v>131064.32000000001</v>
          </cell>
          <cell r="R16">
            <v>134996.25</v>
          </cell>
          <cell r="S16">
            <v>139046.14000000001</v>
          </cell>
          <cell r="T16">
            <v>143217.51999999999</v>
          </cell>
          <cell r="U16">
            <v>147514.04999999999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</row>
        <row r="17">
          <cell r="C17" t="str">
            <v>Interest &amp; Investment Revenue</v>
          </cell>
          <cell r="D17" t="str">
            <v>Interest &amp; Investment Revenues - Investments</v>
          </cell>
          <cell r="J17">
            <v>728000</v>
          </cell>
          <cell r="L17">
            <v>749840</v>
          </cell>
          <cell r="M17">
            <v>772335.2</v>
          </cell>
          <cell r="N17">
            <v>795505.26</v>
          </cell>
          <cell r="O17">
            <v>819370.42</v>
          </cell>
          <cell r="P17">
            <v>843951.53</v>
          </cell>
          <cell r="Q17">
            <v>869270.08</v>
          </cell>
          <cell r="R17">
            <v>895348.18</v>
          </cell>
          <cell r="S17">
            <v>922208.63</v>
          </cell>
          <cell r="T17">
            <v>949874.89</v>
          </cell>
          <cell r="U17">
            <v>978371.14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</row>
        <row r="18">
          <cell r="C18" t="str">
            <v>Interest &amp; Investment Revenue</v>
          </cell>
          <cell r="D18" t="str">
            <v>Interest &amp; Investment Revenues - Other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</row>
        <row r="19">
          <cell r="C19" t="str">
            <v>Other Revenues</v>
          </cell>
          <cell r="D19" t="str">
            <v>Other Revenues - Fair Value Increments on Investment Property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</row>
        <row r="20">
          <cell r="C20" t="str">
            <v>Other Revenues</v>
          </cell>
          <cell r="D20" t="str">
            <v>Other Revenues - Other</v>
          </cell>
          <cell r="J20">
            <v>1290042.1499999999</v>
          </cell>
          <cell r="L20">
            <v>1386530.5899999999</v>
          </cell>
          <cell r="M20">
            <v>1424777.8699999994</v>
          </cell>
          <cell r="N20">
            <v>1464106.6799999997</v>
          </cell>
          <cell r="O20">
            <v>1504548.3099999998</v>
          </cell>
          <cell r="P20">
            <v>1546135.87</v>
          </cell>
          <cell r="Q20">
            <v>1584789.3399999996</v>
          </cell>
          <cell r="R20">
            <v>1624409.0799999998</v>
          </cell>
          <cell r="S20">
            <v>1665019.31</v>
          </cell>
          <cell r="T20">
            <v>1706644.7999999998</v>
          </cell>
          <cell r="U20">
            <v>1749310.9200000004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</row>
        <row r="21">
          <cell r="C21" t="str">
            <v>Grants &amp; Contributions provided for Operating Purposes</v>
          </cell>
          <cell r="D21" t="str">
            <v>Operating Grants - General Purpose (Untied)</v>
          </cell>
          <cell r="J21">
            <v>4853867.46</v>
          </cell>
          <cell r="L21">
            <v>5402406.1299999999</v>
          </cell>
          <cell r="M21">
            <v>5483442.2199999997</v>
          </cell>
          <cell r="N21">
            <v>5565693.8599999994</v>
          </cell>
          <cell r="O21">
            <v>5649179.2599999998</v>
          </cell>
          <cell r="P21">
            <v>5733916.9500000002</v>
          </cell>
          <cell r="Q21">
            <v>5819925.7000000002</v>
          </cell>
          <cell r="R21">
            <v>5907224.5800000001</v>
          </cell>
          <cell r="S21">
            <v>5995832.9500000002</v>
          </cell>
          <cell r="T21">
            <v>6085770.4400000004</v>
          </cell>
          <cell r="U21">
            <v>6177057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</row>
        <row r="22">
          <cell r="C22" t="str">
            <v>Grants &amp; Contributions provided for Operating Purposes</v>
          </cell>
          <cell r="D22" t="str">
            <v>Operating Grants - Specific Purpose</v>
          </cell>
          <cell r="J22">
            <v>1182838</v>
          </cell>
          <cell r="L22">
            <v>1194666.3799999999</v>
          </cell>
          <cell r="M22">
            <v>1212586.3900000001</v>
          </cell>
          <cell r="N22">
            <v>1230775.2000000004</v>
          </cell>
          <cell r="O22">
            <v>1249236.8399999999</v>
          </cell>
          <cell r="P22">
            <v>1267975.3900000001</v>
          </cell>
          <cell r="Q22">
            <v>1286995.0400000003</v>
          </cell>
          <cell r="R22">
            <v>1306299.97</v>
          </cell>
          <cell r="S22">
            <v>1325894.46</v>
          </cell>
          <cell r="T22">
            <v>1345782.8800000004</v>
          </cell>
          <cell r="U22">
            <v>1365969.6199999999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</row>
        <row r="23">
          <cell r="C23" t="str">
            <v>Grants &amp; Contributions provided for Operating Purposes</v>
          </cell>
          <cell r="D23" t="str">
            <v>Operating Contributions - General Purpose (Untied)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</row>
        <row r="24">
          <cell r="C24" t="str">
            <v>Grants &amp; Contributions provided for Operating Purposes</v>
          </cell>
          <cell r="D24" t="str">
            <v>Operating Contributions - Specific - Developer Contributions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C25" t="str">
            <v>Grants &amp; Contributions provided for Operating Purposes</v>
          </cell>
          <cell r="D25" t="str">
            <v>Operating Contributions - Specific - Other Contributions</v>
          </cell>
          <cell r="J25">
            <v>894701.98</v>
          </cell>
          <cell r="L25">
            <v>903649</v>
          </cell>
          <cell r="M25">
            <v>917203.74</v>
          </cell>
          <cell r="N25">
            <v>930961.8</v>
          </cell>
          <cell r="O25">
            <v>944926.22</v>
          </cell>
          <cell r="P25">
            <v>959100.11</v>
          </cell>
          <cell r="Q25">
            <v>973486.60000000009</v>
          </cell>
          <cell r="R25">
            <v>988088.89</v>
          </cell>
          <cell r="S25">
            <v>1002910.2100000002</v>
          </cell>
          <cell r="T25">
            <v>1017953.86</v>
          </cell>
          <cell r="U25">
            <v>1033223.1599999999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</row>
        <row r="26">
          <cell r="C26" t="str">
            <v>Net gains from the disposal of assets</v>
          </cell>
          <cell r="D26" t="str">
            <v>Net Gains from Disposal of I,PP&amp;E</v>
          </cell>
          <cell r="J26">
            <v>385000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BC26">
            <v>385000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</row>
        <row r="27">
          <cell r="C27" t="str">
            <v>Net gains from the disposal of assets</v>
          </cell>
          <cell r="D27" t="str">
            <v>Net Gains from Disposal of Investment Property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</row>
        <row r="28">
          <cell r="C28" t="str">
            <v>Net gains from the disposal of assets</v>
          </cell>
          <cell r="D28" t="str">
            <v>Net Gains from Disposal of Real Estate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</row>
        <row r="29">
          <cell r="C29" t="str">
            <v>Net gains from the disposal of assets</v>
          </cell>
          <cell r="D29" t="str">
            <v>Net Gains from Disposal of Assets "held for sale"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</row>
        <row r="30">
          <cell r="C30" t="str">
            <v>Net gains from the disposal of assets</v>
          </cell>
          <cell r="D30" t="str">
            <v>Net Gains from Disposal of Intangible Assets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</row>
        <row r="31">
          <cell r="C31" t="str">
            <v>Net gains from the disposal of assets</v>
          </cell>
          <cell r="D31" t="str">
            <v>Net Gains from Disposal of Investments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</row>
        <row r="32">
          <cell r="C32" t="str">
            <v>Joint Ventures &amp; Associated Entities - Gain</v>
          </cell>
          <cell r="D32" t="str">
            <v>Gain on Share of Interest in JV's &amp; Associated Entities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</row>
        <row r="33">
          <cell r="C33" t="str">
            <v>Discontinued Operations</v>
          </cell>
          <cell r="D33" t="str">
            <v>Net Gain on Discontinued Operations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</row>
        <row r="34">
          <cell r="D34" t="str">
            <v>Total Operating Income</v>
          </cell>
          <cell r="J34">
            <v>27683714.550000004</v>
          </cell>
          <cell r="L34">
            <v>29108746.900000006</v>
          </cell>
          <cell r="M34">
            <v>31408500.019999988</v>
          </cell>
          <cell r="N34">
            <v>32329626.689999998</v>
          </cell>
          <cell r="O34">
            <v>33314902.410000008</v>
          </cell>
          <cell r="P34">
            <v>34374323.089999989</v>
          </cell>
          <cell r="Q34">
            <v>35152820.469999999</v>
          </cell>
          <cell r="R34">
            <v>35949731.68</v>
          </cell>
          <cell r="S34">
            <v>36765503.610000007</v>
          </cell>
          <cell r="T34">
            <v>37600594.210000008</v>
          </cell>
          <cell r="U34">
            <v>38455472.529999994</v>
          </cell>
          <cell r="BC34">
            <v>385000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</row>
        <row r="36">
          <cell r="D36" t="str">
            <v>Operating Expenditure</v>
          </cell>
        </row>
        <row r="37">
          <cell r="C37" t="str">
            <v>Employee Benefits &amp; On-Costs</v>
          </cell>
          <cell r="D37" t="str">
            <v>Employee Costs - Salaries</v>
          </cell>
          <cell r="J37">
            <v>8078514.0499999905</v>
          </cell>
          <cell r="L37">
            <v>8209032.1299999943</v>
          </cell>
          <cell r="M37">
            <v>9137025.0300000049</v>
          </cell>
          <cell r="N37">
            <v>9271761.5099999849</v>
          </cell>
          <cell r="O37">
            <v>9503555.8200000152</v>
          </cell>
          <cell r="P37">
            <v>9741144.7099999916</v>
          </cell>
          <cell r="Q37">
            <v>9984673.3499999996</v>
          </cell>
          <cell r="R37">
            <v>10234290.400000008</v>
          </cell>
          <cell r="S37">
            <v>10490147.710000008</v>
          </cell>
          <cell r="T37">
            <v>10752401.510000028</v>
          </cell>
          <cell r="U37">
            <v>11021211.540000003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</row>
        <row r="38">
          <cell r="C38" t="str">
            <v>Employee Benefits &amp; On-Costs</v>
          </cell>
          <cell r="D38" t="str">
            <v>Employee Costs - Casual Wages</v>
          </cell>
          <cell r="J38">
            <v>453883.37</v>
          </cell>
          <cell r="L38">
            <v>465230.44999999995</v>
          </cell>
          <cell r="M38">
            <v>476861.22</v>
          </cell>
          <cell r="N38">
            <v>488782.76</v>
          </cell>
          <cell r="O38">
            <v>501002.34000000008</v>
          </cell>
          <cell r="P38">
            <v>513527.41</v>
          </cell>
          <cell r="Q38">
            <v>526365.6</v>
          </cell>
          <cell r="R38">
            <v>539524.73</v>
          </cell>
          <cell r="S38">
            <v>553012.85</v>
          </cell>
          <cell r="T38">
            <v>566838.18000000005</v>
          </cell>
          <cell r="U38">
            <v>581009.1399999999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</row>
        <row r="39">
          <cell r="C39" t="str">
            <v>Employee Benefits &amp; On-Costs</v>
          </cell>
          <cell r="D39" t="str">
            <v>Employee Costs - Superannuation</v>
          </cell>
          <cell r="J39">
            <v>1457000</v>
          </cell>
          <cell r="L39">
            <v>1525389.75</v>
          </cell>
          <cell r="M39">
            <v>1563524.49</v>
          </cell>
          <cell r="N39">
            <v>1602612.6</v>
          </cell>
          <cell r="O39">
            <v>1642677.92</v>
          </cell>
          <cell r="P39">
            <v>1683744.87</v>
          </cell>
          <cell r="Q39">
            <v>1725838.49</v>
          </cell>
          <cell r="R39">
            <v>1768984.45</v>
          </cell>
          <cell r="S39">
            <v>1813209.06</v>
          </cell>
          <cell r="T39">
            <v>1858539.29</v>
          </cell>
          <cell r="U39">
            <v>1905002.77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</row>
        <row r="40">
          <cell r="C40" t="str">
            <v>Employee Benefits &amp; On-Costs</v>
          </cell>
          <cell r="D40" t="str">
            <v>Employee Costs - Workers Comp</v>
          </cell>
          <cell r="J40">
            <v>900000</v>
          </cell>
          <cell r="L40">
            <v>922500</v>
          </cell>
          <cell r="M40">
            <v>945562.5</v>
          </cell>
          <cell r="N40">
            <v>969201.56</v>
          </cell>
          <cell r="O40">
            <v>993431.6</v>
          </cell>
          <cell r="P40">
            <v>1018267.39</v>
          </cell>
          <cell r="Q40">
            <v>1043724.07</v>
          </cell>
          <cell r="R40">
            <v>1069817.17</v>
          </cell>
          <cell r="S40">
            <v>1096562.6000000001</v>
          </cell>
          <cell r="T40">
            <v>1123976.67</v>
          </cell>
          <cell r="U40">
            <v>1152076.0900000001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</row>
        <row r="41">
          <cell r="C41" t="str">
            <v>Employee Benefits &amp; On-Costs</v>
          </cell>
          <cell r="D41" t="str">
            <v>Employee Costs - Other</v>
          </cell>
          <cell r="J41">
            <v>396834.32999999996</v>
          </cell>
          <cell r="L41">
            <v>406755.19000000006</v>
          </cell>
          <cell r="M41">
            <v>416924.08</v>
          </cell>
          <cell r="N41">
            <v>427347.18000000011</v>
          </cell>
          <cell r="O41">
            <v>438030.85000000009</v>
          </cell>
          <cell r="P41">
            <v>448981.62000000005</v>
          </cell>
          <cell r="Q41">
            <v>460206.17000000004</v>
          </cell>
          <cell r="R41">
            <v>471711.31</v>
          </cell>
          <cell r="S41">
            <v>483504.09</v>
          </cell>
          <cell r="T41">
            <v>495591.67999999999</v>
          </cell>
          <cell r="U41">
            <v>507981.47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</row>
        <row r="42">
          <cell r="C42" t="str">
            <v>Employee Benefits &amp; On-Costs</v>
          </cell>
          <cell r="D42" t="str">
            <v>Employee Costs - Capitalised (contra credit)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</row>
        <row r="43">
          <cell r="C43" t="str">
            <v>Borrowing Costs</v>
          </cell>
          <cell r="D43" t="str">
            <v>Borrowing Costs - Interest on Loans (External)</v>
          </cell>
          <cell r="J43">
            <v>194156.11</v>
          </cell>
          <cell r="L43">
            <v>155857.10999999999</v>
          </cell>
          <cell r="M43">
            <v>125572.11</v>
          </cell>
          <cell r="N43">
            <v>95372.11</v>
          </cell>
          <cell r="O43">
            <v>66071.11</v>
          </cell>
          <cell r="P43">
            <v>43133.11</v>
          </cell>
          <cell r="Q43">
            <v>17783.11</v>
          </cell>
          <cell r="R43">
            <v>9710.11</v>
          </cell>
          <cell r="S43">
            <v>9022.11</v>
          </cell>
          <cell r="T43">
            <v>8329.11</v>
          </cell>
          <cell r="U43">
            <v>7564.11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</row>
        <row r="44">
          <cell r="C44" t="str">
            <v>Borrowing Costs</v>
          </cell>
          <cell r="D44" t="str">
            <v>Borrowing Costs - Interest on Finance Leases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</row>
        <row r="45">
          <cell r="C45" t="str">
            <v>Borrowing Costs</v>
          </cell>
          <cell r="D45" t="str">
            <v>Borrowing Costs - Other</v>
          </cell>
          <cell r="J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</row>
        <row r="46">
          <cell r="C46" t="str">
            <v>Borrowing Costs</v>
          </cell>
          <cell r="D46" t="str">
            <v>Borrowing Costs - Capitalised (contra credit)</v>
          </cell>
          <cell r="J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</row>
        <row r="47">
          <cell r="C47" t="str">
            <v>Materials &amp; Contracts</v>
          </cell>
          <cell r="D47" t="str">
            <v>Materials &amp; Contracts - Raw Materials &amp; Consumables</v>
          </cell>
          <cell r="J47">
            <v>2086455.5900000008</v>
          </cell>
          <cell r="L47">
            <v>2497011.7899999968</v>
          </cell>
          <cell r="M47">
            <v>2180868.0600000005</v>
          </cell>
          <cell r="N47">
            <v>2123749.0000000061</v>
          </cell>
          <cell r="O47">
            <v>2221713.5999999936</v>
          </cell>
          <cell r="P47">
            <v>2229711.2100000009</v>
          </cell>
          <cell r="Q47">
            <v>2288764.9499999983</v>
          </cell>
          <cell r="R47">
            <v>2348897.8300000029</v>
          </cell>
          <cell r="S47">
            <v>2380133.5599999884</v>
          </cell>
          <cell r="T47">
            <v>2432496.459999992</v>
          </cell>
          <cell r="U47">
            <v>2486011.3099999987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</row>
        <row r="48">
          <cell r="C48" t="str">
            <v>Materials &amp; Contracts</v>
          </cell>
          <cell r="D48" t="str">
            <v>Materials &amp; Contracts - Contracts</v>
          </cell>
          <cell r="J48">
            <v>3629996.93</v>
          </cell>
          <cell r="L48">
            <v>3518336.91</v>
          </cell>
          <cell r="M48">
            <v>4096986.4099999974</v>
          </cell>
          <cell r="N48">
            <v>4187120.03</v>
          </cell>
          <cell r="O48">
            <v>4279236.6300000008</v>
          </cell>
          <cell r="P48">
            <v>4373379.8599999994</v>
          </cell>
          <cell r="Q48">
            <v>4469594.2600000007</v>
          </cell>
          <cell r="R48">
            <v>4567925.339999998</v>
          </cell>
          <cell r="S48">
            <v>4668419.7299999967</v>
          </cell>
          <cell r="T48">
            <v>4771124.97</v>
          </cell>
          <cell r="U48">
            <v>4876089.660000002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</row>
        <row r="49">
          <cell r="C49" t="str">
            <v>Materials &amp; Contracts</v>
          </cell>
          <cell r="D49" t="str">
            <v>Materials &amp; Contracts - Legal Expenses</v>
          </cell>
          <cell r="J49">
            <v>73721</v>
          </cell>
          <cell r="L49">
            <v>75047.98000000001</v>
          </cell>
          <cell r="M49">
            <v>76699.03</v>
          </cell>
          <cell r="N49">
            <v>78386.400000000009</v>
          </cell>
          <cell r="O49">
            <v>80110.890000000014</v>
          </cell>
          <cell r="P49">
            <v>81873.340000000011</v>
          </cell>
          <cell r="Q49">
            <v>83674.549999999988</v>
          </cell>
          <cell r="R49">
            <v>85515.39</v>
          </cell>
          <cell r="S49">
            <v>87396.73000000001</v>
          </cell>
          <cell r="T49">
            <v>89319.46</v>
          </cell>
          <cell r="U49">
            <v>91284.49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</row>
        <row r="50">
          <cell r="C50" t="str">
            <v>Materials &amp; Contracts</v>
          </cell>
          <cell r="D50" t="str">
            <v>Materials &amp; Contracts - Other</v>
          </cell>
          <cell r="J50">
            <v>88114</v>
          </cell>
          <cell r="L50">
            <v>89700.05</v>
          </cell>
          <cell r="M50">
            <v>91673.45</v>
          </cell>
          <cell r="N50">
            <v>93690.26</v>
          </cell>
          <cell r="O50">
            <v>95751.45</v>
          </cell>
          <cell r="P50">
            <v>97857.98000000001</v>
          </cell>
          <cell r="Q50">
            <v>100010.86</v>
          </cell>
          <cell r="R50">
            <v>102211.1</v>
          </cell>
          <cell r="S50">
            <v>104459.73999999999</v>
          </cell>
          <cell r="T50">
            <v>106757.85</v>
          </cell>
          <cell r="U50">
            <v>109106.53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</row>
        <row r="51">
          <cell r="C51" t="str">
            <v>Materials &amp; Contracts</v>
          </cell>
          <cell r="D51" t="str">
            <v>Materials &amp; Contracts - Capitalised (contra credit)</v>
          </cell>
          <cell r="J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</row>
        <row r="52">
          <cell r="C52" t="str">
            <v>Depreciation &amp; Amortisation</v>
          </cell>
          <cell r="D52" t="str">
            <v>Depreciation - IPP&amp;E</v>
          </cell>
          <cell r="J52">
            <v>8363957.8600000013</v>
          </cell>
          <cell r="L52">
            <v>8514509.0999999978</v>
          </cell>
          <cell r="M52">
            <v>8701828.290000001</v>
          </cell>
          <cell r="N52">
            <v>8893268.5199999977</v>
          </cell>
          <cell r="O52">
            <v>9088920.4299999997</v>
          </cell>
          <cell r="P52">
            <v>9288876.6900000013</v>
          </cell>
          <cell r="Q52">
            <v>9493231.9900000002</v>
          </cell>
          <cell r="R52">
            <v>9702083.1000000015</v>
          </cell>
          <cell r="S52">
            <v>9915528.9299999997</v>
          </cell>
          <cell r="T52">
            <v>10129670.57</v>
          </cell>
          <cell r="U52">
            <v>10208523.32</v>
          </cell>
          <cell r="BC52">
            <v>8363957.8600000013</v>
          </cell>
          <cell r="BD52">
            <v>8514509.0999999978</v>
          </cell>
          <cell r="BE52">
            <v>8701828.290000001</v>
          </cell>
          <cell r="BF52">
            <v>8893268.5199999977</v>
          </cell>
          <cell r="BG52">
            <v>9088920.4299999997</v>
          </cell>
          <cell r="BH52">
            <v>9288876.6900000013</v>
          </cell>
          <cell r="BI52">
            <v>9493231.9900000002</v>
          </cell>
          <cell r="BJ52">
            <v>9702083.1000000015</v>
          </cell>
          <cell r="BK52">
            <v>9915528.9299999997</v>
          </cell>
          <cell r="BL52">
            <v>10129670.57</v>
          </cell>
          <cell r="BM52">
            <v>10208523.32</v>
          </cell>
        </row>
        <row r="53">
          <cell r="C53" t="str">
            <v>Depreciation &amp; Amortisation</v>
          </cell>
          <cell r="D53" t="str">
            <v>Amortisation - Intangible Assets</v>
          </cell>
          <cell r="J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</row>
        <row r="54">
          <cell r="C54" t="str">
            <v>Depreciation &amp; Amortisation</v>
          </cell>
          <cell r="D54" t="str">
            <v>Depreciation &amp; Amortisation - Capitalised (contra credit)</v>
          </cell>
          <cell r="J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</row>
        <row r="55">
          <cell r="C55" t="str">
            <v>Impairment</v>
          </cell>
          <cell r="D55" t="str">
            <v>Impairment - IPP&amp;E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</row>
        <row r="56">
          <cell r="C56" t="str">
            <v>Impairment</v>
          </cell>
          <cell r="D56" t="str">
            <v>Impairment - Investment Property</v>
          </cell>
          <cell r="J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</row>
        <row r="57">
          <cell r="C57" t="str">
            <v>Impairment</v>
          </cell>
          <cell r="D57" t="str">
            <v>Impairment - Real Estate</v>
          </cell>
          <cell r="J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</row>
        <row r="58">
          <cell r="C58" t="str">
            <v>Impairment</v>
          </cell>
          <cell r="D58" t="str">
            <v>Impairment - Investments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</row>
        <row r="59">
          <cell r="C59" t="str">
            <v>Impairment</v>
          </cell>
          <cell r="D59" t="str">
            <v>Impairment - Intangible Assets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</row>
        <row r="60">
          <cell r="C60" t="str">
            <v>Other Expenses</v>
          </cell>
          <cell r="D60" t="str">
            <v>Other Expenses - Insurance</v>
          </cell>
          <cell r="J60">
            <v>1004782.83</v>
          </cell>
          <cell r="L60">
            <v>1022868.9100000003</v>
          </cell>
          <cell r="M60">
            <v>1047807.0199999994</v>
          </cell>
          <cell r="N60">
            <v>1070858.81</v>
          </cell>
          <cell r="O60">
            <v>1094417.7100000002</v>
          </cell>
          <cell r="P60">
            <v>1118494.9000000001</v>
          </cell>
          <cell r="Q60">
            <v>1143101.7399999998</v>
          </cell>
          <cell r="R60">
            <v>1168249.9700000004</v>
          </cell>
          <cell r="S60">
            <v>1193951.4500000002</v>
          </cell>
          <cell r="T60">
            <v>1220218.3800000004</v>
          </cell>
          <cell r="U60">
            <v>1247063.1899999997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</row>
        <row r="61">
          <cell r="C61" t="str">
            <v>Other Expenses</v>
          </cell>
          <cell r="D61" t="str">
            <v>Other Expenses - Utilities</v>
          </cell>
          <cell r="J61">
            <v>1032486.26</v>
          </cell>
          <cell r="L61">
            <v>964159.99999999965</v>
          </cell>
          <cell r="M61">
            <v>984900.53</v>
          </cell>
          <cell r="N61">
            <v>1017810.3500000004</v>
          </cell>
          <cell r="O61">
            <v>1040202.1499999998</v>
          </cell>
          <cell r="P61">
            <v>1063086.5899999999</v>
          </cell>
          <cell r="Q61">
            <v>1086474.48</v>
          </cell>
          <cell r="R61">
            <v>1110376.9099999999</v>
          </cell>
          <cell r="S61">
            <v>1134805.21</v>
          </cell>
          <cell r="T61">
            <v>1159770.9199999995</v>
          </cell>
          <cell r="U61">
            <v>1185285.8900000001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</row>
        <row r="62">
          <cell r="C62" t="str">
            <v>Other Expenses</v>
          </cell>
          <cell r="D62" t="str">
            <v>Other Expenses - Statutory &amp; Regulatory</v>
          </cell>
          <cell r="J62">
            <v>1006587.64</v>
          </cell>
          <cell r="L62">
            <v>1043018.19</v>
          </cell>
          <cell r="M62">
            <v>1082325.3099999998</v>
          </cell>
          <cell r="N62">
            <v>1122557.8700000001</v>
          </cell>
          <cell r="O62">
            <v>1137990.82</v>
          </cell>
          <cell r="P62">
            <v>1163026.6000000001</v>
          </cell>
          <cell r="Q62">
            <v>1188613.2099999997</v>
          </cell>
          <cell r="R62">
            <v>1214762.7100000002</v>
          </cell>
          <cell r="S62">
            <v>1241487.5100000002</v>
          </cell>
          <cell r="T62">
            <v>1268800.23</v>
          </cell>
          <cell r="U62">
            <v>1296713.83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</row>
        <row r="63">
          <cell r="C63" t="str">
            <v>Other Expenses</v>
          </cell>
          <cell r="D63" t="str">
            <v>Other Expenses - Fair Value Decrements on Investment Property</v>
          </cell>
          <cell r="J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</row>
        <row r="64">
          <cell r="C64" t="str">
            <v>Other Expenses</v>
          </cell>
          <cell r="D64" t="str">
            <v>Other Expenses - Other</v>
          </cell>
          <cell r="J64">
            <v>1407686.53</v>
          </cell>
          <cell r="L64">
            <v>1417024.9000000008</v>
          </cell>
          <cell r="M64">
            <v>1594204.4200000009</v>
          </cell>
          <cell r="N64">
            <v>1486196.9200000011</v>
          </cell>
          <cell r="O64">
            <v>1518893.2799999993</v>
          </cell>
          <cell r="P64">
            <v>1552308.9400000004</v>
          </cell>
          <cell r="Q64">
            <v>1726459.7699999993</v>
          </cell>
          <cell r="R64">
            <v>1621361.7799999975</v>
          </cell>
          <cell r="S64">
            <v>1657031.669999999</v>
          </cell>
          <cell r="T64">
            <v>1693486.3699999994</v>
          </cell>
          <cell r="U64">
            <v>1870743.040000001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</row>
        <row r="65">
          <cell r="C65" t="str">
            <v>Other Expenses</v>
          </cell>
          <cell r="D65" t="str">
            <v>Other Expenses - Capitalised (contra credit)</v>
          </cell>
          <cell r="J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</row>
        <row r="66">
          <cell r="C66" t="str">
            <v>Net Losses from the Disposal of Assets</v>
          </cell>
          <cell r="D66" t="str">
            <v>Net Losses from Disposal of I,PP&amp;E</v>
          </cell>
          <cell r="J66">
            <v>50000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BC66">
            <v>50000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</row>
        <row r="67">
          <cell r="C67" t="str">
            <v>Net Losses from the Disposal of Assets</v>
          </cell>
          <cell r="D67" t="str">
            <v>Net Losses from Disposal of Investment Property</v>
          </cell>
          <cell r="J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</row>
        <row r="68">
          <cell r="C68" t="str">
            <v>Net Losses from the Disposal of Assets</v>
          </cell>
          <cell r="D68" t="str">
            <v>Net Losses from Disposal of Real Estate</v>
          </cell>
          <cell r="J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</row>
        <row r="69">
          <cell r="C69" t="str">
            <v>Net Losses from the Disposal of Assets</v>
          </cell>
          <cell r="D69" t="str">
            <v>Net Losses from Disposal of Assets "held for sale"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</row>
        <row r="70">
          <cell r="C70" t="str">
            <v>Net Losses from the Disposal of Assets</v>
          </cell>
          <cell r="D70" t="str">
            <v>Net Losses from Disposal of Intangible Assets</v>
          </cell>
          <cell r="J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</row>
        <row r="71">
          <cell r="C71" t="str">
            <v>Net Losses from the Disposal of Assets</v>
          </cell>
          <cell r="D71" t="str">
            <v>Net Losses from Disposal of Investments</v>
          </cell>
          <cell r="J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</row>
        <row r="72">
          <cell r="C72" t="str">
            <v>Joint Ventures &amp; Associated Entities - Loss</v>
          </cell>
          <cell r="D72" t="str">
            <v>Loss on Share of Interest in JV's &amp; Associated Entities</v>
          </cell>
          <cell r="J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</row>
        <row r="73">
          <cell r="C73" t="str">
            <v>Discontinued Operations</v>
          </cell>
          <cell r="D73" t="str">
            <v>Net Loss on Discontinued Operations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</row>
        <row r="74">
          <cell r="D74" t="str">
            <v>Total Operating Expenditure</v>
          </cell>
          <cell r="J74">
            <v>30224176.499999996</v>
          </cell>
          <cell r="L74">
            <v>30826442.459999993</v>
          </cell>
          <cell r="M74">
            <v>32522761.950000003</v>
          </cell>
          <cell r="N74">
            <v>32928715.879999988</v>
          </cell>
          <cell r="O74">
            <v>33702006.600000009</v>
          </cell>
          <cell r="P74">
            <v>34417415.219999991</v>
          </cell>
          <cell r="Q74">
            <v>35338516.599999994</v>
          </cell>
          <cell r="R74">
            <v>36015422.300000012</v>
          </cell>
          <cell r="S74">
            <v>36828672.949999988</v>
          </cell>
          <cell r="T74">
            <v>37677321.650000013</v>
          </cell>
          <cell r="U74">
            <v>38545666.380000003</v>
          </cell>
          <cell r="BC74">
            <v>8413957.8600000013</v>
          </cell>
          <cell r="BD74">
            <v>8514509.0999999978</v>
          </cell>
          <cell r="BE74">
            <v>8701828.290000001</v>
          </cell>
          <cell r="BF74">
            <v>8893268.5199999977</v>
          </cell>
          <cell r="BG74">
            <v>9088920.4299999997</v>
          </cell>
          <cell r="BH74">
            <v>9288876.6900000013</v>
          </cell>
          <cell r="BI74">
            <v>9493231.9900000002</v>
          </cell>
          <cell r="BJ74">
            <v>9702083.1000000015</v>
          </cell>
          <cell r="BK74">
            <v>9915528.9299999997</v>
          </cell>
          <cell r="BL74">
            <v>10129670.57</v>
          </cell>
          <cell r="BM74">
            <v>10208523.32</v>
          </cell>
        </row>
        <row r="76">
          <cell r="D76" t="str">
            <v>Operating Surplus/(Deficit)</v>
          </cell>
          <cell r="J76">
            <v>-2540461.9499999918</v>
          </cell>
          <cell r="L76">
            <v>-1717695.5599999875</v>
          </cell>
          <cell r="M76">
            <v>-1114261.9300000146</v>
          </cell>
          <cell r="N76">
            <v>-599089.18999999017</v>
          </cell>
          <cell r="O76">
            <v>-387104.19000000134</v>
          </cell>
          <cell r="P76">
            <v>-43092.130000002682</v>
          </cell>
          <cell r="Q76">
            <v>-185696.12999999523</v>
          </cell>
          <cell r="R76">
            <v>-65690.620000012219</v>
          </cell>
          <cell r="S76">
            <v>-63169.339999981225</v>
          </cell>
          <cell r="T76">
            <v>-76727.440000005066</v>
          </cell>
          <cell r="U76">
            <v>-90193.850000008941</v>
          </cell>
          <cell r="BC76">
            <v>-8028957.8600000013</v>
          </cell>
          <cell r="BD76">
            <v>-8514509.0999999978</v>
          </cell>
          <cell r="BE76">
            <v>-8701828.290000001</v>
          </cell>
          <cell r="BF76">
            <v>-8893268.5199999977</v>
          </cell>
          <cell r="BG76">
            <v>-9088920.4299999997</v>
          </cell>
          <cell r="BH76">
            <v>-9288876.6900000013</v>
          </cell>
          <cell r="BI76">
            <v>-9493231.9900000002</v>
          </cell>
          <cell r="BJ76">
            <v>-9702083.1000000015</v>
          </cell>
          <cell r="BK76">
            <v>-9915528.9299999997</v>
          </cell>
          <cell r="BL76">
            <v>-10129670.57</v>
          </cell>
          <cell r="BM76">
            <v>-10208523.32</v>
          </cell>
        </row>
        <row r="79">
          <cell r="D79" t="str">
            <v>Capital Income</v>
          </cell>
        </row>
        <row r="80">
          <cell r="C80" t="str">
            <v>Grants &amp; Contributions provided for Capital Purposes</v>
          </cell>
          <cell r="D80" t="str">
            <v>Capital Grants - Recurrent</v>
          </cell>
          <cell r="J80">
            <v>0</v>
          </cell>
          <cell r="L80">
            <v>2400000</v>
          </cell>
          <cell r="M80">
            <v>2424000</v>
          </cell>
          <cell r="N80">
            <v>2460360</v>
          </cell>
          <cell r="O80">
            <v>2497265.4</v>
          </cell>
          <cell r="P80">
            <v>2534724.38</v>
          </cell>
          <cell r="Q80">
            <v>2572745.25</v>
          </cell>
          <cell r="R80">
            <v>2611336.4300000002</v>
          </cell>
          <cell r="S80">
            <v>2650506.48</v>
          </cell>
          <cell r="T80">
            <v>2690264.08</v>
          </cell>
          <cell r="U80">
            <v>2730618.04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</row>
        <row r="81">
          <cell r="C81" t="str">
            <v>Grants &amp; Contributions provided for Capital Purposes</v>
          </cell>
          <cell r="D81" t="str">
            <v>Capital Grants - Non-recurrent</v>
          </cell>
          <cell r="J81">
            <v>4015214</v>
          </cell>
          <cell r="L81">
            <v>151500</v>
          </cell>
          <cell r="M81">
            <v>153015</v>
          </cell>
          <cell r="N81">
            <v>155310.23000000001</v>
          </cell>
          <cell r="O81">
            <v>157639.88</v>
          </cell>
          <cell r="P81">
            <v>160004.48000000001</v>
          </cell>
          <cell r="Q81">
            <v>162404.54999999999</v>
          </cell>
          <cell r="R81">
            <v>164840.62</v>
          </cell>
          <cell r="S81">
            <v>167313.23000000001</v>
          </cell>
          <cell r="T81">
            <v>169822.93</v>
          </cell>
          <cell r="U81">
            <v>172370.27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</row>
        <row r="82">
          <cell r="C82" t="str">
            <v>Grants &amp; Contributions provided for Capital Purposes</v>
          </cell>
          <cell r="D82" t="str">
            <v>Capital Contributions - Recurrent - Developer Contributions</v>
          </cell>
          <cell r="J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</row>
        <row r="83">
          <cell r="C83" t="str">
            <v>Grants &amp; Contributions provided for Capital Purposes</v>
          </cell>
          <cell r="D83" t="str">
            <v>Capital Contributions - Non-recurrent - Developer Contributions</v>
          </cell>
          <cell r="J83">
            <v>450000</v>
          </cell>
          <cell r="L83">
            <v>454500</v>
          </cell>
          <cell r="M83">
            <v>459045</v>
          </cell>
          <cell r="N83">
            <v>465930.68</v>
          </cell>
          <cell r="O83">
            <v>472919.64</v>
          </cell>
          <cell r="P83">
            <v>480013.44</v>
          </cell>
          <cell r="Q83">
            <v>489613.70999999996</v>
          </cell>
          <cell r="R83">
            <v>499405.98</v>
          </cell>
          <cell r="S83">
            <v>509394.1</v>
          </cell>
          <cell r="T83">
            <v>519581.98</v>
          </cell>
          <cell r="U83">
            <v>529973.62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</row>
        <row r="84">
          <cell r="C84" t="str">
            <v>Grants &amp; Contributions provided for Capital Purposes</v>
          </cell>
          <cell r="D84" t="str">
            <v>Capital Contributions - Recurrent - Other Contributions</v>
          </cell>
          <cell r="J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</row>
        <row r="85">
          <cell r="C85" t="str">
            <v>Grants &amp; Contributions provided for Capital Purposes</v>
          </cell>
          <cell r="D85" t="str">
            <v>Capital Contributions - Non-recurrent - Other Contributions</v>
          </cell>
          <cell r="J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</row>
        <row r="86">
          <cell r="C86" t="str">
            <v/>
          </cell>
          <cell r="D86" t="str">
            <v>New Loans raised - External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</row>
        <row r="87">
          <cell r="C87" t="str">
            <v/>
          </cell>
          <cell r="D87" t="str">
            <v>New Finance Lease</v>
          </cell>
          <cell r="J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</row>
        <row r="88">
          <cell r="C88" t="str">
            <v/>
          </cell>
          <cell r="D88" t="str">
            <v>Proceeds from Sale of I,PP&amp;E</v>
          </cell>
          <cell r="J88">
            <v>0</v>
          </cell>
          <cell r="L88">
            <v>1566000</v>
          </cell>
          <cell r="M88">
            <v>1476000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</row>
        <row r="89">
          <cell r="C89" t="str">
            <v/>
          </cell>
          <cell r="D89" t="str">
            <v>Proceeds from Sale of Investment Property</v>
          </cell>
          <cell r="J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</row>
        <row r="90">
          <cell r="C90" t="str">
            <v/>
          </cell>
          <cell r="D90" t="str">
            <v>Proceeds from Sale of Real Estate</v>
          </cell>
          <cell r="J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</row>
        <row r="91">
          <cell r="C91" t="str">
            <v/>
          </cell>
          <cell r="D91" t="str">
            <v>Proceeds from Sale of assets "held for sale"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</row>
        <row r="92">
          <cell r="C92" t="str">
            <v/>
          </cell>
          <cell r="D92" t="str">
            <v>Proceeds from Sale of intangible assets</v>
          </cell>
          <cell r="J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</row>
        <row r="93">
          <cell r="C93" t="str">
            <v/>
          </cell>
          <cell r="D93" t="str">
            <v>Proceeds from Sale of Investments</v>
          </cell>
          <cell r="J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</row>
        <row r="94">
          <cell r="C94" t="str">
            <v/>
          </cell>
          <cell r="D94" t="str">
            <v>Deferred Debtor Receipt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</row>
        <row r="95">
          <cell r="C95" t="str">
            <v/>
          </cell>
          <cell r="D95" t="str">
            <v>Bonds &amp; Deposits Receipt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</row>
        <row r="96">
          <cell r="C96" t="str">
            <v/>
          </cell>
          <cell r="D96" t="str">
            <v>ELE Provision Receipt (from other Councils)</v>
          </cell>
          <cell r="J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</row>
        <row r="97">
          <cell r="C97" t="str">
            <v/>
          </cell>
          <cell r="D97" t="str">
            <v>Other Borrowings - New raised</v>
          </cell>
          <cell r="J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</row>
        <row r="98">
          <cell r="C98" t="str">
            <v/>
          </cell>
          <cell r="D98" t="str">
            <v>Other Provisions - Receipt</v>
          </cell>
          <cell r="J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</row>
        <row r="99">
          <cell r="C99" t="str">
            <v/>
          </cell>
          <cell r="D99" t="str">
            <v>Distributions from JV's &amp; Associated Entities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</row>
        <row r="100">
          <cell r="C100" t="str">
            <v/>
          </cell>
          <cell r="D100" t="str">
            <v>Depreciation (non-cash) contra Income</v>
          </cell>
          <cell r="J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</row>
        <row r="101">
          <cell r="C101" t="str">
            <v/>
          </cell>
          <cell r="D101" t="str">
            <v>Non-cash ELE contra Income</v>
          </cell>
          <cell r="J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</row>
        <row r="102">
          <cell r="C102" t="str">
            <v/>
          </cell>
          <cell r="D102" t="str">
            <v>Other non-cash Expenses contra Income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</row>
        <row r="103">
          <cell r="D103" t="str">
            <v>Total Capital Income</v>
          </cell>
          <cell r="J103">
            <v>4465214</v>
          </cell>
          <cell r="L103">
            <v>4572000</v>
          </cell>
          <cell r="M103">
            <v>4512060</v>
          </cell>
          <cell r="N103">
            <v>3081600.91</v>
          </cell>
          <cell r="O103">
            <v>3127824.92</v>
          </cell>
          <cell r="P103">
            <v>3174742.3</v>
          </cell>
          <cell r="Q103">
            <v>3224763.51</v>
          </cell>
          <cell r="R103">
            <v>3275583.0300000003</v>
          </cell>
          <cell r="S103">
            <v>3327213.81</v>
          </cell>
          <cell r="T103">
            <v>3379668.99</v>
          </cell>
          <cell r="U103">
            <v>3432961.93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</row>
        <row r="105">
          <cell r="D105" t="str">
            <v>Capital Expenditure</v>
          </cell>
        </row>
        <row r="106">
          <cell r="C106" t="str">
            <v/>
          </cell>
          <cell r="D106" t="str">
            <v>Loan Principal Repayments (External)</v>
          </cell>
          <cell r="J106">
            <v>852539</v>
          </cell>
          <cell r="L106">
            <v>705046.89</v>
          </cell>
          <cell r="M106">
            <v>704649.3</v>
          </cell>
          <cell r="N106">
            <v>734664</v>
          </cell>
          <cell r="O106">
            <v>624354</v>
          </cell>
          <cell r="P106">
            <v>647093</v>
          </cell>
          <cell r="Q106">
            <v>672209</v>
          </cell>
          <cell r="R106">
            <v>17300</v>
          </cell>
          <cell r="S106">
            <v>17988</v>
          </cell>
          <cell r="T106">
            <v>18681</v>
          </cell>
          <cell r="U106">
            <v>19447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</row>
        <row r="107">
          <cell r="C107" t="str">
            <v/>
          </cell>
          <cell r="D107" t="str">
            <v>Finance Lease Repayments</v>
          </cell>
          <cell r="J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</row>
        <row r="108">
          <cell r="C108" t="str">
            <v/>
          </cell>
          <cell r="D108" t="str">
            <v>Purchase of I,PP&amp;E - External Acquisitions</v>
          </cell>
          <cell r="J108">
            <v>1380000</v>
          </cell>
          <cell r="L108">
            <v>16045000</v>
          </cell>
          <cell r="M108">
            <v>13276000</v>
          </cell>
          <cell r="N108">
            <v>12243000</v>
          </cell>
          <cell r="O108">
            <v>13245000</v>
          </cell>
          <cell r="P108">
            <v>13240000</v>
          </cell>
          <cell r="Q108">
            <v>12817000</v>
          </cell>
          <cell r="R108">
            <v>13638000</v>
          </cell>
          <cell r="S108">
            <v>12836000</v>
          </cell>
          <cell r="T108">
            <v>13099000</v>
          </cell>
          <cell r="U108">
            <v>14196000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</row>
        <row r="109">
          <cell r="C109" t="str">
            <v/>
          </cell>
          <cell r="D109" t="str">
            <v>Purchase of I,PP&amp;E - Employee Costs capitalised</v>
          </cell>
          <cell r="J109">
            <v>1333607.7800000007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</row>
        <row r="110">
          <cell r="C110" t="str">
            <v/>
          </cell>
          <cell r="D110" t="str">
            <v>Purchase of I,PP&amp;E - Borrowing Costs capitalised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</row>
        <row r="111">
          <cell r="C111" t="str">
            <v/>
          </cell>
          <cell r="D111" t="str">
            <v>Purchase of I,PP&amp;E - Materials &amp; Contracts capitalised</v>
          </cell>
          <cell r="J111">
            <v>13063382.25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</row>
        <row r="112">
          <cell r="C112" t="str">
            <v/>
          </cell>
          <cell r="D112" t="str">
            <v>Purchase of I,PP&amp;E - Depreciation Costs capitalised</v>
          </cell>
          <cell r="J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</row>
        <row r="113">
          <cell r="C113" t="str">
            <v/>
          </cell>
          <cell r="D113" t="str">
            <v>Purchase of I,PP&amp;E - Other Expenses capitalised</v>
          </cell>
          <cell r="J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</row>
        <row r="114">
          <cell r="C114" t="str">
            <v/>
          </cell>
          <cell r="D114" t="str">
            <v>Purchase of I,PP&amp;E - Internal Expenses capitalised</v>
          </cell>
          <cell r="J114">
            <v>318973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</row>
        <row r="115">
          <cell r="C115" t="str">
            <v/>
          </cell>
          <cell r="D115" t="str">
            <v>Purchase of Investment Property</v>
          </cell>
          <cell r="J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</row>
        <row r="116">
          <cell r="C116" t="str">
            <v/>
          </cell>
          <cell r="D116" t="str">
            <v>Purchase of Real Estate</v>
          </cell>
          <cell r="J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</row>
        <row r="117">
          <cell r="C117" t="str">
            <v/>
          </cell>
          <cell r="D117" t="str">
            <v>Purchase of intangible assets</v>
          </cell>
          <cell r="J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</row>
        <row r="118">
          <cell r="C118" t="str">
            <v/>
          </cell>
          <cell r="D118" t="str">
            <v>Deferred Debtors &amp; Advances Made</v>
          </cell>
          <cell r="J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</row>
        <row r="119">
          <cell r="C119" t="str">
            <v/>
          </cell>
          <cell r="D119" t="str">
            <v>Bonds &amp; Deposits paid out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</row>
        <row r="120">
          <cell r="C120" t="str">
            <v/>
          </cell>
          <cell r="D120" t="str">
            <v>ELE Provisions utilised (paid out)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</row>
        <row r="121">
          <cell r="C121" t="str">
            <v/>
          </cell>
          <cell r="D121" t="str">
            <v>Reinstatement Provisions utilised (paid out)</v>
          </cell>
          <cell r="J121">
            <v>0</v>
          </cell>
          <cell r="L121">
            <v>390000</v>
          </cell>
          <cell r="M121">
            <v>50000</v>
          </cell>
          <cell r="N121">
            <v>176000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</row>
        <row r="122">
          <cell r="C122" t="str">
            <v/>
          </cell>
          <cell r="D122" t="str">
            <v>Other Borrowings - Repayment</v>
          </cell>
          <cell r="J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</row>
        <row r="123">
          <cell r="C123" t="str">
            <v/>
          </cell>
          <cell r="D123" t="str">
            <v>Other Provisions - Utilised (Paid out)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</row>
        <row r="124">
          <cell r="C124" t="str">
            <v/>
          </cell>
          <cell r="D124" t="str">
            <v>Purchase of Interests in JV's &amp; Associated Entities</v>
          </cell>
          <cell r="J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</row>
        <row r="125">
          <cell r="C125" t="str">
            <v/>
          </cell>
          <cell r="D125" t="str">
            <v>Contributions Paid to JV's &amp; Associated Entities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</row>
        <row r="126">
          <cell r="C126" t="str">
            <v/>
          </cell>
          <cell r="D126" t="str">
            <v>Distributions to Minority Interests</v>
          </cell>
          <cell r="J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</row>
        <row r="127">
          <cell r="C127" t="str">
            <v/>
          </cell>
          <cell r="D127" t="str">
            <v>Non-cash Income contra Expense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</row>
        <row r="128">
          <cell r="D128" t="str">
            <v>Total Capital Expenditure</v>
          </cell>
          <cell r="J128">
            <v>16948502.030000001</v>
          </cell>
          <cell r="L128">
            <v>17140046.890000001</v>
          </cell>
          <cell r="M128">
            <v>14030649.300000001</v>
          </cell>
          <cell r="N128">
            <v>13153664</v>
          </cell>
          <cell r="O128">
            <v>13869354</v>
          </cell>
          <cell r="P128">
            <v>13887093</v>
          </cell>
          <cell r="Q128">
            <v>13489209</v>
          </cell>
          <cell r="R128">
            <v>13655300</v>
          </cell>
          <cell r="S128">
            <v>12853988</v>
          </cell>
          <cell r="T128">
            <v>13117681</v>
          </cell>
          <cell r="U128">
            <v>14215447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</row>
        <row r="130">
          <cell r="D130" t="str">
            <v>Capital Surplus/(Deficit)</v>
          </cell>
          <cell r="J130">
            <v>-12483288.030000001</v>
          </cell>
          <cell r="L130">
            <v>-12568046.890000001</v>
          </cell>
          <cell r="M130">
            <v>-9518589.3000000007</v>
          </cell>
          <cell r="N130">
            <v>-10072063.09</v>
          </cell>
          <cell r="O130">
            <v>-10741529.08</v>
          </cell>
          <cell r="P130">
            <v>-10712350.699999999</v>
          </cell>
          <cell r="Q130">
            <v>-10264445.49</v>
          </cell>
          <cell r="R130">
            <v>-10379716.969999999</v>
          </cell>
          <cell r="S130">
            <v>-9526774.1899999995</v>
          </cell>
          <cell r="T130">
            <v>-9738012.0099999998</v>
          </cell>
          <cell r="U130">
            <v>-10782485.07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</row>
        <row r="133">
          <cell r="D133" t="str">
            <v>Transfer from Reserves (Income)</v>
          </cell>
        </row>
        <row r="134">
          <cell r="C134" t="str">
            <v/>
          </cell>
          <cell r="D134" t="str">
            <v>Transfer from Reserves</v>
          </cell>
          <cell r="J134">
            <v>0</v>
          </cell>
          <cell r="L134">
            <v>1126191</v>
          </cell>
          <cell r="M134">
            <v>1283221</v>
          </cell>
          <cell r="N134">
            <v>1200616</v>
          </cell>
          <cell r="O134">
            <v>968638</v>
          </cell>
          <cell r="P134">
            <v>1287256</v>
          </cell>
          <cell r="Q134">
            <v>1225634</v>
          </cell>
          <cell r="R134">
            <v>1696000</v>
          </cell>
          <cell r="S134">
            <v>1381000</v>
          </cell>
          <cell r="T134">
            <v>1496000</v>
          </cell>
          <cell r="U134">
            <v>1166000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</row>
        <row r="135">
          <cell r="D135" t="str">
            <v>Total Transfer from Reserves (Income)</v>
          </cell>
          <cell r="J135">
            <v>0</v>
          </cell>
          <cell r="L135">
            <v>1126191</v>
          </cell>
          <cell r="M135">
            <v>1283221</v>
          </cell>
          <cell r="N135">
            <v>1200616</v>
          </cell>
          <cell r="O135">
            <v>968638</v>
          </cell>
          <cell r="P135">
            <v>1287256</v>
          </cell>
          <cell r="Q135">
            <v>1225634</v>
          </cell>
          <cell r="R135">
            <v>1696000</v>
          </cell>
          <cell r="S135">
            <v>1381000</v>
          </cell>
          <cell r="T135">
            <v>1496000</v>
          </cell>
          <cell r="U135">
            <v>1166000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</row>
        <row r="137">
          <cell r="D137" t="str">
            <v>Transfer to Reserves (Expenditure)</v>
          </cell>
        </row>
        <row r="138">
          <cell r="C138" t="str">
            <v/>
          </cell>
          <cell r="D138" t="str">
            <v>Transfer to Reserves</v>
          </cell>
          <cell r="J138">
            <v>-1274217</v>
          </cell>
          <cell r="L138">
            <v>850000</v>
          </cell>
          <cell r="M138">
            <v>710000</v>
          </cell>
          <cell r="N138">
            <v>1321898</v>
          </cell>
          <cell r="O138">
            <v>1542088</v>
          </cell>
          <cell r="P138">
            <v>1884628</v>
          </cell>
          <cell r="Q138">
            <v>1687527</v>
          </cell>
          <cell r="R138">
            <v>1953628</v>
          </cell>
          <cell r="S138">
            <v>1960137</v>
          </cell>
          <cell r="T138">
            <v>1948894</v>
          </cell>
          <cell r="U138">
            <v>1798224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</row>
        <row r="139">
          <cell r="D139" t="str">
            <v>Total Transfer to Reserves (Expenditure)</v>
          </cell>
          <cell r="J139">
            <v>-1274217</v>
          </cell>
          <cell r="L139">
            <v>850000</v>
          </cell>
          <cell r="M139">
            <v>710000</v>
          </cell>
          <cell r="N139">
            <v>1321898</v>
          </cell>
          <cell r="O139">
            <v>1542088</v>
          </cell>
          <cell r="P139">
            <v>1884628</v>
          </cell>
          <cell r="Q139">
            <v>1687527</v>
          </cell>
          <cell r="R139">
            <v>1953628</v>
          </cell>
          <cell r="S139">
            <v>1960137</v>
          </cell>
          <cell r="T139">
            <v>1948894</v>
          </cell>
          <cell r="U139">
            <v>1798224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</row>
        <row r="141">
          <cell r="D141" t="str">
            <v>Net Reserve Surplus/(Deficit)</v>
          </cell>
          <cell r="J141">
            <v>1274217</v>
          </cell>
          <cell r="L141">
            <v>276191</v>
          </cell>
          <cell r="M141">
            <v>573221</v>
          </cell>
          <cell r="N141">
            <v>-121282</v>
          </cell>
          <cell r="O141">
            <v>-573450</v>
          </cell>
          <cell r="P141">
            <v>-597372</v>
          </cell>
          <cell r="Q141">
            <v>-461893</v>
          </cell>
          <cell r="R141">
            <v>-257628</v>
          </cell>
          <cell r="S141">
            <v>-579137</v>
          </cell>
          <cell r="T141">
            <v>-452894</v>
          </cell>
          <cell r="U141">
            <v>-632224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</row>
        <row r="144">
          <cell r="D144" t="str">
            <v xml:space="preserve">Internal Income </v>
          </cell>
        </row>
        <row r="145">
          <cell r="C145" t="str">
            <v/>
          </cell>
          <cell r="D145" t="str">
            <v>Internal Loans - Interest Income (rec'd from other Funds)</v>
          </cell>
          <cell r="J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</row>
        <row r="146">
          <cell r="C146" t="str">
            <v/>
          </cell>
          <cell r="D146" t="str">
            <v>Internal Loans - Principal Receipt (rec'd from other Funds)</v>
          </cell>
          <cell r="J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</row>
        <row r="147">
          <cell r="C147" t="str">
            <v/>
          </cell>
          <cell r="D147" t="str">
            <v>Internal Loans - New Loan raised (rec'd from other Funds)</v>
          </cell>
          <cell r="J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</row>
        <row r="148">
          <cell r="C148" t="str">
            <v/>
          </cell>
          <cell r="D148" t="str">
            <v>Employee On-cost Income (rec'd from other Funds)</v>
          </cell>
          <cell r="J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</row>
        <row r="149">
          <cell r="C149" t="str">
            <v/>
          </cell>
          <cell r="D149" t="str">
            <v>Internal Income - included in Rates &amp; Annual Charges</v>
          </cell>
          <cell r="J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</row>
        <row r="150">
          <cell r="C150" t="str">
            <v/>
          </cell>
          <cell r="D150" t="str">
            <v>Internal Income - included in User Charges &amp; Fees</v>
          </cell>
          <cell r="J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</row>
        <row r="151">
          <cell r="C151" t="str">
            <v/>
          </cell>
          <cell r="D151" t="str">
            <v>Internal Income - included in Interest &amp; Investment Revenue</v>
          </cell>
          <cell r="J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</row>
        <row r="152">
          <cell r="C152" t="str">
            <v/>
          </cell>
          <cell r="D152" t="str">
            <v>Internal Income - included in Other Revenues</v>
          </cell>
          <cell r="J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</row>
        <row r="153">
          <cell r="C153" t="str">
            <v/>
          </cell>
          <cell r="D153" t="str">
            <v>Internal Income - included in Operating Grants &amp; Contributions</v>
          </cell>
          <cell r="J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</row>
        <row r="154">
          <cell r="C154" t="str">
            <v/>
          </cell>
          <cell r="D154" t="str">
            <v>Internal Income - included in Capital Grants &amp; Contributions</v>
          </cell>
          <cell r="J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</row>
        <row r="155">
          <cell r="C155" t="str">
            <v/>
          </cell>
          <cell r="D155" t="str">
            <v>Other Internal Income - Operating</v>
          </cell>
          <cell r="J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</row>
        <row r="156">
          <cell r="D156" t="str">
            <v>Total Internal Income</v>
          </cell>
          <cell r="J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</row>
        <row r="158">
          <cell r="D158" t="str">
            <v xml:space="preserve">Internal Expenditure </v>
          </cell>
        </row>
        <row r="159">
          <cell r="C159" t="str">
            <v/>
          </cell>
          <cell r="D159" t="str">
            <v>Internal Loans - Interest Expense (paid to other Funds)</v>
          </cell>
          <cell r="J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</row>
        <row r="160">
          <cell r="C160" t="str">
            <v/>
          </cell>
          <cell r="D160" t="str">
            <v>Internal Loans - Principal Repayment (paid to other Funds)</v>
          </cell>
          <cell r="J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</row>
        <row r="161">
          <cell r="C161" t="str">
            <v/>
          </cell>
          <cell r="D161" t="str">
            <v>Internal Loans - New Loan provided (paid to other Funds)</v>
          </cell>
          <cell r="J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</row>
        <row r="162">
          <cell r="C162" t="str">
            <v/>
          </cell>
          <cell r="D162" t="str">
            <v>Rates &amp; Annual Charges paid on Council owned properties</v>
          </cell>
          <cell r="J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</row>
        <row r="163">
          <cell r="C163" t="str">
            <v/>
          </cell>
          <cell r="D163" t="str">
            <v>Employee On-cost Expense (paid to other Funds)</v>
          </cell>
          <cell r="J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</row>
        <row r="164">
          <cell r="C164" t="str">
            <v/>
          </cell>
          <cell r="D164" t="str">
            <v>Internal Expenses - included in Employee Benefits &amp; On-Costs</v>
          </cell>
          <cell r="J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</row>
        <row r="165">
          <cell r="C165" t="str">
            <v/>
          </cell>
          <cell r="D165" t="str">
            <v>Internal Expenses - included in Borrowing Costs</v>
          </cell>
          <cell r="J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</row>
        <row r="166">
          <cell r="C166" t="str">
            <v/>
          </cell>
          <cell r="D166" t="str">
            <v>Internal Expenses - included in Materials &amp; Contracts</v>
          </cell>
          <cell r="J166">
            <v>-1766051.7100000032</v>
          </cell>
          <cell r="L166">
            <v>-1797840.6000000017</v>
          </cell>
          <cell r="M166">
            <v>-1833797.4499999925</v>
          </cell>
          <cell r="N166">
            <v>-1874141.069999998</v>
          </cell>
          <cell r="O166">
            <v>-1915372.1999999986</v>
          </cell>
          <cell r="P166">
            <v>-1957510.4799999958</v>
          </cell>
          <cell r="Q166">
            <v>-2000575.6999999983</v>
          </cell>
          <cell r="R166">
            <v>-2044588.3099999975</v>
          </cell>
          <cell r="S166">
            <v>-2089569.3100000019</v>
          </cell>
          <cell r="T166">
            <v>-2135539.6900000041</v>
          </cell>
          <cell r="U166">
            <v>-2182521.6700000009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</row>
        <row r="167">
          <cell r="C167" t="str">
            <v/>
          </cell>
          <cell r="D167" t="str">
            <v>Internal Expenses - included in Depreciation &amp; Amortisation</v>
          </cell>
          <cell r="J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</row>
        <row r="168">
          <cell r="C168" t="str">
            <v/>
          </cell>
          <cell r="D168" t="str">
            <v>Internal Expenses - included in Impairment</v>
          </cell>
          <cell r="J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</row>
        <row r="169">
          <cell r="C169" t="str">
            <v/>
          </cell>
          <cell r="D169" t="str">
            <v>Internal Expenses - included in Other Expenses</v>
          </cell>
          <cell r="J169">
            <v>99270.119999999937</v>
          </cell>
          <cell r="L169">
            <v>101057.05000000003</v>
          </cell>
          <cell r="M169">
            <v>103078.15999999997</v>
          </cell>
          <cell r="N169">
            <v>105345.88</v>
          </cell>
          <cell r="O169">
            <v>107663.49999999993</v>
          </cell>
          <cell r="P169">
            <v>110032.13000000005</v>
          </cell>
          <cell r="Q169">
            <v>112452.81000000003</v>
          </cell>
          <cell r="R169">
            <v>114926.76000000004</v>
          </cell>
          <cell r="S169">
            <v>117455.11999999998</v>
          </cell>
          <cell r="T169">
            <v>120039.13000000003</v>
          </cell>
          <cell r="U169">
            <v>122679.99000000002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</row>
        <row r="170">
          <cell r="C170" t="str">
            <v/>
          </cell>
          <cell r="D170" t="str">
            <v>Other Internal Expenditure - Operating</v>
          </cell>
          <cell r="J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</row>
        <row r="171">
          <cell r="C171" t="str">
            <v/>
          </cell>
          <cell r="D171" t="str">
            <v>Internal Expenditure - Capitalised (contra credit)</v>
          </cell>
          <cell r="J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</row>
        <row r="172">
          <cell r="D172" t="str">
            <v>Total Internal Expenditure</v>
          </cell>
          <cell r="J172">
            <v>-1666781.5900000033</v>
          </cell>
          <cell r="L172">
            <v>-1696783.5500000017</v>
          </cell>
          <cell r="M172">
            <v>-1730719.2899999926</v>
          </cell>
          <cell r="N172">
            <v>-1768795.1899999981</v>
          </cell>
          <cell r="O172">
            <v>-1807708.6999999986</v>
          </cell>
          <cell r="P172">
            <v>-1847478.3499999957</v>
          </cell>
          <cell r="Q172">
            <v>-1888122.8899999983</v>
          </cell>
          <cell r="R172">
            <v>-1929661.5499999975</v>
          </cell>
          <cell r="S172">
            <v>-1972114.190000002</v>
          </cell>
          <cell r="T172">
            <v>-2015500.560000004</v>
          </cell>
          <cell r="U172">
            <v>-2059841.6800000009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</row>
        <row r="174">
          <cell r="D174" t="str">
            <v>Internal Surplus/(Deficit)</v>
          </cell>
          <cell r="J174">
            <v>1666781.5900000033</v>
          </cell>
          <cell r="L174">
            <v>1696783.5500000017</v>
          </cell>
          <cell r="M174">
            <v>1730719.2899999926</v>
          </cell>
          <cell r="N174">
            <v>1768795.1899999981</v>
          </cell>
          <cell r="O174">
            <v>1807708.6999999986</v>
          </cell>
          <cell r="P174">
            <v>1847478.3499999957</v>
          </cell>
          <cell r="Q174">
            <v>1888122.8899999983</v>
          </cell>
          <cell r="R174">
            <v>1929661.5499999975</v>
          </cell>
          <cell r="S174">
            <v>1972114.190000002</v>
          </cell>
          <cell r="T174">
            <v>2015500.560000004</v>
          </cell>
          <cell r="U174">
            <v>2059841.6800000009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</row>
        <row r="177">
          <cell r="D177" t="str">
            <v>Net Surplus/(Deficit)</v>
          </cell>
          <cell r="J177">
            <v>-12082751.389999989</v>
          </cell>
          <cell r="L177">
            <v>-12312767.899999987</v>
          </cell>
          <cell r="M177">
            <v>-8328910.9400000228</v>
          </cell>
          <cell r="N177">
            <v>-9023639.0899999924</v>
          </cell>
          <cell r="O177">
            <v>-9894374.5700000022</v>
          </cell>
          <cell r="P177">
            <v>-9505336.480000006</v>
          </cell>
          <cell r="Q177">
            <v>-9023911.7299999967</v>
          </cell>
          <cell r="R177">
            <v>-8773374.040000014</v>
          </cell>
          <cell r="S177">
            <v>-8196966.3399999784</v>
          </cell>
          <cell r="T177">
            <v>-8252132.8900000006</v>
          </cell>
          <cell r="U177">
            <v>-9445061.2400000077</v>
          </cell>
          <cell r="BC177">
            <v>-8028957.8600000013</v>
          </cell>
          <cell r="BD177">
            <v>-8514509.0999999978</v>
          </cell>
          <cell r="BE177">
            <v>-8701828.290000001</v>
          </cell>
          <cell r="BF177">
            <v>-8893268.5199999977</v>
          </cell>
          <cell r="BG177">
            <v>-9088920.4299999997</v>
          </cell>
          <cell r="BH177">
            <v>-9288876.6900000013</v>
          </cell>
          <cell r="BI177">
            <v>-9493231.9900000002</v>
          </cell>
          <cell r="BJ177">
            <v>-9702083.1000000015</v>
          </cell>
          <cell r="BK177">
            <v>-9915528.9299999997</v>
          </cell>
          <cell r="BL177">
            <v>-10129670.57</v>
          </cell>
          <cell r="BM177">
            <v>-10208523.32</v>
          </cell>
        </row>
        <row r="179">
          <cell r="D179" t="str">
            <v xml:space="preserve"> </v>
          </cell>
          <cell r="J179" t="str">
            <v xml:space="preserve"> </v>
          </cell>
          <cell r="L179" t="str">
            <v xml:space="preserve"> </v>
          </cell>
          <cell r="M179" t="str">
            <v xml:space="preserve"> </v>
          </cell>
          <cell r="N179" t="str">
            <v xml:space="preserve"> </v>
          </cell>
          <cell r="O179" t="str">
            <v xml:space="preserve"> </v>
          </cell>
          <cell r="P179" t="str">
            <v xml:space="preserve"> </v>
          </cell>
          <cell r="Q179" t="str">
            <v xml:space="preserve"> </v>
          </cell>
          <cell r="R179" t="str">
            <v xml:space="preserve"> </v>
          </cell>
          <cell r="S179" t="str">
            <v xml:space="preserve"> </v>
          </cell>
          <cell r="T179" t="str">
            <v xml:space="preserve"> </v>
          </cell>
          <cell r="U179" t="str">
            <v xml:space="preserve"> </v>
          </cell>
          <cell r="BC179" t="str">
            <v xml:space="preserve"> </v>
          </cell>
          <cell r="BD179" t="str">
            <v xml:space="preserve"> </v>
          </cell>
          <cell r="BE179" t="str">
            <v xml:space="preserve"> </v>
          </cell>
          <cell r="BF179" t="str">
            <v xml:space="preserve"> </v>
          </cell>
          <cell r="BG179" t="str">
            <v xml:space="preserve"> </v>
          </cell>
          <cell r="BH179" t="str">
            <v xml:space="preserve"> </v>
          </cell>
          <cell r="BI179" t="str">
            <v xml:space="preserve"> </v>
          </cell>
          <cell r="BJ179" t="str">
            <v xml:space="preserve"> </v>
          </cell>
          <cell r="BK179" t="str">
            <v xml:space="preserve"> </v>
          </cell>
          <cell r="BL179" t="str">
            <v xml:space="preserve"> </v>
          </cell>
          <cell r="BM179" t="str">
            <v xml:space="preserve"> </v>
          </cell>
        </row>
        <row r="181">
          <cell r="D181" t="str">
            <v>Depreciation</v>
          </cell>
          <cell r="J181">
            <v>-8363957.8600000013</v>
          </cell>
          <cell r="L181">
            <v>-8514509.0999999978</v>
          </cell>
          <cell r="M181">
            <v>-8701828.290000001</v>
          </cell>
          <cell r="N181">
            <v>-8893268.5199999977</v>
          </cell>
          <cell r="O181">
            <v>-9088920.4299999997</v>
          </cell>
          <cell r="P181">
            <v>-9288876.6900000013</v>
          </cell>
          <cell r="Q181">
            <v>-9493231.9900000002</v>
          </cell>
          <cell r="R181">
            <v>-9702083.1000000015</v>
          </cell>
          <cell r="S181">
            <v>-9915528.9299999997</v>
          </cell>
          <cell r="T181">
            <v>-10129670.57</v>
          </cell>
          <cell r="U181">
            <v>-10208523.32</v>
          </cell>
        </row>
        <row r="182">
          <cell r="D182" t="str">
            <v>ELE</v>
          </cell>
        </row>
        <row r="184">
          <cell r="D184" t="str">
            <v>Restated Net Result</v>
          </cell>
          <cell r="J184">
            <v>-3718793.5299999882</v>
          </cell>
          <cell r="L184">
            <v>-3798258.7999999896</v>
          </cell>
          <cell r="M184">
            <v>372917.34999997821</v>
          </cell>
          <cell r="N184">
            <v>-130370.56999999471</v>
          </cell>
          <cell r="O184">
            <v>-805454.14000000246</v>
          </cell>
          <cell r="P184">
            <v>-216459.79000000469</v>
          </cell>
          <cell r="Q184">
            <v>469320.2600000035</v>
          </cell>
          <cell r="R184">
            <v>928709.05999998748</v>
          </cell>
          <cell r="S184">
            <v>1718562.5900000213</v>
          </cell>
          <cell r="T184">
            <v>1877537.6799999997</v>
          </cell>
          <cell r="U184">
            <v>763462.07999999262</v>
          </cell>
        </row>
        <row r="186">
          <cell r="J186">
            <v>-1274217</v>
          </cell>
          <cell r="L186">
            <v>-276191</v>
          </cell>
          <cell r="M186">
            <v>-573221</v>
          </cell>
          <cell r="N186">
            <v>121282</v>
          </cell>
          <cell r="O186">
            <v>573450</v>
          </cell>
          <cell r="P186">
            <v>597372</v>
          </cell>
          <cell r="Q186">
            <v>461893</v>
          </cell>
          <cell r="R186">
            <v>257628</v>
          </cell>
          <cell r="S186">
            <v>579137</v>
          </cell>
          <cell r="T186">
            <v>452894</v>
          </cell>
          <cell r="U186">
            <v>632224</v>
          </cell>
        </row>
        <row r="188">
          <cell r="J188">
            <v>-4993010.5299999882</v>
          </cell>
          <cell r="L188">
            <v>-4074449.7999999896</v>
          </cell>
          <cell r="M188">
            <v>-200303.65000002179</v>
          </cell>
          <cell r="N188">
            <v>-9088.5699999947101</v>
          </cell>
          <cell r="O188">
            <v>-232004.14000000246</v>
          </cell>
          <cell r="P188">
            <v>380912.20999999531</v>
          </cell>
          <cell r="Q188">
            <v>931213.2600000035</v>
          </cell>
          <cell r="R188">
            <v>1186337.0599999875</v>
          </cell>
          <cell r="S188">
            <v>2297699.5900000213</v>
          </cell>
          <cell r="T188">
            <v>2330431.6799999997</v>
          </cell>
          <cell r="U188">
            <v>1395686.0799999926</v>
          </cell>
        </row>
        <row r="191">
          <cell r="D191" t="str">
            <v>non-cash Balance Sheet</v>
          </cell>
          <cell r="J191" t="str">
            <v>AV</v>
          </cell>
          <cell r="L191" t="str">
            <v>BD</v>
          </cell>
          <cell r="M191" t="str">
            <v>BK</v>
          </cell>
          <cell r="N191" t="str">
            <v>BR</v>
          </cell>
          <cell r="O191" t="str">
            <v>BY</v>
          </cell>
          <cell r="P191" t="str">
            <v>CF</v>
          </cell>
          <cell r="Q191" t="str">
            <v>CM</v>
          </cell>
          <cell r="R191" t="str">
            <v>CT</v>
          </cell>
          <cell r="S191" t="str">
            <v>DA</v>
          </cell>
          <cell r="T191" t="str">
            <v>DH</v>
          </cell>
          <cell r="U191" t="str">
            <v>DO</v>
          </cell>
        </row>
        <row r="192">
          <cell r="C192" t="str">
            <v>Assets</v>
          </cell>
          <cell r="D192" t="str">
            <v>Investments</v>
          </cell>
          <cell r="J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C193" t="str">
            <v>Assets</v>
          </cell>
          <cell r="D193" t="str">
            <v>Investments</v>
          </cell>
          <cell r="J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C194" t="str">
            <v>Assets</v>
          </cell>
          <cell r="D194" t="str">
            <v>Investments</v>
          </cell>
          <cell r="J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C195" t="str">
            <v>Assets</v>
          </cell>
          <cell r="D195" t="str">
            <v>Receivables</v>
          </cell>
          <cell r="J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C196" t="str">
            <v>Assets</v>
          </cell>
          <cell r="D196" t="str">
            <v>Inventories</v>
          </cell>
          <cell r="J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</row>
        <row r="197">
          <cell r="C197" t="str">
            <v>Assets</v>
          </cell>
          <cell r="D197" t="str">
            <v>Inventories</v>
          </cell>
          <cell r="J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C198" t="str">
            <v>Assets</v>
          </cell>
          <cell r="D198" t="str">
            <v>Inventories</v>
          </cell>
          <cell r="J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C199" t="str">
            <v>Assets</v>
          </cell>
          <cell r="D199" t="str">
            <v>Inventories</v>
          </cell>
          <cell r="J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C200" t="str">
            <v>Assets</v>
          </cell>
          <cell r="D200" t="str">
            <v>Inventories</v>
          </cell>
          <cell r="J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C201" t="str">
            <v>Assets</v>
          </cell>
          <cell r="D201" t="str">
            <v>Other Assets</v>
          </cell>
          <cell r="J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C202" t="str">
            <v>Assets</v>
          </cell>
          <cell r="D202" t="str">
            <v>Non-current assets classified as "held for sale"</v>
          </cell>
          <cell r="J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C203" t="str">
            <v>Assets</v>
          </cell>
          <cell r="D203" t="str">
            <v>Non-current assets classified as "held for sale"</v>
          </cell>
          <cell r="J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C204" t="str">
            <v>Assets</v>
          </cell>
          <cell r="D204" t="str">
            <v>Infrastructure, Property, Plant &amp; Equipment</v>
          </cell>
          <cell r="J204">
            <v>-8363957.8600000013</v>
          </cell>
          <cell r="L204">
            <v>-8514509.0999999978</v>
          </cell>
          <cell r="M204">
            <v>-8701828.290000001</v>
          </cell>
          <cell r="N204">
            <v>-8893268.5199999977</v>
          </cell>
          <cell r="O204">
            <v>-9088920.4299999997</v>
          </cell>
          <cell r="P204">
            <v>-9288876.6900000013</v>
          </cell>
          <cell r="Q204">
            <v>-9493231.9900000002</v>
          </cell>
          <cell r="R204">
            <v>-9702083.1000000015</v>
          </cell>
          <cell r="S204">
            <v>-9915528.9299999997</v>
          </cell>
          <cell r="T204">
            <v>-10129670.57</v>
          </cell>
          <cell r="U204">
            <v>-10208523.32</v>
          </cell>
        </row>
        <row r="205">
          <cell r="C205" t="str">
            <v>Assets</v>
          </cell>
          <cell r="D205" t="str">
            <v>Infrastructure, Property, Plant &amp; Equipment</v>
          </cell>
          <cell r="J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</row>
        <row r="206">
          <cell r="C206" t="str">
            <v>Assets</v>
          </cell>
          <cell r="D206" t="str">
            <v>Infrastructure, Property, Plant &amp; Equipment</v>
          </cell>
          <cell r="J206">
            <v>335000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</row>
        <row r="207">
          <cell r="C207" t="str">
            <v>Assets</v>
          </cell>
          <cell r="D207" t="str">
            <v>Infrastructure, Property, Plant &amp; Equipment</v>
          </cell>
          <cell r="J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C208" t="str">
            <v>Assets</v>
          </cell>
          <cell r="D208" t="str">
            <v>Infrastructure, Property, Plant &amp; Equipment</v>
          </cell>
          <cell r="J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C209" t="str">
            <v>Assets</v>
          </cell>
          <cell r="D209" t="str">
            <v>Infrastructure, Property, Plant &amp; Equipment</v>
          </cell>
          <cell r="J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C210" t="str">
            <v>Assets</v>
          </cell>
          <cell r="D210" t="str">
            <v>Investments Accounted for using the equity method</v>
          </cell>
          <cell r="J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C211" t="str">
            <v>Assets</v>
          </cell>
          <cell r="D211" t="str">
            <v>Investments Accounted for using the equity method</v>
          </cell>
          <cell r="J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C212" t="str">
            <v>Assets</v>
          </cell>
          <cell r="D212" t="str">
            <v>Investment Property</v>
          </cell>
          <cell r="J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C213" t="str">
            <v>Assets</v>
          </cell>
          <cell r="D213" t="str">
            <v>Investment Property</v>
          </cell>
          <cell r="J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C214" t="str">
            <v>Assets</v>
          </cell>
          <cell r="D214" t="str">
            <v>Investment Property</v>
          </cell>
          <cell r="J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C215" t="str">
            <v>Assets</v>
          </cell>
          <cell r="D215" t="str">
            <v>Investment Property</v>
          </cell>
          <cell r="J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C216" t="str">
            <v>Assets</v>
          </cell>
          <cell r="D216" t="str">
            <v>Investment Property</v>
          </cell>
          <cell r="J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C217" t="str">
            <v>Assets</v>
          </cell>
          <cell r="D217" t="str">
            <v>Investment Property</v>
          </cell>
          <cell r="J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18">
          <cell r="C218" t="str">
            <v>Assets</v>
          </cell>
          <cell r="D218" t="str">
            <v>Investment Property</v>
          </cell>
          <cell r="J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C219" t="str">
            <v>Assets</v>
          </cell>
          <cell r="D219" t="str">
            <v>Investment Property</v>
          </cell>
          <cell r="J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</row>
        <row r="220">
          <cell r="C220" t="str">
            <v>Assets</v>
          </cell>
          <cell r="D220" t="str">
            <v>Intangible Assets</v>
          </cell>
          <cell r="J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C221" t="str">
            <v>Assets</v>
          </cell>
          <cell r="D221" t="str">
            <v>Intangible Assets</v>
          </cell>
          <cell r="J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C222" t="str">
            <v>Assets</v>
          </cell>
          <cell r="D222" t="str">
            <v>Intangible Assets</v>
          </cell>
          <cell r="J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C223" t="str">
            <v>Assets</v>
          </cell>
          <cell r="D223" t="str">
            <v>Intangible Assets</v>
          </cell>
          <cell r="J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C224" t="str">
            <v>Assets</v>
          </cell>
          <cell r="D224" t="str">
            <v>Intangible Assets</v>
          </cell>
          <cell r="J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C225" t="str">
            <v>Assets</v>
          </cell>
          <cell r="D225" t="str">
            <v>Intangible Assets</v>
          </cell>
          <cell r="J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C226" t="str">
            <v>Liabilities</v>
          </cell>
          <cell r="D226" t="str">
            <v>Payables</v>
          </cell>
          <cell r="J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C227" t="str">
            <v>Liabilities</v>
          </cell>
          <cell r="D227" t="str">
            <v>Borrowings - Loans</v>
          </cell>
          <cell r="J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C228" t="str">
            <v>Liabilities</v>
          </cell>
          <cell r="D228" t="str">
            <v>Borrowings - Finance Leases</v>
          </cell>
          <cell r="J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C229" t="str">
            <v>Liabilities</v>
          </cell>
          <cell r="D229" t="str">
            <v>Borrowings - Other</v>
          </cell>
          <cell r="J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C230" t="str">
            <v>Liabilities</v>
          </cell>
          <cell r="D230" t="str">
            <v>Provisions - ELE</v>
          </cell>
          <cell r="J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C231" t="str">
            <v>Liabilities</v>
          </cell>
          <cell r="D231" t="str">
            <v>Provisions - Reinstatements</v>
          </cell>
          <cell r="J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C232" t="str">
            <v>Liabilities</v>
          </cell>
          <cell r="D232" t="str">
            <v>Provisions - Other</v>
          </cell>
          <cell r="J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C233" t="str">
            <v>Liabilities</v>
          </cell>
          <cell r="D233" t="str">
            <v>Liabilities associated with assets classified as "held for sale"</v>
          </cell>
          <cell r="J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C234" t="str">
            <v/>
          </cell>
          <cell r="D234" t="str">
            <v/>
          </cell>
          <cell r="J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C235" t="str">
            <v/>
          </cell>
          <cell r="D235" t="str">
            <v/>
          </cell>
          <cell r="J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D236" t="str">
            <v>Variance to non-cash net result</v>
          </cell>
          <cell r="J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8">
          <cell r="C238" t="str">
            <v>Operating</v>
          </cell>
          <cell r="D238" t="str">
            <v>Net Reserves</v>
          </cell>
        </row>
        <row r="239">
          <cell r="C239" t="str">
            <v>Internal</v>
          </cell>
          <cell r="D239" t="str">
            <v>Plant and vehicle replacement</v>
          </cell>
          <cell r="J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D240" t="str">
            <v>Infrastructure replacement</v>
          </cell>
          <cell r="J240">
            <v>0</v>
          </cell>
          <cell r="L240">
            <v>0</v>
          </cell>
          <cell r="M240">
            <v>0</v>
          </cell>
          <cell r="N240">
            <v>471898</v>
          </cell>
          <cell r="O240">
            <v>692088</v>
          </cell>
          <cell r="P240">
            <v>1034628</v>
          </cell>
          <cell r="Q240">
            <v>877527</v>
          </cell>
          <cell r="R240">
            <v>1003628</v>
          </cell>
          <cell r="S240">
            <v>1010137</v>
          </cell>
          <cell r="T240">
            <v>998894</v>
          </cell>
          <cell r="U240">
            <v>988224</v>
          </cell>
        </row>
        <row r="241">
          <cell r="D241" t="str">
            <v>Employees leave entitlement</v>
          </cell>
          <cell r="J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</row>
        <row r="242">
          <cell r="D242" t="str">
            <v>Carry over works</v>
          </cell>
          <cell r="J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D243" t="str">
            <v>Deposits, retentions and bonds</v>
          </cell>
          <cell r="J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D244" t="str">
            <v>Election</v>
          </cell>
          <cell r="J244">
            <v>35000</v>
          </cell>
          <cell r="L244">
            <v>35000</v>
          </cell>
          <cell r="M244">
            <v>-105000</v>
          </cell>
          <cell r="N244">
            <v>35000</v>
          </cell>
          <cell r="O244">
            <v>35000</v>
          </cell>
          <cell r="P244">
            <v>35000</v>
          </cell>
          <cell r="Q244">
            <v>-105000</v>
          </cell>
          <cell r="R244">
            <v>35000</v>
          </cell>
          <cell r="S244">
            <v>35000</v>
          </cell>
          <cell r="T244">
            <v>35000</v>
          </cell>
          <cell r="U244">
            <v>-105000</v>
          </cell>
        </row>
        <row r="245">
          <cell r="D245" t="str">
            <v>Land and building</v>
          </cell>
          <cell r="J245">
            <v>-275690</v>
          </cell>
          <cell r="L245">
            <v>234809</v>
          </cell>
          <cell r="M245">
            <v>-172221</v>
          </cell>
          <cell r="N245">
            <v>110384</v>
          </cell>
          <cell r="O245">
            <v>142362</v>
          </cell>
          <cell r="P245">
            <v>23744</v>
          </cell>
          <cell r="Q245">
            <v>61366</v>
          </cell>
          <cell r="R245">
            <v>-385000</v>
          </cell>
          <cell r="S245">
            <v>-270000</v>
          </cell>
          <cell r="T245">
            <v>-185000</v>
          </cell>
          <cell r="U245">
            <v>-55000</v>
          </cell>
        </row>
        <row r="246">
          <cell r="D246" t="str">
            <v>Works in progress</v>
          </cell>
          <cell r="J246">
            <v>-562455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</row>
        <row r="247">
          <cell r="D247" t="str">
            <v>z_unallocated internal</v>
          </cell>
          <cell r="J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D248" t="str">
            <v/>
          </cell>
          <cell r="J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D249" t="str">
            <v/>
          </cell>
          <cell r="J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D250" t="str">
            <v/>
          </cell>
          <cell r="J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D251" t="str">
            <v/>
          </cell>
          <cell r="J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D252" t="str">
            <v/>
          </cell>
          <cell r="J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D253" t="str">
            <v/>
          </cell>
          <cell r="J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D254" t="str">
            <v/>
          </cell>
          <cell r="J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D255" t="str">
            <v/>
          </cell>
          <cell r="J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</row>
        <row r="256">
          <cell r="D256" t="str">
            <v/>
          </cell>
          <cell r="J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</row>
        <row r="257">
          <cell r="D257" t="str">
            <v/>
          </cell>
          <cell r="J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</row>
        <row r="258">
          <cell r="D258" t="str">
            <v/>
          </cell>
          <cell r="J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</row>
        <row r="259">
          <cell r="D259" t="str">
            <v/>
          </cell>
          <cell r="J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</row>
        <row r="260">
          <cell r="D260" t="str">
            <v/>
          </cell>
          <cell r="J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</row>
        <row r="261">
          <cell r="D261" t="str">
            <v/>
          </cell>
          <cell r="J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</row>
        <row r="262">
          <cell r="D262" t="str">
            <v/>
          </cell>
          <cell r="J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</row>
        <row r="263">
          <cell r="D263" t="str">
            <v/>
          </cell>
          <cell r="J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D264" t="str">
            <v/>
          </cell>
          <cell r="J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D265" t="str">
            <v/>
          </cell>
          <cell r="J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D266" t="str">
            <v/>
          </cell>
          <cell r="J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</row>
        <row r="267">
          <cell r="D267" t="str">
            <v/>
          </cell>
          <cell r="J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</row>
        <row r="268">
          <cell r="D268" t="str">
            <v/>
          </cell>
          <cell r="J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</row>
        <row r="269">
          <cell r="D269" t="str">
            <v/>
          </cell>
          <cell r="J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</row>
        <row r="270">
          <cell r="D270" t="str">
            <v/>
          </cell>
          <cell r="J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D271" t="str">
            <v/>
          </cell>
          <cell r="J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</row>
        <row r="272">
          <cell r="D272" t="str">
            <v/>
          </cell>
          <cell r="J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</row>
        <row r="273">
          <cell r="D273" t="str">
            <v/>
          </cell>
          <cell r="J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</row>
        <row r="274">
          <cell r="D274" t="str">
            <v/>
          </cell>
          <cell r="J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</row>
        <row r="275">
          <cell r="D275" t="str">
            <v/>
          </cell>
          <cell r="J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</row>
        <row r="276">
          <cell r="D276" t="str">
            <v/>
          </cell>
          <cell r="J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</row>
        <row r="277">
          <cell r="D277" t="str">
            <v/>
          </cell>
          <cell r="J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D278" t="str">
            <v/>
          </cell>
          <cell r="J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D279" t="str">
            <v/>
          </cell>
          <cell r="J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D280" t="str">
            <v/>
          </cell>
          <cell r="J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</row>
        <row r="281">
          <cell r="D281" t="str">
            <v/>
          </cell>
          <cell r="J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</row>
        <row r="282">
          <cell r="D282" t="str">
            <v/>
          </cell>
          <cell r="J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D283" t="str">
            <v/>
          </cell>
          <cell r="J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D284" t="str">
            <v/>
          </cell>
          <cell r="J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D285" t="str">
            <v/>
          </cell>
          <cell r="J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D286" t="str">
            <v/>
          </cell>
          <cell r="J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D287" t="str">
            <v/>
          </cell>
          <cell r="J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D288" t="str">
            <v/>
          </cell>
          <cell r="J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D289" t="str">
            <v/>
          </cell>
          <cell r="J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D290" t="str">
            <v/>
          </cell>
          <cell r="J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D291" t="str">
            <v/>
          </cell>
          <cell r="J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</row>
        <row r="292">
          <cell r="D292" t="str">
            <v/>
          </cell>
          <cell r="J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</row>
        <row r="293">
          <cell r="D293" t="str">
            <v/>
          </cell>
          <cell r="J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D294" t="str">
            <v/>
          </cell>
          <cell r="J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D295" t="str">
            <v/>
          </cell>
          <cell r="J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D296" t="str">
            <v/>
          </cell>
          <cell r="J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D297" t="str">
            <v/>
          </cell>
          <cell r="J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D298" t="str">
            <v/>
          </cell>
          <cell r="J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D299" t="str">
            <v/>
          </cell>
          <cell r="J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D300" t="str">
            <v/>
          </cell>
          <cell r="J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D301" t="str">
            <v/>
          </cell>
          <cell r="J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D302" t="str">
            <v/>
          </cell>
          <cell r="J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</row>
        <row r="303">
          <cell r="D303" t="str">
            <v/>
          </cell>
          <cell r="J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</row>
        <row r="304">
          <cell r="D304" t="str">
            <v/>
          </cell>
          <cell r="J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</row>
        <row r="305">
          <cell r="D305" t="str">
            <v/>
          </cell>
          <cell r="J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D306" t="str">
            <v/>
          </cell>
          <cell r="J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</row>
        <row r="307">
          <cell r="D307" t="str">
            <v/>
          </cell>
          <cell r="J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D308" t="str">
            <v/>
          </cell>
          <cell r="J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</row>
        <row r="309">
          <cell r="D309" t="str">
            <v/>
          </cell>
          <cell r="J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D310" t="str">
            <v/>
          </cell>
          <cell r="J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D311" t="str">
            <v/>
          </cell>
          <cell r="J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D312" t="str">
            <v/>
          </cell>
          <cell r="J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D313" t="str">
            <v/>
          </cell>
          <cell r="J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D314" t="str">
            <v/>
          </cell>
          <cell r="J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D315" t="str">
            <v/>
          </cell>
          <cell r="J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D316" t="str">
            <v/>
          </cell>
          <cell r="J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D317" t="str">
            <v/>
          </cell>
          <cell r="J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D318" t="str">
            <v/>
          </cell>
          <cell r="J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D319" t="str">
            <v/>
          </cell>
          <cell r="J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D320" t="str">
            <v/>
          </cell>
          <cell r="J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D321" t="str">
            <v/>
          </cell>
          <cell r="J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D322" t="str">
            <v/>
          </cell>
          <cell r="J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D323" t="str">
            <v/>
          </cell>
          <cell r="J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D324" t="str">
            <v/>
          </cell>
          <cell r="J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D325" t="str">
            <v/>
          </cell>
          <cell r="J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D326" t="str">
            <v/>
          </cell>
          <cell r="J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D327" t="str">
            <v/>
          </cell>
          <cell r="J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D328" t="str">
            <v/>
          </cell>
          <cell r="J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D329" t="str">
            <v/>
          </cell>
          <cell r="J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D330" t="str">
            <v/>
          </cell>
          <cell r="J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D331" t="str">
            <v/>
          </cell>
          <cell r="J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D332" t="str">
            <v/>
          </cell>
          <cell r="J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D333" t="str">
            <v/>
          </cell>
          <cell r="J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D334" t="str">
            <v/>
          </cell>
          <cell r="J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D335" t="str">
            <v/>
          </cell>
          <cell r="J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D336" t="str">
            <v/>
          </cell>
          <cell r="J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D337" t="str">
            <v/>
          </cell>
          <cell r="J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D338" t="str">
            <v/>
          </cell>
          <cell r="J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C339" t="str">
            <v>Operating</v>
          </cell>
        </row>
        <row r="340">
          <cell r="C340" t="str">
            <v>External</v>
          </cell>
          <cell r="D340" t="str">
            <v>Developer Contributions</v>
          </cell>
          <cell r="J340">
            <v>-471072</v>
          </cell>
          <cell r="L340">
            <v>-296000</v>
          </cell>
          <cell r="M340">
            <v>-296000</v>
          </cell>
          <cell r="N340">
            <v>-296000</v>
          </cell>
          <cell r="O340">
            <v>-296000</v>
          </cell>
          <cell r="P340">
            <v>-296000</v>
          </cell>
          <cell r="Q340">
            <v>-196000</v>
          </cell>
          <cell r="R340">
            <v>-196000</v>
          </cell>
          <cell r="S340">
            <v>-196000</v>
          </cell>
          <cell r="T340">
            <v>-196000</v>
          </cell>
          <cell r="U340">
            <v>-196000</v>
          </cell>
        </row>
        <row r="341">
          <cell r="D341" t="str">
            <v>Specific Purpose Unexpended Grants</v>
          </cell>
          <cell r="J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D342" t="str">
            <v>Domestic Waste Management</v>
          </cell>
          <cell r="J342">
            <v>0</v>
          </cell>
          <cell r="L342">
            <v>-250000</v>
          </cell>
          <cell r="M342">
            <v>0</v>
          </cell>
          <cell r="N342">
            <v>-200000</v>
          </cell>
          <cell r="O342">
            <v>0</v>
          </cell>
          <cell r="P342">
            <v>-200000</v>
          </cell>
          <cell r="Q342">
            <v>-176000</v>
          </cell>
          <cell r="R342">
            <v>-200000</v>
          </cell>
          <cell r="S342">
            <v>0</v>
          </cell>
          <cell r="T342">
            <v>-200000</v>
          </cell>
          <cell r="U342">
            <v>0</v>
          </cell>
        </row>
        <row r="343">
          <cell r="D343" t="str">
            <v>Water Fund</v>
          </cell>
          <cell r="J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D344" t="str">
            <v>Sewer Fund</v>
          </cell>
          <cell r="J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D345" t="str">
            <v>Other 1 Fund</v>
          </cell>
          <cell r="J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D346" t="str">
            <v>Other 2 Fund</v>
          </cell>
          <cell r="J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D347" t="str">
            <v>Other 3 Fund</v>
          </cell>
          <cell r="J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D348" t="str">
            <v>Specific Purpose Unexpended Loans</v>
          </cell>
          <cell r="J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D349" t="str">
            <v>z_unallocated external</v>
          </cell>
          <cell r="J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D350" t="str">
            <v/>
          </cell>
          <cell r="J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</row>
        <row r="351">
          <cell r="D351" t="str">
            <v/>
          </cell>
          <cell r="J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D352" t="str">
            <v/>
          </cell>
          <cell r="J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D353" t="str">
            <v/>
          </cell>
          <cell r="J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D354" t="str">
            <v/>
          </cell>
          <cell r="J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D355" t="str">
            <v/>
          </cell>
          <cell r="J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D356" t="str">
            <v/>
          </cell>
          <cell r="J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D357" t="str">
            <v/>
          </cell>
          <cell r="J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D358" t="str">
            <v/>
          </cell>
          <cell r="J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D359" t="str">
            <v/>
          </cell>
          <cell r="J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D360" t="str">
            <v/>
          </cell>
          <cell r="J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D361" t="str">
            <v/>
          </cell>
          <cell r="J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D362" t="str">
            <v/>
          </cell>
          <cell r="J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D363" t="str">
            <v/>
          </cell>
          <cell r="J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D364" t="str">
            <v/>
          </cell>
          <cell r="J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D365" t="str">
            <v/>
          </cell>
          <cell r="J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D366" t="str">
            <v/>
          </cell>
          <cell r="J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D367" t="str">
            <v/>
          </cell>
          <cell r="J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D368" t="str">
            <v/>
          </cell>
          <cell r="J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D369" t="str">
            <v/>
          </cell>
          <cell r="J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D370" t="str">
            <v>Total Operating Net Reserves</v>
          </cell>
          <cell r="J370">
            <v>-1274217</v>
          </cell>
          <cell r="L370">
            <v>-276191</v>
          </cell>
          <cell r="M370">
            <v>-573221</v>
          </cell>
          <cell r="N370">
            <v>121282</v>
          </cell>
          <cell r="O370">
            <v>573450</v>
          </cell>
          <cell r="P370">
            <v>597372</v>
          </cell>
          <cell r="Q370">
            <v>461893</v>
          </cell>
          <cell r="R370">
            <v>257628</v>
          </cell>
          <cell r="S370">
            <v>579137</v>
          </cell>
          <cell r="T370">
            <v>452894</v>
          </cell>
          <cell r="U370">
            <v>632224</v>
          </cell>
        </row>
        <row r="375">
          <cell r="D375" t="str">
            <v>Depreciation - capitalised</v>
          </cell>
          <cell r="J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BC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</row>
        <row r="379">
          <cell r="C379" t="str">
            <v>Capital</v>
          </cell>
          <cell r="D379" t="str">
            <v>Net Reserves</v>
          </cell>
        </row>
        <row r="380">
          <cell r="C380" t="str">
            <v>Internal</v>
          </cell>
          <cell r="D380" t="str">
            <v>Plant and vehicle replacement</v>
          </cell>
          <cell r="J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D381" t="str">
            <v>Infrastructure replacement</v>
          </cell>
          <cell r="J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D382" t="str">
            <v>Employees leave entitlement</v>
          </cell>
          <cell r="J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D383" t="str">
            <v>Carry over works</v>
          </cell>
          <cell r="J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D384" t="str">
            <v>Deposits, retentions and bonds</v>
          </cell>
          <cell r="J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D385" t="str">
            <v>Election</v>
          </cell>
          <cell r="J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D386" t="str">
            <v>Land and building</v>
          </cell>
          <cell r="J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D387" t="str">
            <v>Works in progress</v>
          </cell>
          <cell r="J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D388" t="str">
            <v>z_unallocated internal</v>
          </cell>
          <cell r="J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D389" t="str">
            <v/>
          </cell>
          <cell r="J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D390" t="str">
            <v/>
          </cell>
          <cell r="J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D391" t="str">
            <v/>
          </cell>
          <cell r="J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D392" t="str">
            <v/>
          </cell>
          <cell r="J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D393" t="str">
            <v/>
          </cell>
          <cell r="J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D394" t="str">
            <v/>
          </cell>
          <cell r="J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D395" t="str">
            <v/>
          </cell>
          <cell r="J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D396" t="str">
            <v/>
          </cell>
          <cell r="J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D397" t="str">
            <v/>
          </cell>
          <cell r="J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D398" t="str">
            <v/>
          </cell>
          <cell r="J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D399" t="str">
            <v/>
          </cell>
          <cell r="J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D400" t="str">
            <v/>
          </cell>
          <cell r="J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D401" t="str">
            <v/>
          </cell>
          <cell r="J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D402" t="str">
            <v/>
          </cell>
          <cell r="J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D403" t="str">
            <v/>
          </cell>
          <cell r="J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D404" t="str">
            <v/>
          </cell>
          <cell r="J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D405" t="str">
            <v/>
          </cell>
          <cell r="J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D406" t="str">
            <v/>
          </cell>
          <cell r="J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D407" t="str">
            <v/>
          </cell>
          <cell r="J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D408" t="str">
            <v/>
          </cell>
          <cell r="J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D409" t="str">
            <v/>
          </cell>
          <cell r="J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D410" t="str">
            <v/>
          </cell>
          <cell r="J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D411" t="str">
            <v/>
          </cell>
          <cell r="J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D412" t="str">
            <v/>
          </cell>
          <cell r="J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D413" t="str">
            <v/>
          </cell>
          <cell r="J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D414" t="str">
            <v/>
          </cell>
          <cell r="J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D415" t="str">
            <v/>
          </cell>
          <cell r="J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D416" t="str">
            <v/>
          </cell>
          <cell r="J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D417" t="str">
            <v/>
          </cell>
          <cell r="J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D418" t="str">
            <v/>
          </cell>
          <cell r="J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D419" t="str">
            <v/>
          </cell>
          <cell r="J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D420" t="str">
            <v/>
          </cell>
          <cell r="J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D421" t="str">
            <v/>
          </cell>
          <cell r="J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D422" t="str">
            <v/>
          </cell>
          <cell r="J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D423" t="str">
            <v/>
          </cell>
          <cell r="J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D424" t="str">
            <v/>
          </cell>
          <cell r="J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D425" t="str">
            <v/>
          </cell>
          <cell r="J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D426" t="str">
            <v/>
          </cell>
          <cell r="J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D427" t="str">
            <v/>
          </cell>
          <cell r="J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D428" t="str">
            <v/>
          </cell>
          <cell r="J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D429" t="str">
            <v/>
          </cell>
          <cell r="J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D430" t="str">
            <v/>
          </cell>
          <cell r="J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D431" t="str">
            <v/>
          </cell>
          <cell r="J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D432" t="str">
            <v/>
          </cell>
          <cell r="J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D433" t="str">
            <v/>
          </cell>
          <cell r="J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D434" t="str">
            <v/>
          </cell>
          <cell r="J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D435" t="str">
            <v/>
          </cell>
          <cell r="J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D436" t="str">
            <v/>
          </cell>
          <cell r="J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D437" t="str">
            <v/>
          </cell>
          <cell r="J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D438" t="str">
            <v/>
          </cell>
          <cell r="J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D439" t="str">
            <v/>
          </cell>
          <cell r="J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D440" t="str">
            <v/>
          </cell>
          <cell r="J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D441" t="str">
            <v/>
          </cell>
          <cell r="J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D442" t="str">
            <v/>
          </cell>
          <cell r="J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D443" t="str">
            <v/>
          </cell>
          <cell r="J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D444" t="str">
            <v/>
          </cell>
          <cell r="J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D445" t="str">
            <v/>
          </cell>
          <cell r="J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</row>
        <row r="446">
          <cell r="D446" t="str">
            <v/>
          </cell>
          <cell r="J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</row>
        <row r="447">
          <cell r="D447" t="str">
            <v/>
          </cell>
          <cell r="J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</row>
        <row r="448">
          <cell r="D448" t="str">
            <v/>
          </cell>
          <cell r="J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</row>
        <row r="449">
          <cell r="D449" t="str">
            <v/>
          </cell>
          <cell r="J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</row>
        <row r="450">
          <cell r="D450" t="str">
            <v/>
          </cell>
          <cell r="J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</row>
        <row r="451">
          <cell r="D451" t="str">
            <v/>
          </cell>
          <cell r="J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</row>
        <row r="452">
          <cell r="D452" t="str">
            <v/>
          </cell>
          <cell r="J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</row>
        <row r="453">
          <cell r="D453" t="str">
            <v/>
          </cell>
          <cell r="J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</row>
        <row r="454">
          <cell r="D454" t="str">
            <v/>
          </cell>
          <cell r="J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</row>
        <row r="455">
          <cell r="D455" t="str">
            <v/>
          </cell>
          <cell r="J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</row>
        <row r="456">
          <cell r="D456" t="str">
            <v/>
          </cell>
          <cell r="J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</row>
        <row r="457">
          <cell r="D457" t="str">
            <v/>
          </cell>
          <cell r="J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</row>
        <row r="458">
          <cell r="D458" t="str">
            <v/>
          </cell>
          <cell r="J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</row>
        <row r="459">
          <cell r="D459" t="str">
            <v/>
          </cell>
          <cell r="J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</row>
        <row r="460">
          <cell r="D460" t="str">
            <v/>
          </cell>
          <cell r="J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</row>
        <row r="461">
          <cell r="D461" t="str">
            <v/>
          </cell>
          <cell r="J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D462" t="str">
            <v/>
          </cell>
          <cell r="J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</row>
        <row r="463">
          <cell r="D463" t="str">
            <v/>
          </cell>
          <cell r="J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</row>
        <row r="464">
          <cell r="D464" t="str">
            <v/>
          </cell>
          <cell r="J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</row>
        <row r="465">
          <cell r="D465" t="str">
            <v/>
          </cell>
          <cell r="J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</row>
        <row r="466">
          <cell r="D466" t="str">
            <v/>
          </cell>
          <cell r="J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</row>
        <row r="467">
          <cell r="D467" t="str">
            <v/>
          </cell>
          <cell r="J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</row>
        <row r="468">
          <cell r="D468" t="str">
            <v/>
          </cell>
          <cell r="J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</row>
        <row r="469">
          <cell r="D469" t="str">
            <v/>
          </cell>
          <cell r="J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</row>
        <row r="470">
          <cell r="D470" t="str">
            <v/>
          </cell>
          <cell r="J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</row>
        <row r="471">
          <cell r="D471" t="str">
            <v/>
          </cell>
          <cell r="J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</row>
        <row r="472">
          <cell r="D472" t="str">
            <v/>
          </cell>
          <cell r="J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D473" t="str">
            <v/>
          </cell>
          <cell r="J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</row>
        <row r="474">
          <cell r="D474" t="str">
            <v/>
          </cell>
          <cell r="J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</row>
        <row r="475">
          <cell r="D475" t="str">
            <v/>
          </cell>
          <cell r="J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D476" t="str">
            <v/>
          </cell>
          <cell r="J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</row>
        <row r="477">
          <cell r="D477" t="str">
            <v/>
          </cell>
          <cell r="J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</row>
        <row r="478">
          <cell r="D478" t="str">
            <v/>
          </cell>
          <cell r="J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D479" t="str">
            <v/>
          </cell>
          <cell r="J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C480" t="str">
            <v>Capital</v>
          </cell>
        </row>
        <row r="481">
          <cell r="C481" t="str">
            <v>External</v>
          </cell>
          <cell r="D481" t="str">
            <v>Developer Contributions</v>
          </cell>
          <cell r="J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</row>
        <row r="482">
          <cell r="D482" t="str">
            <v>Specific Purpose Unexpended Grants</v>
          </cell>
          <cell r="J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</row>
        <row r="483">
          <cell r="D483" t="str">
            <v>Domestic Waste Management</v>
          </cell>
          <cell r="J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</row>
        <row r="484">
          <cell r="D484" t="str">
            <v>Water Fund</v>
          </cell>
          <cell r="J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</row>
        <row r="485">
          <cell r="D485" t="str">
            <v>Sewer Fund</v>
          </cell>
          <cell r="J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D486" t="str">
            <v>Other 1 Fund</v>
          </cell>
          <cell r="J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D487" t="str">
            <v>Other 2 Fund</v>
          </cell>
          <cell r="J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D488" t="str">
            <v>Other 3 Fund</v>
          </cell>
          <cell r="J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</row>
        <row r="489">
          <cell r="D489" t="str">
            <v>Specific Purpose Unexpended Loans</v>
          </cell>
          <cell r="J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</row>
        <row r="490">
          <cell r="D490" t="str">
            <v>z_unallocated external</v>
          </cell>
          <cell r="J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</row>
        <row r="491">
          <cell r="D491" t="str">
            <v/>
          </cell>
          <cell r="J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D492" t="str">
            <v/>
          </cell>
          <cell r="J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</row>
        <row r="493">
          <cell r="D493" t="str">
            <v/>
          </cell>
          <cell r="J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</row>
        <row r="494">
          <cell r="D494" t="str">
            <v/>
          </cell>
          <cell r="J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D495" t="str">
            <v/>
          </cell>
          <cell r="J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D496" t="str">
            <v/>
          </cell>
          <cell r="J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D497" t="str">
            <v/>
          </cell>
          <cell r="J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</row>
        <row r="498">
          <cell r="D498" t="str">
            <v/>
          </cell>
          <cell r="J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</row>
        <row r="499">
          <cell r="D499" t="str">
            <v/>
          </cell>
          <cell r="J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</row>
        <row r="500">
          <cell r="D500" t="str">
            <v/>
          </cell>
          <cell r="J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</row>
        <row r="501">
          <cell r="D501" t="str">
            <v/>
          </cell>
          <cell r="J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D502" t="str">
            <v/>
          </cell>
          <cell r="J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</row>
        <row r="503">
          <cell r="D503" t="str">
            <v/>
          </cell>
          <cell r="J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D504" t="str">
            <v/>
          </cell>
          <cell r="J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</row>
        <row r="505">
          <cell r="D505" t="str">
            <v/>
          </cell>
          <cell r="J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</row>
        <row r="506">
          <cell r="D506" t="str">
            <v/>
          </cell>
          <cell r="J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</row>
        <row r="507">
          <cell r="D507" t="str">
            <v/>
          </cell>
          <cell r="J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</row>
        <row r="508">
          <cell r="D508" t="str">
            <v/>
          </cell>
          <cell r="J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</row>
        <row r="509">
          <cell r="D509" t="str">
            <v/>
          </cell>
          <cell r="J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D510" t="str">
            <v/>
          </cell>
          <cell r="J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</row>
        <row r="511">
          <cell r="D511" t="str">
            <v>Total Capital Net Reserves</v>
          </cell>
          <cell r="J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5">
          <cell r="C515" t="str">
            <v>All</v>
          </cell>
          <cell r="D515" t="str">
            <v>Net Reserves</v>
          </cell>
        </row>
        <row r="516">
          <cell r="C516" t="str">
            <v>Internal</v>
          </cell>
          <cell r="D516" t="str">
            <v>Plant and vehicle replacement</v>
          </cell>
          <cell r="J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</row>
        <row r="517">
          <cell r="D517" t="str">
            <v>Infrastructure replacement</v>
          </cell>
          <cell r="J517">
            <v>0</v>
          </cell>
          <cell r="L517">
            <v>0</v>
          </cell>
          <cell r="M517">
            <v>0</v>
          </cell>
          <cell r="N517">
            <v>471898</v>
          </cell>
          <cell r="O517">
            <v>692088</v>
          </cell>
          <cell r="P517">
            <v>1034628</v>
          </cell>
          <cell r="Q517">
            <v>877527</v>
          </cell>
          <cell r="R517">
            <v>1003628</v>
          </cell>
          <cell r="S517">
            <v>1010137</v>
          </cell>
          <cell r="T517">
            <v>998894</v>
          </cell>
          <cell r="U517">
            <v>988224</v>
          </cell>
        </row>
        <row r="518">
          <cell r="D518" t="str">
            <v>Employees leave entitlement</v>
          </cell>
          <cell r="J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D519" t="str">
            <v>Carry over works</v>
          </cell>
          <cell r="J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D520" t="str">
            <v>Deposits, retentions and bonds</v>
          </cell>
          <cell r="J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D521" t="str">
            <v>Election</v>
          </cell>
          <cell r="J521">
            <v>35000</v>
          </cell>
          <cell r="L521">
            <v>35000</v>
          </cell>
          <cell r="M521">
            <v>-105000</v>
          </cell>
          <cell r="N521">
            <v>35000</v>
          </cell>
          <cell r="O521">
            <v>35000</v>
          </cell>
          <cell r="P521">
            <v>35000</v>
          </cell>
          <cell r="Q521">
            <v>-105000</v>
          </cell>
          <cell r="R521">
            <v>35000</v>
          </cell>
          <cell r="S521">
            <v>35000</v>
          </cell>
          <cell r="T521">
            <v>35000</v>
          </cell>
          <cell r="U521">
            <v>-105000</v>
          </cell>
        </row>
        <row r="522">
          <cell r="D522" t="str">
            <v>Land and building</v>
          </cell>
          <cell r="J522">
            <v>-275690</v>
          </cell>
          <cell r="L522">
            <v>234809</v>
          </cell>
          <cell r="M522">
            <v>-172221</v>
          </cell>
          <cell r="N522">
            <v>110384</v>
          </cell>
          <cell r="O522">
            <v>142362</v>
          </cell>
          <cell r="P522">
            <v>23744</v>
          </cell>
          <cell r="Q522">
            <v>61366</v>
          </cell>
          <cell r="R522">
            <v>-385000</v>
          </cell>
          <cell r="S522">
            <v>-270000</v>
          </cell>
          <cell r="T522">
            <v>-185000</v>
          </cell>
          <cell r="U522">
            <v>-55000</v>
          </cell>
        </row>
        <row r="523">
          <cell r="D523" t="str">
            <v>Works in progress</v>
          </cell>
          <cell r="J523">
            <v>-562455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D524" t="str">
            <v>z_unallocated internal</v>
          </cell>
          <cell r="J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</row>
        <row r="525">
          <cell r="D525" t="str">
            <v/>
          </cell>
          <cell r="J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</row>
        <row r="526">
          <cell r="D526" t="str">
            <v/>
          </cell>
          <cell r="J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</row>
        <row r="527">
          <cell r="D527" t="str">
            <v/>
          </cell>
          <cell r="J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</row>
        <row r="528">
          <cell r="D528" t="str">
            <v/>
          </cell>
          <cell r="J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</row>
        <row r="529">
          <cell r="D529" t="str">
            <v/>
          </cell>
          <cell r="J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</row>
        <row r="530">
          <cell r="D530" t="str">
            <v/>
          </cell>
          <cell r="J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D531" t="str">
            <v/>
          </cell>
          <cell r="J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</row>
        <row r="532">
          <cell r="D532" t="str">
            <v/>
          </cell>
          <cell r="J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</row>
        <row r="533">
          <cell r="D533" t="str">
            <v/>
          </cell>
          <cell r="J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</row>
        <row r="534">
          <cell r="D534" t="str">
            <v/>
          </cell>
          <cell r="J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D535" t="str">
            <v/>
          </cell>
          <cell r="J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D536" t="str">
            <v/>
          </cell>
          <cell r="J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</row>
        <row r="537">
          <cell r="D537" t="str">
            <v/>
          </cell>
          <cell r="J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</row>
        <row r="538">
          <cell r="D538" t="str">
            <v/>
          </cell>
          <cell r="J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</row>
        <row r="539">
          <cell r="D539" t="str">
            <v/>
          </cell>
          <cell r="J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</row>
        <row r="540">
          <cell r="D540" t="str">
            <v/>
          </cell>
          <cell r="J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</row>
        <row r="541">
          <cell r="D541" t="str">
            <v/>
          </cell>
          <cell r="J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</row>
        <row r="542">
          <cell r="D542" t="str">
            <v/>
          </cell>
          <cell r="J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</row>
        <row r="543">
          <cell r="D543" t="str">
            <v/>
          </cell>
          <cell r="J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</row>
        <row r="544">
          <cell r="D544" t="str">
            <v/>
          </cell>
          <cell r="J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</row>
        <row r="545">
          <cell r="D545" t="str">
            <v/>
          </cell>
          <cell r="J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</row>
        <row r="546">
          <cell r="D546" t="str">
            <v/>
          </cell>
          <cell r="J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</row>
        <row r="547">
          <cell r="D547" t="str">
            <v/>
          </cell>
          <cell r="J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</row>
        <row r="548">
          <cell r="D548" t="str">
            <v/>
          </cell>
          <cell r="J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</row>
        <row r="549">
          <cell r="D549" t="str">
            <v/>
          </cell>
          <cell r="J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</row>
        <row r="550">
          <cell r="D550" t="str">
            <v/>
          </cell>
          <cell r="J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D551" t="str">
            <v/>
          </cell>
          <cell r="J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</row>
        <row r="552">
          <cell r="D552" t="str">
            <v/>
          </cell>
          <cell r="J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</row>
        <row r="553">
          <cell r="D553" t="str">
            <v/>
          </cell>
          <cell r="J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</row>
        <row r="554">
          <cell r="D554" t="str">
            <v/>
          </cell>
          <cell r="J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</row>
        <row r="555">
          <cell r="D555" t="str">
            <v/>
          </cell>
          <cell r="J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</row>
        <row r="556">
          <cell r="D556" t="str">
            <v/>
          </cell>
          <cell r="J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</row>
        <row r="557">
          <cell r="D557" t="str">
            <v/>
          </cell>
          <cell r="J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</row>
        <row r="558">
          <cell r="D558" t="str">
            <v/>
          </cell>
          <cell r="J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</row>
        <row r="559">
          <cell r="D559" t="str">
            <v/>
          </cell>
          <cell r="J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</row>
        <row r="560">
          <cell r="D560" t="str">
            <v/>
          </cell>
          <cell r="J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</row>
        <row r="561">
          <cell r="D561" t="str">
            <v/>
          </cell>
          <cell r="J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</row>
        <row r="562">
          <cell r="D562" t="str">
            <v/>
          </cell>
          <cell r="J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</row>
        <row r="563">
          <cell r="D563" t="str">
            <v/>
          </cell>
          <cell r="J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</row>
        <row r="564">
          <cell r="D564" t="str">
            <v/>
          </cell>
          <cell r="J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</row>
        <row r="565">
          <cell r="D565" t="str">
            <v/>
          </cell>
          <cell r="J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</row>
        <row r="566">
          <cell r="D566" t="str">
            <v/>
          </cell>
          <cell r="J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</row>
        <row r="567">
          <cell r="D567" t="str">
            <v/>
          </cell>
          <cell r="J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</row>
        <row r="568">
          <cell r="D568" t="str">
            <v/>
          </cell>
          <cell r="J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</row>
        <row r="569">
          <cell r="D569" t="str">
            <v/>
          </cell>
          <cell r="J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</row>
        <row r="570">
          <cell r="D570" t="str">
            <v/>
          </cell>
          <cell r="J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</row>
        <row r="571">
          <cell r="D571" t="str">
            <v/>
          </cell>
          <cell r="J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</row>
        <row r="572">
          <cell r="D572" t="str">
            <v/>
          </cell>
          <cell r="J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D573" t="str">
            <v/>
          </cell>
          <cell r="J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D574" t="str">
            <v/>
          </cell>
          <cell r="J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</row>
        <row r="575">
          <cell r="D575" t="str">
            <v/>
          </cell>
          <cell r="J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</row>
        <row r="576">
          <cell r="D576" t="str">
            <v/>
          </cell>
          <cell r="J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</row>
        <row r="577">
          <cell r="D577" t="str">
            <v/>
          </cell>
          <cell r="J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</row>
        <row r="578">
          <cell r="D578" t="str">
            <v/>
          </cell>
          <cell r="J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</row>
        <row r="579">
          <cell r="D579" t="str">
            <v/>
          </cell>
          <cell r="J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</row>
        <row r="580">
          <cell r="D580" t="str">
            <v/>
          </cell>
          <cell r="J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</row>
        <row r="581">
          <cell r="D581" t="str">
            <v/>
          </cell>
          <cell r="J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</row>
        <row r="582">
          <cell r="D582" t="str">
            <v/>
          </cell>
          <cell r="J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</row>
        <row r="583">
          <cell r="D583" t="str">
            <v/>
          </cell>
          <cell r="J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D584" t="str">
            <v/>
          </cell>
          <cell r="J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D585" t="str">
            <v/>
          </cell>
          <cell r="J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</row>
        <row r="586">
          <cell r="D586" t="str">
            <v/>
          </cell>
          <cell r="J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</row>
        <row r="587">
          <cell r="D587" t="str">
            <v/>
          </cell>
          <cell r="J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</row>
        <row r="588">
          <cell r="D588" t="str">
            <v/>
          </cell>
          <cell r="J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</row>
        <row r="589">
          <cell r="D589" t="str">
            <v/>
          </cell>
          <cell r="J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</row>
        <row r="590">
          <cell r="D590" t="str">
            <v/>
          </cell>
          <cell r="J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</row>
        <row r="591">
          <cell r="D591" t="str">
            <v/>
          </cell>
          <cell r="J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</row>
        <row r="592">
          <cell r="D592" t="str">
            <v/>
          </cell>
          <cell r="J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D593" t="str">
            <v/>
          </cell>
          <cell r="J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</row>
        <row r="594">
          <cell r="D594" t="str">
            <v/>
          </cell>
          <cell r="J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D595" t="str">
            <v/>
          </cell>
          <cell r="J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</row>
        <row r="596">
          <cell r="D596" t="str">
            <v/>
          </cell>
          <cell r="J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</row>
        <row r="597">
          <cell r="D597" t="str">
            <v/>
          </cell>
          <cell r="J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</row>
        <row r="598">
          <cell r="D598" t="str">
            <v/>
          </cell>
          <cell r="J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</row>
        <row r="599">
          <cell r="D599" t="str">
            <v/>
          </cell>
          <cell r="J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</row>
        <row r="600">
          <cell r="D600" t="str">
            <v/>
          </cell>
          <cell r="J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</row>
        <row r="601">
          <cell r="D601" t="str">
            <v/>
          </cell>
          <cell r="J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</row>
        <row r="602">
          <cell r="D602" t="str">
            <v/>
          </cell>
          <cell r="J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</row>
        <row r="603">
          <cell r="D603" t="str">
            <v/>
          </cell>
          <cell r="J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</row>
        <row r="604">
          <cell r="D604" t="str">
            <v/>
          </cell>
          <cell r="J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</row>
        <row r="605">
          <cell r="D605" t="str">
            <v/>
          </cell>
          <cell r="J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</row>
        <row r="606">
          <cell r="D606" t="str">
            <v/>
          </cell>
          <cell r="J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D607" t="str">
            <v/>
          </cell>
          <cell r="J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D608" t="str">
            <v/>
          </cell>
          <cell r="J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</row>
        <row r="609">
          <cell r="D609" t="str">
            <v/>
          </cell>
          <cell r="J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D610" t="str">
            <v/>
          </cell>
          <cell r="J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</row>
        <row r="611">
          <cell r="D611" t="str">
            <v/>
          </cell>
          <cell r="J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</row>
        <row r="612">
          <cell r="D612" t="str">
            <v/>
          </cell>
          <cell r="J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</row>
        <row r="613">
          <cell r="D613" t="str">
            <v/>
          </cell>
          <cell r="J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</row>
        <row r="614">
          <cell r="D614" t="str">
            <v/>
          </cell>
          <cell r="J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</row>
        <row r="615">
          <cell r="D615" t="str">
            <v/>
          </cell>
          <cell r="J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</row>
        <row r="616">
          <cell r="C616" t="str">
            <v>All</v>
          </cell>
        </row>
        <row r="617">
          <cell r="C617" t="str">
            <v>External</v>
          </cell>
          <cell r="D617" t="str">
            <v>Developer Contributions</v>
          </cell>
          <cell r="J617">
            <v>-471072</v>
          </cell>
          <cell r="L617">
            <v>-296000</v>
          </cell>
          <cell r="M617">
            <v>-296000</v>
          </cell>
          <cell r="N617">
            <v>-296000</v>
          </cell>
          <cell r="O617">
            <v>-296000</v>
          </cell>
          <cell r="P617">
            <v>-296000</v>
          </cell>
          <cell r="Q617">
            <v>-196000</v>
          </cell>
          <cell r="R617">
            <v>-196000</v>
          </cell>
          <cell r="S617">
            <v>-196000</v>
          </cell>
          <cell r="T617">
            <v>-196000</v>
          </cell>
          <cell r="U617">
            <v>-196000</v>
          </cell>
        </row>
        <row r="618">
          <cell r="D618" t="str">
            <v>Specific Purpose Unexpended Grants</v>
          </cell>
          <cell r="J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</row>
        <row r="619">
          <cell r="D619" t="str">
            <v>Domestic Waste Management</v>
          </cell>
          <cell r="J619">
            <v>0</v>
          </cell>
          <cell r="L619">
            <v>-250000</v>
          </cell>
          <cell r="M619">
            <v>0</v>
          </cell>
          <cell r="N619">
            <v>-200000</v>
          </cell>
          <cell r="O619">
            <v>0</v>
          </cell>
          <cell r="P619">
            <v>-200000</v>
          </cell>
          <cell r="Q619">
            <v>-176000</v>
          </cell>
          <cell r="R619">
            <v>-200000</v>
          </cell>
          <cell r="S619">
            <v>0</v>
          </cell>
          <cell r="T619">
            <v>-200000</v>
          </cell>
          <cell r="U619">
            <v>0</v>
          </cell>
        </row>
        <row r="620">
          <cell r="D620" t="str">
            <v>Water Fund</v>
          </cell>
          <cell r="J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</row>
        <row r="621">
          <cell r="D621" t="str">
            <v>Sewer Fund</v>
          </cell>
          <cell r="J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</row>
        <row r="622">
          <cell r="D622" t="str">
            <v>Other 1 Fund</v>
          </cell>
          <cell r="J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</row>
        <row r="623">
          <cell r="D623" t="str">
            <v>Other 2 Fund</v>
          </cell>
          <cell r="J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</row>
        <row r="624">
          <cell r="D624" t="str">
            <v>Other 3 Fund</v>
          </cell>
          <cell r="J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</row>
        <row r="625">
          <cell r="D625" t="str">
            <v>Specific Purpose Unexpended Loans</v>
          </cell>
          <cell r="J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</row>
        <row r="626">
          <cell r="D626" t="str">
            <v>z_unallocated external</v>
          </cell>
          <cell r="J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</row>
        <row r="627">
          <cell r="D627" t="str">
            <v/>
          </cell>
          <cell r="J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D628" t="str">
            <v/>
          </cell>
          <cell r="J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</row>
        <row r="629">
          <cell r="D629" t="str">
            <v/>
          </cell>
          <cell r="J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D630" t="str">
            <v/>
          </cell>
          <cell r="J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D631" t="str">
            <v/>
          </cell>
          <cell r="J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</row>
        <row r="632">
          <cell r="D632" t="str">
            <v/>
          </cell>
          <cell r="J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</row>
        <row r="633">
          <cell r="D633" t="str">
            <v/>
          </cell>
          <cell r="J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</row>
        <row r="634">
          <cell r="D634" t="str">
            <v/>
          </cell>
          <cell r="J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</row>
        <row r="635">
          <cell r="D635" t="str">
            <v/>
          </cell>
          <cell r="J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</row>
        <row r="636">
          <cell r="D636" t="str">
            <v/>
          </cell>
          <cell r="J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</row>
        <row r="637">
          <cell r="D637" t="str">
            <v/>
          </cell>
          <cell r="J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</row>
        <row r="638">
          <cell r="D638" t="str">
            <v/>
          </cell>
          <cell r="J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</row>
        <row r="639">
          <cell r="D639" t="str">
            <v/>
          </cell>
          <cell r="J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</row>
        <row r="640">
          <cell r="D640" t="str">
            <v/>
          </cell>
          <cell r="J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</row>
        <row r="641">
          <cell r="D641" t="str">
            <v/>
          </cell>
          <cell r="J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D642" t="str">
            <v/>
          </cell>
          <cell r="J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D643" t="str">
            <v/>
          </cell>
          <cell r="J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D644" t="str">
            <v/>
          </cell>
          <cell r="J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D645" t="str">
            <v/>
          </cell>
          <cell r="J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</row>
        <row r="646">
          <cell r="D646" t="str">
            <v/>
          </cell>
          <cell r="J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D647" t="str">
            <v>Total Net Reserves</v>
          </cell>
          <cell r="J647">
            <v>-1274217</v>
          </cell>
          <cell r="L647">
            <v>-276191</v>
          </cell>
          <cell r="M647">
            <v>-573221</v>
          </cell>
          <cell r="N647">
            <v>121282</v>
          </cell>
          <cell r="O647">
            <v>573450</v>
          </cell>
          <cell r="P647">
            <v>597372</v>
          </cell>
          <cell r="Q647">
            <v>461893</v>
          </cell>
          <cell r="R647">
            <v>257628</v>
          </cell>
          <cell r="S647">
            <v>579137</v>
          </cell>
          <cell r="T647">
            <v>452894</v>
          </cell>
          <cell r="U647">
            <v>632224</v>
          </cell>
        </row>
        <row r="648">
          <cell r="D648" t="str">
            <v>Net Result per Income Statement</v>
          </cell>
          <cell r="J648">
            <v>-1274217</v>
          </cell>
          <cell r="L648">
            <v>-276191</v>
          </cell>
          <cell r="M648">
            <v>-573221</v>
          </cell>
          <cell r="N648">
            <v>121282</v>
          </cell>
          <cell r="O648">
            <v>573450</v>
          </cell>
          <cell r="P648">
            <v>597372</v>
          </cell>
          <cell r="Q648">
            <v>461893</v>
          </cell>
          <cell r="R648">
            <v>257628</v>
          </cell>
          <cell r="S648">
            <v>579137</v>
          </cell>
          <cell r="T648">
            <v>452894</v>
          </cell>
          <cell r="U648">
            <v>632224</v>
          </cell>
        </row>
        <row r="649">
          <cell r="D649" t="str">
            <v>Variance</v>
          </cell>
          <cell r="J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</row>
        <row r="655">
          <cell r="D655" t="str">
            <v>Transfer to Reserves</v>
          </cell>
          <cell r="J655">
            <v>-471072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100000</v>
          </cell>
          <cell r="R655">
            <v>100000</v>
          </cell>
          <cell r="S655">
            <v>100000</v>
          </cell>
          <cell r="T655">
            <v>100000</v>
          </cell>
          <cell r="U655">
            <v>100000</v>
          </cell>
        </row>
        <row r="656">
          <cell r="D656" t="str">
            <v>Transfer from Reserves</v>
          </cell>
          <cell r="J656">
            <v>0</v>
          </cell>
          <cell r="L656">
            <v>-296000</v>
          </cell>
          <cell r="M656">
            <v>-296000</v>
          </cell>
          <cell r="N656">
            <v>-296000</v>
          </cell>
          <cell r="O656">
            <v>-296000</v>
          </cell>
          <cell r="P656">
            <v>-296000</v>
          </cell>
          <cell r="Q656">
            <v>-296000</v>
          </cell>
          <cell r="R656">
            <v>-296000</v>
          </cell>
          <cell r="S656">
            <v>-296000</v>
          </cell>
          <cell r="T656">
            <v>-296000</v>
          </cell>
          <cell r="U656">
            <v>-296000</v>
          </cell>
        </row>
        <row r="659">
          <cell r="D659" t="str">
            <v>Operating Net Internals (excl. internal expenses capitalised)</v>
          </cell>
          <cell r="J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</row>
        <row r="667">
          <cell r="C667" t="str">
            <v>end</v>
          </cell>
          <cell r="D667" t="str">
            <v>end</v>
          </cell>
          <cell r="J667" t="str">
            <v>end</v>
          </cell>
          <cell r="L667" t="str">
            <v>end</v>
          </cell>
          <cell r="M667" t="str">
            <v>end</v>
          </cell>
          <cell r="N667" t="str">
            <v>end</v>
          </cell>
          <cell r="O667" t="str">
            <v>end</v>
          </cell>
          <cell r="P667" t="str">
            <v>end</v>
          </cell>
          <cell r="Q667" t="str">
            <v>end</v>
          </cell>
          <cell r="R667" t="str">
            <v>end</v>
          </cell>
          <cell r="S667" t="str">
            <v>end</v>
          </cell>
          <cell r="T667" t="str">
            <v>end</v>
          </cell>
          <cell r="U667" t="str">
            <v>end</v>
          </cell>
          <cell r="BC667" t="str">
            <v>end</v>
          </cell>
          <cell r="BD667" t="str">
            <v>end</v>
          </cell>
          <cell r="BE667" t="str">
            <v>end</v>
          </cell>
          <cell r="BF667" t="str">
            <v>end</v>
          </cell>
          <cell r="BG667" t="str">
            <v>end</v>
          </cell>
          <cell r="BH667" t="str">
            <v>end</v>
          </cell>
          <cell r="BI667" t="str">
            <v>end</v>
          </cell>
          <cell r="BJ667" t="str">
            <v>end</v>
          </cell>
          <cell r="BK667" t="str">
            <v>end</v>
          </cell>
          <cell r="BL667" t="str">
            <v>end</v>
          </cell>
          <cell r="BM667" t="str">
            <v>end</v>
          </cell>
        </row>
        <row r="668">
          <cell r="D668" t="str">
            <v xml:space="preserve"> </v>
          </cell>
          <cell r="J668" t="str">
            <v xml:space="preserve"> </v>
          </cell>
          <cell r="L668" t="str">
            <v xml:space="preserve"> </v>
          </cell>
          <cell r="M668" t="str">
            <v xml:space="preserve"> </v>
          </cell>
          <cell r="N668" t="str">
            <v xml:space="preserve"> </v>
          </cell>
          <cell r="O668" t="str">
            <v xml:space="preserve"> </v>
          </cell>
          <cell r="P668" t="str">
            <v xml:space="preserve"> </v>
          </cell>
          <cell r="Q668" t="str">
            <v xml:space="preserve"> </v>
          </cell>
          <cell r="R668" t="str">
            <v xml:space="preserve"> </v>
          </cell>
          <cell r="S668" t="str">
            <v xml:space="preserve"> </v>
          </cell>
          <cell r="T668" t="str">
            <v xml:space="preserve"> </v>
          </cell>
          <cell r="U668" t="str">
            <v xml:space="preserve"> </v>
          </cell>
          <cell r="BC668" t="str">
            <v xml:space="preserve"> </v>
          </cell>
          <cell r="BD668" t="str">
            <v xml:space="preserve"> </v>
          </cell>
          <cell r="BE668" t="str">
            <v xml:space="preserve"> </v>
          </cell>
          <cell r="BF668" t="str">
            <v xml:space="preserve"> </v>
          </cell>
          <cell r="BG668" t="str">
            <v xml:space="preserve"> </v>
          </cell>
          <cell r="BH668" t="str">
            <v xml:space="preserve"> </v>
          </cell>
          <cell r="BI668" t="str">
            <v xml:space="preserve"> </v>
          </cell>
          <cell r="BJ668" t="str">
            <v xml:space="preserve"> </v>
          </cell>
          <cell r="BK668" t="str">
            <v xml:space="preserve"> </v>
          </cell>
          <cell r="BL668" t="str">
            <v xml:space="preserve"> </v>
          </cell>
          <cell r="BM668" t="str">
            <v xml:space="preserve"> </v>
          </cell>
        </row>
        <row r="669">
          <cell r="D669" t="str">
            <v xml:space="preserve"> </v>
          </cell>
          <cell r="J669" t="str">
            <v xml:space="preserve"> </v>
          </cell>
          <cell r="L669" t="str">
            <v xml:space="preserve"> </v>
          </cell>
          <cell r="M669" t="str">
            <v xml:space="preserve"> </v>
          </cell>
          <cell r="N669" t="str">
            <v xml:space="preserve"> </v>
          </cell>
          <cell r="O669" t="str">
            <v xml:space="preserve"> </v>
          </cell>
          <cell r="P669" t="str">
            <v xml:space="preserve"> </v>
          </cell>
          <cell r="Q669" t="str">
            <v xml:space="preserve"> </v>
          </cell>
          <cell r="R669" t="str">
            <v xml:space="preserve"> </v>
          </cell>
          <cell r="S669" t="str">
            <v xml:space="preserve"> </v>
          </cell>
          <cell r="T669" t="str">
            <v xml:space="preserve"> </v>
          </cell>
          <cell r="U669" t="str">
            <v xml:space="preserve"> </v>
          </cell>
          <cell r="BC669" t="str">
            <v xml:space="preserve"> </v>
          </cell>
          <cell r="BD669" t="str">
            <v xml:space="preserve"> </v>
          </cell>
          <cell r="BE669" t="str">
            <v xml:space="preserve"> </v>
          </cell>
          <cell r="BF669" t="str">
            <v xml:space="preserve"> </v>
          </cell>
          <cell r="BG669" t="str">
            <v xml:space="preserve"> </v>
          </cell>
          <cell r="BH669" t="str">
            <v xml:space="preserve"> </v>
          </cell>
          <cell r="BI669" t="str">
            <v xml:space="preserve"> </v>
          </cell>
          <cell r="BJ669" t="str">
            <v xml:space="preserve"> </v>
          </cell>
          <cell r="BK669" t="str">
            <v xml:space="preserve"> </v>
          </cell>
          <cell r="BL669" t="str">
            <v xml:space="preserve"> </v>
          </cell>
          <cell r="BM669" t="str">
            <v xml:space="preserve"> </v>
          </cell>
        </row>
        <row r="670">
          <cell r="D670" t="str">
            <v xml:space="preserve"> </v>
          </cell>
          <cell r="J670" t="str">
            <v xml:space="preserve"> </v>
          </cell>
          <cell r="L670" t="str">
            <v xml:space="preserve"> </v>
          </cell>
          <cell r="M670" t="str">
            <v xml:space="preserve"> </v>
          </cell>
          <cell r="N670" t="str">
            <v xml:space="preserve"> </v>
          </cell>
          <cell r="O670" t="str">
            <v xml:space="preserve"> </v>
          </cell>
          <cell r="P670" t="str">
            <v xml:space="preserve"> </v>
          </cell>
          <cell r="Q670" t="str">
            <v xml:space="preserve"> </v>
          </cell>
          <cell r="R670" t="str">
            <v xml:space="preserve"> </v>
          </cell>
          <cell r="S670" t="str">
            <v xml:space="preserve"> </v>
          </cell>
          <cell r="T670" t="str">
            <v xml:space="preserve"> </v>
          </cell>
          <cell r="U670" t="str">
            <v xml:space="preserve"> </v>
          </cell>
          <cell r="BC670" t="str">
            <v xml:space="preserve"> </v>
          </cell>
          <cell r="BD670" t="str">
            <v xml:space="preserve"> </v>
          </cell>
          <cell r="BE670" t="str">
            <v xml:space="preserve"> </v>
          </cell>
          <cell r="BF670" t="str">
            <v xml:space="preserve"> </v>
          </cell>
          <cell r="BG670" t="str">
            <v xml:space="preserve"> </v>
          </cell>
          <cell r="BH670" t="str">
            <v xml:space="preserve"> </v>
          </cell>
          <cell r="BI670" t="str">
            <v xml:space="preserve"> </v>
          </cell>
          <cell r="BJ670" t="str">
            <v xml:space="preserve"> </v>
          </cell>
          <cell r="BK670" t="str">
            <v xml:space="preserve"> </v>
          </cell>
          <cell r="BL670" t="str">
            <v xml:space="preserve"> </v>
          </cell>
          <cell r="BM670" t="str">
            <v xml:space="preserve"> </v>
          </cell>
        </row>
        <row r="671">
          <cell r="D671" t="str">
            <v xml:space="preserve"> </v>
          </cell>
          <cell r="J671" t="str">
            <v xml:space="preserve"> </v>
          </cell>
          <cell r="L671" t="str">
            <v xml:space="preserve"> </v>
          </cell>
          <cell r="M671" t="str">
            <v xml:space="preserve"> </v>
          </cell>
          <cell r="N671" t="str">
            <v xml:space="preserve"> </v>
          </cell>
          <cell r="O671" t="str">
            <v xml:space="preserve"> </v>
          </cell>
          <cell r="P671" t="str">
            <v xml:space="preserve"> </v>
          </cell>
          <cell r="Q671" t="str">
            <v xml:space="preserve"> </v>
          </cell>
          <cell r="R671" t="str">
            <v xml:space="preserve"> </v>
          </cell>
          <cell r="S671" t="str">
            <v xml:space="preserve"> </v>
          </cell>
          <cell r="T671" t="str">
            <v xml:space="preserve"> </v>
          </cell>
          <cell r="U671" t="str">
            <v xml:space="preserve"> </v>
          </cell>
          <cell r="BC671" t="str">
            <v xml:space="preserve"> </v>
          </cell>
          <cell r="BD671" t="str">
            <v xml:space="preserve"> </v>
          </cell>
          <cell r="BE671" t="str">
            <v xml:space="preserve"> </v>
          </cell>
          <cell r="BF671" t="str">
            <v xml:space="preserve"> </v>
          </cell>
          <cell r="BG671" t="str">
            <v xml:space="preserve"> </v>
          </cell>
          <cell r="BH671" t="str">
            <v xml:space="preserve"> </v>
          </cell>
          <cell r="BI671" t="str">
            <v xml:space="preserve"> </v>
          </cell>
          <cell r="BJ671" t="str">
            <v xml:space="preserve"> </v>
          </cell>
          <cell r="BK671" t="str">
            <v xml:space="preserve"> </v>
          </cell>
          <cell r="BL671" t="str">
            <v xml:space="preserve"> </v>
          </cell>
          <cell r="BM671" t="str">
            <v xml:space="preserve"> </v>
          </cell>
        </row>
        <row r="672">
          <cell r="D672" t="str">
            <v xml:space="preserve"> </v>
          </cell>
          <cell r="J672" t="str">
            <v xml:space="preserve"> </v>
          </cell>
          <cell r="L672" t="str">
            <v xml:space="preserve"> </v>
          </cell>
          <cell r="M672" t="str">
            <v xml:space="preserve"> </v>
          </cell>
          <cell r="N672" t="str">
            <v xml:space="preserve"> </v>
          </cell>
          <cell r="O672" t="str">
            <v xml:space="preserve"> </v>
          </cell>
          <cell r="P672" t="str">
            <v xml:space="preserve"> </v>
          </cell>
          <cell r="Q672" t="str">
            <v xml:space="preserve"> </v>
          </cell>
          <cell r="R672" t="str">
            <v xml:space="preserve"> </v>
          </cell>
          <cell r="S672" t="str">
            <v xml:space="preserve"> </v>
          </cell>
          <cell r="T672" t="str">
            <v xml:space="preserve"> </v>
          </cell>
          <cell r="U672" t="str">
            <v xml:space="preserve"> </v>
          </cell>
          <cell r="BC672" t="str">
            <v xml:space="preserve"> </v>
          </cell>
          <cell r="BD672" t="str">
            <v xml:space="preserve"> </v>
          </cell>
          <cell r="BE672" t="str">
            <v xml:space="preserve"> </v>
          </cell>
          <cell r="BF672" t="str">
            <v xml:space="preserve"> </v>
          </cell>
          <cell r="BG672" t="str">
            <v xml:space="preserve"> </v>
          </cell>
          <cell r="BH672" t="str">
            <v xml:space="preserve"> </v>
          </cell>
          <cell r="BI672" t="str">
            <v xml:space="preserve"> </v>
          </cell>
          <cell r="BJ672" t="str">
            <v xml:space="preserve"> </v>
          </cell>
          <cell r="BK672" t="str">
            <v xml:space="preserve"> </v>
          </cell>
          <cell r="BL672" t="str">
            <v xml:space="preserve"> </v>
          </cell>
          <cell r="BM672" t="str">
            <v xml:space="preserve"> </v>
          </cell>
        </row>
        <row r="673">
          <cell r="D673" t="str">
            <v xml:space="preserve"> </v>
          </cell>
          <cell r="J673" t="str">
            <v xml:space="preserve"> </v>
          </cell>
          <cell r="L673" t="str">
            <v xml:space="preserve"> </v>
          </cell>
          <cell r="M673" t="str">
            <v xml:space="preserve"> </v>
          </cell>
          <cell r="N673" t="str">
            <v xml:space="preserve"> </v>
          </cell>
          <cell r="O673" t="str">
            <v xml:space="preserve"> </v>
          </cell>
          <cell r="P673" t="str">
            <v xml:space="preserve"> </v>
          </cell>
          <cell r="Q673" t="str">
            <v xml:space="preserve"> </v>
          </cell>
          <cell r="R673" t="str">
            <v xml:space="preserve"> </v>
          </cell>
          <cell r="S673" t="str">
            <v xml:space="preserve"> </v>
          </cell>
          <cell r="T673" t="str">
            <v xml:space="preserve"> </v>
          </cell>
          <cell r="U673" t="str">
            <v xml:space="preserve"> </v>
          </cell>
          <cell r="BC673" t="str">
            <v xml:space="preserve"> </v>
          </cell>
          <cell r="BD673" t="str">
            <v xml:space="preserve"> </v>
          </cell>
          <cell r="BE673" t="str">
            <v xml:space="preserve"> </v>
          </cell>
          <cell r="BF673" t="str">
            <v xml:space="preserve"> </v>
          </cell>
          <cell r="BG673" t="str">
            <v xml:space="preserve"> </v>
          </cell>
          <cell r="BH673" t="str">
            <v xml:space="preserve"> </v>
          </cell>
          <cell r="BI673" t="str">
            <v xml:space="preserve"> </v>
          </cell>
          <cell r="BJ673" t="str">
            <v xml:space="preserve"> </v>
          </cell>
          <cell r="BK673" t="str">
            <v xml:space="preserve"> </v>
          </cell>
          <cell r="BL673" t="str">
            <v xml:space="preserve"> </v>
          </cell>
          <cell r="BM673" t="str">
            <v xml:space="preserve"> </v>
          </cell>
        </row>
        <row r="674">
          <cell r="D674" t="str">
            <v xml:space="preserve"> </v>
          </cell>
          <cell r="J674" t="str">
            <v xml:space="preserve"> </v>
          </cell>
          <cell r="L674" t="str">
            <v xml:space="preserve"> </v>
          </cell>
          <cell r="M674" t="str">
            <v xml:space="preserve"> </v>
          </cell>
          <cell r="N674" t="str">
            <v xml:space="preserve"> </v>
          </cell>
          <cell r="O674" t="str">
            <v xml:space="preserve"> </v>
          </cell>
          <cell r="P674" t="str">
            <v xml:space="preserve"> </v>
          </cell>
          <cell r="Q674" t="str">
            <v xml:space="preserve"> </v>
          </cell>
          <cell r="R674" t="str">
            <v xml:space="preserve"> </v>
          </cell>
          <cell r="S674" t="str">
            <v xml:space="preserve"> </v>
          </cell>
          <cell r="T674" t="str">
            <v xml:space="preserve"> </v>
          </cell>
          <cell r="U674" t="str">
            <v xml:space="preserve"> </v>
          </cell>
          <cell r="BC674" t="str">
            <v xml:space="preserve"> </v>
          </cell>
          <cell r="BD674" t="str">
            <v xml:space="preserve"> </v>
          </cell>
          <cell r="BE674" t="str">
            <v xml:space="preserve"> </v>
          </cell>
          <cell r="BF674" t="str">
            <v xml:space="preserve"> </v>
          </cell>
          <cell r="BG674" t="str">
            <v xml:space="preserve"> </v>
          </cell>
          <cell r="BH674" t="str">
            <v xml:space="preserve"> </v>
          </cell>
          <cell r="BI674" t="str">
            <v xml:space="preserve"> </v>
          </cell>
          <cell r="BJ674" t="str">
            <v xml:space="preserve"> </v>
          </cell>
          <cell r="BK674" t="str">
            <v xml:space="preserve"> </v>
          </cell>
          <cell r="BL674" t="str">
            <v xml:space="preserve"> </v>
          </cell>
          <cell r="BM674" t="str">
            <v xml:space="preserve"> </v>
          </cell>
        </row>
      </sheetData>
      <sheetData sheetId="16"/>
      <sheetData sheetId="17"/>
      <sheetData sheetId="18"/>
      <sheetData sheetId="19"/>
      <sheetData sheetId="20"/>
      <sheetData sheetId="21">
        <row r="728">
          <cell r="C728">
            <v>410257</v>
          </cell>
        </row>
        <row r="736">
          <cell r="C736">
            <v>408326</v>
          </cell>
        </row>
        <row r="738">
          <cell r="C738">
            <v>878</v>
          </cell>
        </row>
        <row r="741">
          <cell r="C741">
            <v>1053</v>
          </cell>
        </row>
        <row r="742">
          <cell r="C742">
            <v>0</v>
          </cell>
        </row>
        <row r="743">
          <cell r="C743">
            <v>0</v>
          </cell>
        </row>
        <row r="744">
          <cell r="C744">
            <v>0</v>
          </cell>
        </row>
        <row r="745">
          <cell r="C745">
            <v>1</v>
          </cell>
        </row>
        <row r="750">
          <cell r="C750">
            <v>0</v>
          </cell>
        </row>
        <row r="751">
          <cell r="C751">
            <v>0</v>
          </cell>
        </row>
        <row r="926">
          <cell r="C926">
            <v>0</v>
          </cell>
        </row>
        <row r="927">
          <cell r="C927">
            <v>0</v>
          </cell>
        </row>
        <row r="1148">
          <cell r="C1148">
            <v>0</v>
          </cell>
        </row>
        <row r="1149">
          <cell r="C1149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9">
          <cell r="D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4"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22">
          <cell r="D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BS88" t="b">
            <v>1</v>
          </cell>
        </row>
        <row r="91">
          <cell r="G91">
            <v>102109.72829747651</v>
          </cell>
          <cell r="H91">
            <v>179174.43460837775</v>
          </cell>
          <cell r="I91">
            <v>197808.38777508962</v>
          </cell>
          <cell r="J91">
            <v>228516.38202431379</v>
          </cell>
          <cell r="K91">
            <v>269758.26408410771</v>
          </cell>
          <cell r="L91">
            <v>324899.55406723468</v>
          </cell>
          <cell r="M91">
            <v>360342.09355983767</v>
          </cell>
          <cell r="N91">
            <v>398807.89688255003</v>
          </cell>
          <cell r="O91">
            <v>439878.65080101701</v>
          </cell>
          <cell r="P91">
            <v>481424.76066761441</v>
          </cell>
          <cell r="BS91" t="b">
            <v>1</v>
          </cell>
        </row>
      </sheetData>
      <sheetData sheetId="54"/>
      <sheetData sheetId="55">
        <row r="11"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37"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84">
          <cell r="E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E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9">
          <cell r="E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E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E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7">
          <cell r="E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</row>
      </sheetData>
      <sheetData sheetId="56"/>
      <sheetData sheetId="57"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43"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8">
          <cell r="E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3"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5"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63">
          <cell r="E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E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</sheetData>
      <sheetData sheetId="67">
        <row r="793"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844"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</row>
      </sheetData>
      <sheetData sheetId="68">
        <row r="83">
          <cell r="J83">
            <v>194156.12</v>
          </cell>
          <cell r="K83">
            <v>155857.18</v>
          </cell>
          <cell r="L83">
            <v>125571.66</v>
          </cell>
          <cell r="M83">
            <v>95371.97</v>
          </cell>
          <cell r="N83">
            <v>66071.42</v>
          </cell>
          <cell r="O83">
            <v>43132.7</v>
          </cell>
          <cell r="P83">
            <v>17782.88</v>
          </cell>
          <cell r="Q83">
            <v>9710.49</v>
          </cell>
          <cell r="R83">
            <v>9022.2999999999993</v>
          </cell>
          <cell r="S83">
            <v>8329.4699999999993</v>
          </cell>
          <cell r="T83">
            <v>7563.6</v>
          </cell>
        </row>
      </sheetData>
      <sheetData sheetId="69"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</sheetData>
      <sheetData sheetId="70"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386"/>
  <sheetViews>
    <sheetView tabSelected="1" topLeftCell="B1" workbookViewId="0">
      <selection activeCell="B1" sqref="B1"/>
    </sheetView>
  </sheetViews>
  <sheetFormatPr defaultColWidth="9.140625" defaultRowHeight="15" x14ac:dyDescent="0.25"/>
  <cols>
    <col min="1" max="1" width="23.7109375" style="4" hidden="1" customWidth="1"/>
    <col min="2" max="2" width="57.7109375" style="4" customWidth="1"/>
    <col min="3" max="3" width="2.7109375" style="4" customWidth="1"/>
    <col min="4" max="4" width="13.7109375" style="4" customWidth="1"/>
    <col min="5" max="5" width="2.7109375" style="4" customWidth="1"/>
    <col min="6" max="6" width="13.7109375" style="4" customWidth="1"/>
    <col min="7" max="7" width="2.7109375" style="4" customWidth="1"/>
    <col min="8" max="17" width="13.7109375" style="4" customWidth="1"/>
    <col min="18" max="20" width="9.140625" style="4" hidden="1" customWidth="1"/>
    <col min="21" max="21" width="12.28515625" style="4" hidden="1" customWidth="1"/>
    <col min="22" max="31" width="12.5703125" style="4" hidden="1" customWidth="1"/>
    <col min="32" max="32" width="9.140625" style="4" hidden="1" customWidth="1"/>
    <col min="33" max="42" width="11.7109375" style="4" hidden="1" customWidth="1"/>
    <col min="43" max="43" width="9.140625" style="4" hidden="1" customWidth="1"/>
    <col min="44" max="44" width="11.5703125" style="4" hidden="1" customWidth="1"/>
    <col min="45" max="53" width="11.42578125" style="4" hidden="1" customWidth="1"/>
    <col min="54" max="55" width="9.140625" style="4" hidden="1" customWidth="1"/>
    <col min="56" max="76" width="11.7109375" style="4" hidden="1" customWidth="1"/>
    <col min="77" max="81" width="9.140625" style="4" hidden="1" customWidth="1"/>
    <col min="82" max="102" width="11.28515625" style="4" hidden="1" customWidth="1"/>
    <col min="103" max="107" width="9.140625" style="4" hidden="1" customWidth="1"/>
    <col min="108" max="128" width="11.28515625" style="4" hidden="1" customWidth="1"/>
    <col min="129" max="130" width="9.140625" style="4" hidden="1" customWidth="1"/>
    <col min="131" max="133" width="20.7109375" style="4" customWidth="1"/>
    <col min="134" max="147" width="9.140625" style="4" customWidth="1"/>
    <col min="148" max="158" width="9.140625" style="4"/>
    <col min="159" max="159" width="10.28515625" style="4" bestFit="1" customWidth="1"/>
    <col min="160" max="16384" width="9.140625" style="4"/>
  </cols>
  <sheetData>
    <row r="1" spans="1:133" ht="15" customHeight="1" x14ac:dyDescent="0.25">
      <c r="A1" s="1" t="s">
        <v>0</v>
      </c>
      <c r="B1" s="2" t="str">
        <f>'[1]Cover Page'!$A$3</f>
        <v>Lithgow City Council</v>
      </c>
      <c r="C1" s="3"/>
      <c r="E1" s="3"/>
      <c r="G1" s="3"/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1" t="s">
        <v>0</v>
      </c>
      <c r="AB1" s="1" t="s">
        <v>0</v>
      </c>
      <c r="AC1" s="1" t="s">
        <v>0</v>
      </c>
      <c r="AD1" s="1" t="s">
        <v>0</v>
      </c>
      <c r="AE1" s="1" t="s">
        <v>0</v>
      </c>
      <c r="AF1" s="1" t="s">
        <v>0</v>
      </c>
      <c r="AG1" s="1" t="s">
        <v>0</v>
      </c>
      <c r="AH1" s="1" t="s">
        <v>0</v>
      </c>
      <c r="AI1" s="1" t="s">
        <v>0</v>
      </c>
      <c r="AJ1" s="1" t="s">
        <v>0</v>
      </c>
      <c r="AK1" s="1" t="s">
        <v>0</v>
      </c>
      <c r="AL1" s="1" t="s">
        <v>0</v>
      </c>
      <c r="AM1" s="1" t="s">
        <v>0</v>
      </c>
      <c r="AN1" s="1" t="s">
        <v>0</v>
      </c>
      <c r="AO1" s="1" t="s">
        <v>0</v>
      </c>
      <c r="AP1" s="1" t="s">
        <v>0</v>
      </c>
      <c r="AQ1" s="1" t="s">
        <v>0</v>
      </c>
      <c r="AR1" s="1" t="s">
        <v>0</v>
      </c>
      <c r="AS1" s="1" t="s">
        <v>0</v>
      </c>
      <c r="AT1" s="1" t="s">
        <v>0</v>
      </c>
      <c r="AU1" s="1" t="s">
        <v>0</v>
      </c>
      <c r="AV1" s="1" t="s">
        <v>0</v>
      </c>
      <c r="AW1" s="1" t="s">
        <v>0</v>
      </c>
      <c r="AX1" s="1" t="s">
        <v>0</v>
      </c>
      <c r="AY1" s="1" t="s">
        <v>0</v>
      </c>
      <c r="AZ1" s="1" t="s">
        <v>0</v>
      </c>
      <c r="BA1" s="1" t="s">
        <v>0</v>
      </c>
      <c r="BB1" s="1" t="s">
        <v>0</v>
      </c>
      <c r="BC1" s="1" t="s">
        <v>0</v>
      </c>
      <c r="BD1" s="1" t="s">
        <v>0</v>
      </c>
      <c r="BE1" s="1" t="s">
        <v>0</v>
      </c>
      <c r="BF1" s="1" t="s">
        <v>0</v>
      </c>
      <c r="BG1" s="1" t="s">
        <v>0</v>
      </c>
      <c r="BH1" s="1" t="s">
        <v>0</v>
      </c>
      <c r="BI1" s="1" t="s">
        <v>0</v>
      </c>
      <c r="BJ1" s="1" t="s">
        <v>0</v>
      </c>
      <c r="BK1" s="1" t="s">
        <v>0</v>
      </c>
      <c r="BL1" s="1" t="s">
        <v>0</v>
      </c>
      <c r="BM1" s="1" t="s">
        <v>0</v>
      </c>
      <c r="BN1" s="1" t="s">
        <v>0</v>
      </c>
      <c r="BO1" s="1" t="s">
        <v>0</v>
      </c>
      <c r="BP1" s="1" t="s">
        <v>0</v>
      </c>
      <c r="BQ1" s="1" t="s">
        <v>0</v>
      </c>
      <c r="BR1" s="1" t="s">
        <v>0</v>
      </c>
      <c r="BS1" s="1" t="s">
        <v>0</v>
      </c>
      <c r="BT1" s="1" t="s">
        <v>0</v>
      </c>
      <c r="BU1" s="1" t="s">
        <v>0</v>
      </c>
      <c r="BV1" s="1" t="s">
        <v>0</v>
      </c>
      <c r="BW1" s="1" t="s">
        <v>0</v>
      </c>
      <c r="BX1" s="1" t="s">
        <v>0</v>
      </c>
      <c r="BY1" s="1" t="s">
        <v>0</v>
      </c>
      <c r="BZ1" s="1" t="s">
        <v>0</v>
      </c>
      <c r="CA1" s="1" t="s">
        <v>0</v>
      </c>
      <c r="CB1" s="1" t="s">
        <v>0</v>
      </c>
      <c r="CC1" s="1" t="s">
        <v>0</v>
      </c>
      <c r="CD1" s="1" t="s">
        <v>0</v>
      </c>
      <c r="CE1" s="1" t="s">
        <v>0</v>
      </c>
      <c r="CF1" s="1" t="s">
        <v>0</v>
      </c>
      <c r="CG1" s="1" t="s">
        <v>0</v>
      </c>
      <c r="CH1" s="1" t="s">
        <v>0</v>
      </c>
      <c r="CI1" s="1" t="s">
        <v>0</v>
      </c>
      <c r="CJ1" s="1" t="s">
        <v>0</v>
      </c>
      <c r="CK1" s="1" t="s">
        <v>0</v>
      </c>
      <c r="CL1" s="1" t="s">
        <v>0</v>
      </c>
      <c r="CM1" s="1" t="s">
        <v>0</v>
      </c>
      <c r="CN1" s="1" t="s">
        <v>0</v>
      </c>
      <c r="CO1" s="1" t="s">
        <v>0</v>
      </c>
      <c r="CP1" s="1" t="s">
        <v>0</v>
      </c>
      <c r="CQ1" s="1" t="s">
        <v>0</v>
      </c>
      <c r="CR1" s="1" t="s">
        <v>0</v>
      </c>
      <c r="CS1" s="1" t="s">
        <v>0</v>
      </c>
      <c r="CT1" s="1" t="s">
        <v>0</v>
      </c>
      <c r="CU1" s="1" t="s">
        <v>0</v>
      </c>
      <c r="CV1" s="1" t="s">
        <v>0</v>
      </c>
      <c r="CW1" s="1" t="s">
        <v>0</v>
      </c>
      <c r="CX1" s="1" t="s">
        <v>0</v>
      </c>
      <c r="CY1" s="1" t="s">
        <v>0</v>
      </c>
      <c r="CZ1" s="1" t="s">
        <v>0</v>
      </c>
      <c r="DA1" s="1" t="s">
        <v>0</v>
      </c>
      <c r="DB1" s="1" t="s">
        <v>0</v>
      </c>
      <c r="DC1" s="1" t="s">
        <v>0</v>
      </c>
      <c r="DD1" s="1" t="s">
        <v>0</v>
      </c>
      <c r="DE1" s="1" t="s">
        <v>0</v>
      </c>
      <c r="DF1" s="1" t="s">
        <v>0</v>
      </c>
      <c r="DG1" s="1" t="s">
        <v>0</v>
      </c>
      <c r="DH1" s="1" t="s">
        <v>0</v>
      </c>
      <c r="DI1" s="1" t="s">
        <v>0</v>
      </c>
      <c r="DJ1" s="1" t="s">
        <v>0</v>
      </c>
      <c r="DK1" s="1" t="s">
        <v>0</v>
      </c>
      <c r="DL1" s="1" t="s">
        <v>0</v>
      </c>
      <c r="DM1" s="1" t="s">
        <v>0</v>
      </c>
      <c r="DN1" s="1" t="s">
        <v>0</v>
      </c>
      <c r="DO1" s="1" t="s">
        <v>0</v>
      </c>
      <c r="DP1" s="1" t="s">
        <v>0</v>
      </c>
      <c r="DQ1" s="1" t="s">
        <v>0</v>
      </c>
      <c r="DR1" s="1" t="s">
        <v>0</v>
      </c>
      <c r="DS1" s="1" t="s">
        <v>0</v>
      </c>
      <c r="DT1" s="1" t="s">
        <v>0</v>
      </c>
      <c r="DU1" s="1" t="s">
        <v>0</v>
      </c>
      <c r="DV1" s="1" t="s">
        <v>0</v>
      </c>
      <c r="DW1" s="1" t="s">
        <v>0</v>
      </c>
      <c r="DX1" s="1" t="s">
        <v>0</v>
      </c>
      <c r="DY1" s="1" t="s">
        <v>0</v>
      </c>
      <c r="DZ1" s="1" t="s">
        <v>0</v>
      </c>
      <c r="EA1" s="5" t="s">
        <v>1</v>
      </c>
      <c r="EB1" s="5" t="s">
        <v>1</v>
      </c>
      <c r="EC1" s="5" t="s">
        <v>1</v>
      </c>
    </row>
    <row r="2" spans="1:133" ht="15" customHeight="1" x14ac:dyDescent="0.25">
      <c r="B2" s="2" t="str">
        <f>'[1]Cover Page'!$A$5</f>
        <v>10 Year Financial Plan for the Years ending 30 June 2029</v>
      </c>
      <c r="C2" s="3"/>
      <c r="E2" s="3"/>
      <c r="G2" s="3"/>
      <c r="Q2" s="6"/>
      <c r="DZ2" s="1" t="s">
        <v>2</v>
      </c>
      <c r="EA2" s="5" t="s">
        <v>1</v>
      </c>
      <c r="EB2" s="5" t="s">
        <v>1</v>
      </c>
      <c r="EC2" s="5" t="s">
        <v>1</v>
      </c>
    </row>
    <row r="3" spans="1:133" ht="15" customHeight="1" x14ac:dyDescent="0.25">
      <c r="B3" s="7" t="str">
        <f>"INCOME STATEMENT - "&amp;UPPER(general_fund_name)</f>
        <v>INCOME STATEMENT - GENERAL FUND</v>
      </c>
      <c r="C3" s="8"/>
      <c r="D3" s="9" t="s">
        <v>3</v>
      </c>
      <c r="E3" s="10"/>
      <c r="F3" s="9" t="s">
        <v>4</v>
      </c>
      <c r="G3" s="11"/>
      <c r="H3" s="12" t="s">
        <v>5</v>
      </c>
      <c r="I3" s="12"/>
      <c r="J3" s="12"/>
      <c r="K3" s="12"/>
      <c r="L3" s="12"/>
      <c r="M3" s="12"/>
      <c r="N3" s="12"/>
      <c r="O3" s="12"/>
      <c r="P3" s="12"/>
      <c r="Q3" s="12"/>
      <c r="AG3" s="13" t="s">
        <v>6</v>
      </c>
      <c r="DZ3" s="1" t="s">
        <v>2</v>
      </c>
      <c r="EA3" s="5" t="s">
        <v>1</v>
      </c>
      <c r="EB3" s="5" t="s">
        <v>1</v>
      </c>
      <c r="EC3" s="5" t="s">
        <v>1</v>
      </c>
    </row>
    <row r="4" spans="1:133" ht="15" customHeight="1" x14ac:dyDescent="0.25">
      <c r="B4" s="2" t="str">
        <f>"Scenario: "&amp;general_scenario_name</f>
        <v>Scenario: Base Scenario</v>
      </c>
      <c r="C4" s="14"/>
      <c r="D4" s="15" t="str">
        <f>Starting_year_general-2&amp;"/"&amp;RIGHT(Starting_year_general-1,2)</f>
        <v>2017/18</v>
      </c>
      <c r="E4" s="14"/>
      <c r="F4" s="15" t="str">
        <f>Starting_year_general-1&amp;"/"&amp;RIGHT(Starting_year_general,2)</f>
        <v>2018/19</v>
      </c>
      <c r="G4" s="14"/>
      <c r="H4" s="15" t="str">
        <f>Starting_year_general&amp;"/"&amp;RIGHT(Starting_year_general+1,2)</f>
        <v>2019/20</v>
      </c>
      <c r="I4" s="15" t="str">
        <f>Starting_year_general+1&amp;"/"&amp;RIGHT(Starting_year_general+2,2)</f>
        <v>2020/21</v>
      </c>
      <c r="J4" s="15" t="str">
        <f>Starting_year_general+2&amp;"/"&amp;RIGHT(Starting_year_general+3,2)</f>
        <v>2021/22</v>
      </c>
      <c r="K4" s="15" t="str">
        <f>Starting_year_general+3&amp;"/"&amp;RIGHT(Starting_year_general+4,2)</f>
        <v>2022/23</v>
      </c>
      <c r="L4" s="15" t="str">
        <f>Starting_year_general+4&amp;"/"&amp;RIGHT(Starting_year_general+5,2)</f>
        <v>2023/24</v>
      </c>
      <c r="M4" s="15" t="str">
        <f>Starting_year_general+5&amp;"/"&amp;RIGHT(Starting_year_general+6,2)</f>
        <v>2024/25</v>
      </c>
      <c r="N4" s="15" t="str">
        <f>Starting_year_general+6&amp;"/"&amp;RIGHT(Starting_year_general+7,2)</f>
        <v>2025/26</v>
      </c>
      <c r="O4" s="15" t="str">
        <f>Starting_year_general+7&amp;"/"&amp;RIGHT(Starting_year_general+8,2)</f>
        <v>2026/27</v>
      </c>
      <c r="P4" s="15" t="str">
        <f>Starting_year_general+8&amp;"/"&amp;RIGHT(Starting_year_general+9,2)</f>
        <v>2027/28</v>
      </c>
      <c r="Q4" s="15" t="str">
        <f>Starting_year_general+9&amp;"/"&amp;RIGHT(Starting_year_general+10,2)</f>
        <v>2028/29</v>
      </c>
      <c r="U4" s="4" t="str">
        <f>F4</f>
        <v>2018/19</v>
      </c>
      <c r="V4" s="4" t="str">
        <f t="shared" ref="V4:AE4" si="0">H4</f>
        <v>2019/20</v>
      </c>
      <c r="W4" s="4" t="str">
        <f t="shared" si="0"/>
        <v>2020/21</v>
      </c>
      <c r="X4" s="4" t="str">
        <f t="shared" si="0"/>
        <v>2021/22</v>
      </c>
      <c r="Y4" s="4" t="str">
        <f t="shared" si="0"/>
        <v>2022/23</v>
      </c>
      <c r="Z4" s="4" t="str">
        <f t="shared" si="0"/>
        <v>2023/24</v>
      </c>
      <c r="AA4" s="4" t="str">
        <f t="shared" si="0"/>
        <v>2024/25</v>
      </c>
      <c r="AB4" s="4" t="str">
        <f t="shared" si="0"/>
        <v>2025/26</v>
      </c>
      <c r="AC4" s="4" t="str">
        <f t="shared" si="0"/>
        <v>2026/27</v>
      </c>
      <c r="AD4" s="4" t="str">
        <f t="shared" si="0"/>
        <v>2027/28</v>
      </c>
      <c r="AE4" s="4" t="str">
        <f t="shared" si="0"/>
        <v>2028/29</v>
      </c>
      <c r="AG4" s="15" t="str">
        <f>LEFT(Q4,4)+1&amp;"/"&amp;RIGHT(LEFT(Q4,4)+2,2)</f>
        <v>2029/30</v>
      </c>
      <c r="AH4" s="15" t="str">
        <f t="shared" ref="AH4:AP4" si="1">LEFT(AG4,4)+1&amp;"/"&amp;RIGHT(LEFT(AG4,4)+2,2)</f>
        <v>2030/31</v>
      </c>
      <c r="AI4" s="15" t="str">
        <f t="shared" si="1"/>
        <v>2031/32</v>
      </c>
      <c r="AJ4" s="15" t="str">
        <f t="shared" si="1"/>
        <v>2032/33</v>
      </c>
      <c r="AK4" s="15" t="str">
        <f t="shared" si="1"/>
        <v>2033/34</v>
      </c>
      <c r="AL4" s="15" t="str">
        <f t="shared" si="1"/>
        <v>2034/35</v>
      </c>
      <c r="AM4" s="15" t="str">
        <f t="shared" si="1"/>
        <v>2035/36</v>
      </c>
      <c r="AN4" s="15" t="str">
        <f t="shared" si="1"/>
        <v>2036/37</v>
      </c>
      <c r="AO4" s="15" t="str">
        <f t="shared" si="1"/>
        <v>2037/38</v>
      </c>
      <c r="AP4" s="15" t="str">
        <f t="shared" si="1"/>
        <v>2038/39</v>
      </c>
      <c r="BD4" s="13" t="s">
        <v>7</v>
      </c>
      <c r="CD4" s="13" t="s">
        <v>8</v>
      </c>
      <c r="DD4" s="13" t="s">
        <v>9</v>
      </c>
      <c r="DZ4" s="1" t="s">
        <v>2</v>
      </c>
      <c r="EA4" s="5" t="s">
        <v>1</v>
      </c>
      <c r="EB4" s="5" t="s">
        <v>1</v>
      </c>
      <c r="EC4" s="5" t="s">
        <v>1</v>
      </c>
    </row>
    <row r="5" spans="1:133" ht="15" customHeight="1" thickBot="1" x14ac:dyDescent="0.3">
      <c r="B5" s="16"/>
      <c r="C5" s="17"/>
      <c r="D5" s="18" t="str">
        <f>IF('[1]Cover Page'!$K$19=TRUE,"$","$'000")</f>
        <v>$'000</v>
      </c>
      <c r="E5" s="17"/>
      <c r="F5" s="18" t="str">
        <f>IF('[1]Cover Page'!$K$19=TRUE,"$","$'000")</f>
        <v>$'000</v>
      </c>
      <c r="G5" s="17"/>
      <c r="H5" s="18" t="str">
        <f>IF('[1]Cover Page'!$K$19=TRUE,"$","$'000")</f>
        <v>$'000</v>
      </c>
      <c r="I5" s="18" t="str">
        <f>IF('[1]Cover Page'!$K$19=TRUE,"$","$'000")</f>
        <v>$'000</v>
      </c>
      <c r="J5" s="18" t="str">
        <f>IF('[1]Cover Page'!$K$19=TRUE,"$","$'000")</f>
        <v>$'000</v>
      </c>
      <c r="K5" s="18" t="str">
        <f>IF('[1]Cover Page'!$K$19=TRUE,"$","$'000")</f>
        <v>$'000</v>
      </c>
      <c r="L5" s="18" t="str">
        <f>IF('[1]Cover Page'!$K$19=TRUE,"$","$'000")</f>
        <v>$'000</v>
      </c>
      <c r="M5" s="18" t="str">
        <f>IF('[1]Cover Page'!$K$19=TRUE,"$","$'000")</f>
        <v>$'000</v>
      </c>
      <c r="N5" s="18" t="str">
        <f>IF('[1]Cover Page'!$K$19=TRUE,"$","$'000")</f>
        <v>$'000</v>
      </c>
      <c r="O5" s="18" t="str">
        <f>IF('[1]Cover Page'!$K$19=TRUE,"$","$'000")</f>
        <v>$'000</v>
      </c>
      <c r="P5" s="18" t="str">
        <f>IF('[1]Cover Page'!$K$19=TRUE,"$","$'000")</f>
        <v>$'000</v>
      </c>
      <c r="Q5" s="18" t="str">
        <f>IF('[1]Cover Page'!$K$19=TRUE,"$","$'000")</f>
        <v>$'000</v>
      </c>
      <c r="BD5" s="9" t="str">
        <f>F4</f>
        <v>2018/19</v>
      </c>
      <c r="BE5" s="9" t="str">
        <f t="shared" ref="BE5:BN5" si="2">H4</f>
        <v>2019/20</v>
      </c>
      <c r="BF5" s="9" t="str">
        <f t="shared" si="2"/>
        <v>2020/21</v>
      </c>
      <c r="BG5" s="9" t="str">
        <f t="shared" si="2"/>
        <v>2021/22</v>
      </c>
      <c r="BH5" s="9" t="str">
        <f t="shared" si="2"/>
        <v>2022/23</v>
      </c>
      <c r="BI5" s="9" t="str">
        <f t="shared" si="2"/>
        <v>2023/24</v>
      </c>
      <c r="BJ5" s="9" t="str">
        <f t="shared" si="2"/>
        <v>2024/25</v>
      </c>
      <c r="BK5" s="9" t="str">
        <f t="shared" si="2"/>
        <v>2025/26</v>
      </c>
      <c r="BL5" s="9" t="str">
        <f t="shared" si="2"/>
        <v>2026/27</v>
      </c>
      <c r="BM5" s="9" t="str">
        <f t="shared" si="2"/>
        <v>2027/28</v>
      </c>
      <c r="BN5" s="9" t="str">
        <f t="shared" si="2"/>
        <v>2028/29</v>
      </c>
      <c r="BO5" s="9" t="str">
        <f>AG4</f>
        <v>2029/30</v>
      </c>
      <c r="BP5" s="9" t="str">
        <f t="shared" ref="BP5:BX5" si="3">AH4</f>
        <v>2030/31</v>
      </c>
      <c r="BQ5" s="9" t="str">
        <f t="shared" si="3"/>
        <v>2031/32</v>
      </c>
      <c r="BR5" s="9" t="str">
        <f t="shared" si="3"/>
        <v>2032/33</v>
      </c>
      <c r="BS5" s="9" t="str">
        <f t="shared" si="3"/>
        <v>2033/34</v>
      </c>
      <c r="BT5" s="9" t="str">
        <f t="shared" si="3"/>
        <v>2034/35</v>
      </c>
      <c r="BU5" s="9" t="str">
        <f t="shared" si="3"/>
        <v>2035/36</v>
      </c>
      <c r="BV5" s="9" t="str">
        <f t="shared" si="3"/>
        <v>2036/37</v>
      </c>
      <c r="BW5" s="9" t="str">
        <f t="shared" si="3"/>
        <v>2037/38</v>
      </c>
      <c r="BX5" s="9" t="str">
        <f t="shared" si="3"/>
        <v>2038/39</v>
      </c>
      <c r="CD5" s="9" t="str">
        <f>BD5</f>
        <v>2018/19</v>
      </c>
      <c r="CE5" s="9" t="str">
        <f t="shared" ref="CE5:CX5" si="4">BE5</f>
        <v>2019/20</v>
      </c>
      <c r="CF5" s="9" t="str">
        <f t="shared" si="4"/>
        <v>2020/21</v>
      </c>
      <c r="CG5" s="9" t="str">
        <f t="shared" si="4"/>
        <v>2021/22</v>
      </c>
      <c r="CH5" s="9" t="str">
        <f t="shared" si="4"/>
        <v>2022/23</v>
      </c>
      <c r="CI5" s="9" t="str">
        <f t="shared" si="4"/>
        <v>2023/24</v>
      </c>
      <c r="CJ5" s="9" t="str">
        <f t="shared" si="4"/>
        <v>2024/25</v>
      </c>
      <c r="CK5" s="9" t="str">
        <f t="shared" si="4"/>
        <v>2025/26</v>
      </c>
      <c r="CL5" s="9" t="str">
        <f t="shared" si="4"/>
        <v>2026/27</v>
      </c>
      <c r="CM5" s="9" t="str">
        <f t="shared" si="4"/>
        <v>2027/28</v>
      </c>
      <c r="CN5" s="9" t="str">
        <f t="shared" si="4"/>
        <v>2028/29</v>
      </c>
      <c r="CO5" s="9" t="str">
        <f t="shared" si="4"/>
        <v>2029/30</v>
      </c>
      <c r="CP5" s="9" t="str">
        <f t="shared" si="4"/>
        <v>2030/31</v>
      </c>
      <c r="CQ5" s="9" t="str">
        <f t="shared" si="4"/>
        <v>2031/32</v>
      </c>
      <c r="CR5" s="9" t="str">
        <f t="shared" si="4"/>
        <v>2032/33</v>
      </c>
      <c r="CS5" s="9" t="str">
        <f t="shared" si="4"/>
        <v>2033/34</v>
      </c>
      <c r="CT5" s="9" t="str">
        <f t="shared" si="4"/>
        <v>2034/35</v>
      </c>
      <c r="CU5" s="9" t="str">
        <f t="shared" si="4"/>
        <v>2035/36</v>
      </c>
      <c r="CV5" s="9" t="str">
        <f t="shared" si="4"/>
        <v>2036/37</v>
      </c>
      <c r="CW5" s="9" t="str">
        <f t="shared" si="4"/>
        <v>2037/38</v>
      </c>
      <c r="CX5" s="9" t="str">
        <f t="shared" si="4"/>
        <v>2038/39</v>
      </c>
      <c r="DD5" s="9" t="str">
        <f>CD5</f>
        <v>2018/19</v>
      </c>
      <c r="DE5" s="9" t="str">
        <f t="shared" ref="DE5:DX5" si="5">CE5</f>
        <v>2019/20</v>
      </c>
      <c r="DF5" s="9" t="str">
        <f t="shared" si="5"/>
        <v>2020/21</v>
      </c>
      <c r="DG5" s="9" t="str">
        <f t="shared" si="5"/>
        <v>2021/22</v>
      </c>
      <c r="DH5" s="9" t="str">
        <f t="shared" si="5"/>
        <v>2022/23</v>
      </c>
      <c r="DI5" s="9" t="str">
        <f t="shared" si="5"/>
        <v>2023/24</v>
      </c>
      <c r="DJ5" s="9" t="str">
        <f t="shared" si="5"/>
        <v>2024/25</v>
      </c>
      <c r="DK5" s="9" t="str">
        <f t="shared" si="5"/>
        <v>2025/26</v>
      </c>
      <c r="DL5" s="9" t="str">
        <f t="shared" si="5"/>
        <v>2026/27</v>
      </c>
      <c r="DM5" s="9" t="str">
        <f t="shared" si="5"/>
        <v>2027/28</v>
      </c>
      <c r="DN5" s="9" t="str">
        <f t="shared" si="5"/>
        <v>2028/29</v>
      </c>
      <c r="DO5" s="9" t="str">
        <f t="shared" si="5"/>
        <v>2029/30</v>
      </c>
      <c r="DP5" s="9" t="str">
        <f t="shared" si="5"/>
        <v>2030/31</v>
      </c>
      <c r="DQ5" s="9" t="str">
        <f t="shared" si="5"/>
        <v>2031/32</v>
      </c>
      <c r="DR5" s="9" t="str">
        <f t="shared" si="5"/>
        <v>2032/33</v>
      </c>
      <c r="DS5" s="9" t="str">
        <f t="shared" si="5"/>
        <v>2033/34</v>
      </c>
      <c r="DT5" s="9" t="str">
        <f t="shared" si="5"/>
        <v>2034/35</v>
      </c>
      <c r="DU5" s="9" t="str">
        <f t="shared" si="5"/>
        <v>2035/36</v>
      </c>
      <c r="DV5" s="9" t="str">
        <f t="shared" si="5"/>
        <v>2036/37</v>
      </c>
      <c r="DW5" s="9" t="str">
        <f t="shared" si="5"/>
        <v>2037/38</v>
      </c>
      <c r="DX5" s="9" t="str">
        <f t="shared" si="5"/>
        <v>2038/39</v>
      </c>
      <c r="DZ5" s="1" t="s">
        <v>2</v>
      </c>
      <c r="EA5" s="5" t="s">
        <v>1</v>
      </c>
      <c r="EB5" s="5" t="s">
        <v>1</v>
      </c>
      <c r="EC5" s="5" t="s">
        <v>1</v>
      </c>
    </row>
    <row r="6" spans="1:133" s="19" customFormat="1" x14ac:dyDescent="0.25">
      <c r="B6" s="20" t="s">
        <v>10</v>
      </c>
      <c r="C6" s="21"/>
      <c r="E6" s="21"/>
      <c r="G6" s="21"/>
      <c r="DZ6" s="22" t="s">
        <v>2</v>
      </c>
      <c r="EA6" s="23" t="s">
        <v>1</v>
      </c>
      <c r="EB6" s="23" t="s">
        <v>1</v>
      </c>
      <c r="EC6" s="23" t="s">
        <v>1</v>
      </c>
    </row>
    <row r="7" spans="1:133" s="19" customFormat="1" x14ac:dyDescent="0.25">
      <c r="A7" s="24" t="s">
        <v>11</v>
      </c>
      <c r="B7" s="25" t="s">
        <v>12</v>
      </c>
      <c r="C7" s="21"/>
      <c r="E7" s="21"/>
      <c r="G7" s="21"/>
      <c r="DZ7" s="22" t="s">
        <v>2</v>
      </c>
      <c r="EA7" s="23" t="s">
        <v>1</v>
      </c>
      <c r="EB7" s="23" t="s">
        <v>1</v>
      </c>
      <c r="EC7" s="23" t="s">
        <v>1</v>
      </c>
    </row>
    <row r="8" spans="1:133" s="19" customFormat="1" x14ac:dyDescent="0.25">
      <c r="A8" s="19" t="str">
        <f>B8</f>
        <v>Rates &amp; Annual Charges</v>
      </c>
      <c r="B8" s="19" t="s">
        <v>13</v>
      </c>
      <c r="C8" s="21"/>
      <c r="D8" s="19">
        <v>16755000</v>
      </c>
      <c r="E8" s="21"/>
      <c r="F8" s="19">
        <v>16679328.160000002</v>
      </c>
      <c r="G8" s="21"/>
      <c r="H8" s="19">
        <v>17728420.750000007</v>
      </c>
      <c r="I8" s="19">
        <v>18175774.329999994</v>
      </c>
      <c r="J8" s="19">
        <v>18624061.859999992</v>
      </c>
      <c r="K8" s="19">
        <v>19083556.580000009</v>
      </c>
      <c r="L8" s="19">
        <v>19554538.599999987</v>
      </c>
      <c r="M8" s="19">
        <v>20037295.219999999</v>
      </c>
      <c r="N8" s="19">
        <v>20532120.68</v>
      </c>
      <c r="O8" s="19">
        <v>21039316.770000003</v>
      </c>
      <c r="P8" s="19">
        <v>21559192.830000009</v>
      </c>
      <c r="Q8" s="19">
        <v>22092065.719999999</v>
      </c>
      <c r="S8" s="26" t="s">
        <v>14</v>
      </c>
      <c r="U8" s="19">
        <f>IF($S8="yes",F8-BD8,0)</f>
        <v>16679328.160000002</v>
      </c>
      <c r="V8" s="19">
        <f t="shared" ref="V8:AE13" si="6">IF($S8="yes",H8-BE8,0)</f>
        <v>17728420.750000007</v>
      </c>
      <c r="W8" s="19">
        <f t="shared" si="6"/>
        <v>18175774.329999994</v>
      </c>
      <c r="X8" s="19">
        <f t="shared" si="6"/>
        <v>18624061.859999992</v>
      </c>
      <c r="Y8" s="19">
        <f t="shared" si="6"/>
        <v>19083556.580000009</v>
      </c>
      <c r="Z8" s="19">
        <f t="shared" si="6"/>
        <v>19554538.599999987</v>
      </c>
      <c r="AA8" s="19">
        <f t="shared" si="6"/>
        <v>20037295.219999999</v>
      </c>
      <c r="AB8" s="19">
        <f t="shared" si="6"/>
        <v>20532120.68</v>
      </c>
      <c r="AC8" s="19">
        <f t="shared" si="6"/>
        <v>21039316.770000003</v>
      </c>
      <c r="AD8" s="19">
        <f t="shared" si="6"/>
        <v>21559192.830000009</v>
      </c>
      <c r="AE8" s="19">
        <f t="shared" si="6"/>
        <v>22092065.719999999</v>
      </c>
      <c r="AG8" s="27"/>
      <c r="AH8" s="28"/>
      <c r="AI8" s="28"/>
      <c r="AJ8" s="28"/>
      <c r="AK8" s="28"/>
      <c r="AL8" s="28"/>
      <c r="AM8" s="28"/>
      <c r="AN8" s="28"/>
      <c r="AO8" s="28"/>
      <c r="AP8" s="29"/>
      <c r="AQ8" s="30"/>
      <c r="BD8" s="19">
        <f>SUMIF('[1]Budget Summary 1'!$C:$C,$A8,'[1]Budget Summary 1'!BC:BC)</f>
        <v>0</v>
      </c>
      <c r="BE8" s="19">
        <f>SUMIF('[1]Budget Summary 1'!$C:$C,$A8,'[1]Budget Summary 1'!BD:BD)</f>
        <v>0</v>
      </c>
      <c r="BF8" s="19">
        <f>SUMIF('[1]Budget Summary 1'!$C:$C,$A8,'[1]Budget Summary 1'!BE:BE)</f>
        <v>0</v>
      </c>
      <c r="BG8" s="19">
        <f>SUMIF('[1]Budget Summary 1'!$C:$C,$A8,'[1]Budget Summary 1'!BF:BF)</f>
        <v>0</v>
      </c>
      <c r="BH8" s="19">
        <f>SUMIF('[1]Budget Summary 1'!$C:$C,$A8,'[1]Budget Summary 1'!BG:BG)</f>
        <v>0</v>
      </c>
      <c r="BI8" s="19">
        <f>SUMIF('[1]Budget Summary 1'!$C:$C,$A8,'[1]Budget Summary 1'!BH:BH)</f>
        <v>0</v>
      </c>
      <c r="BJ8" s="19">
        <f>SUMIF('[1]Budget Summary 1'!$C:$C,$A8,'[1]Budget Summary 1'!BI:BI)</f>
        <v>0</v>
      </c>
      <c r="BK8" s="19">
        <f>SUMIF('[1]Budget Summary 1'!$C:$C,$A8,'[1]Budget Summary 1'!BJ:BJ)</f>
        <v>0</v>
      </c>
      <c r="BL8" s="19">
        <f>SUMIF('[1]Budget Summary 1'!$C:$C,$A8,'[1]Budget Summary 1'!BK:BK)</f>
        <v>0</v>
      </c>
      <c r="BM8" s="19">
        <f>SUMIF('[1]Budget Summary 1'!$C:$C,$A8,'[1]Budget Summary 1'!BL:BL)</f>
        <v>0</v>
      </c>
      <c r="BN8" s="19">
        <f>SUMIF('[1]Budget Summary 1'!$C:$C,$A8,'[1]Budget Summary 1'!BM:BM)</f>
        <v>0</v>
      </c>
      <c r="BY8" s="24"/>
      <c r="CD8" s="19">
        <f>F8-BD8</f>
        <v>16679328.160000002</v>
      </c>
      <c r="CE8" s="19">
        <f t="shared" ref="CE8:CN13" si="7">H8-BE8</f>
        <v>17728420.750000007</v>
      </c>
      <c r="CF8" s="19">
        <f t="shared" si="7"/>
        <v>18175774.329999994</v>
      </c>
      <c r="CG8" s="19">
        <f t="shared" si="7"/>
        <v>18624061.859999992</v>
      </c>
      <c r="CH8" s="19">
        <f t="shared" si="7"/>
        <v>19083556.580000009</v>
      </c>
      <c r="CI8" s="19">
        <f t="shared" si="7"/>
        <v>19554538.599999987</v>
      </c>
      <c r="CJ8" s="19">
        <f t="shared" si="7"/>
        <v>20037295.219999999</v>
      </c>
      <c r="CK8" s="19">
        <f t="shared" si="7"/>
        <v>20532120.68</v>
      </c>
      <c r="CL8" s="19">
        <f t="shared" si="7"/>
        <v>21039316.770000003</v>
      </c>
      <c r="CM8" s="19">
        <f t="shared" si="7"/>
        <v>21559192.830000009</v>
      </c>
      <c r="CN8" s="19">
        <f t="shared" si="7"/>
        <v>22092065.719999999</v>
      </c>
      <c r="DD8" s="19">
        <f>IF($S8="yes",CD8,0)</f>
        <v>16679328.160000002</v>
      </c>
      <c r="DE8" s="19">
        <f t="shared" ref="DE8:DN13" si="8">IF($S8="yes",CE8,0)</f>
        <v>17728420.750000007</v>
      </c>
      <c r="DF8" s="19">
        <f t="shared" si="8"/>
        <v>18175774.329999994</v>
      </c>
      <c r="DG8" s="19">
        <f t="shared" si="8"/>
        <v>18624061.859999992</v>
      </c>
      <c r="DH8" s="19">
        <f t="shared" si="8"/>
        <v>19083556.580000009</v>
      </c>
      <c r="DI8" s="19">
        <f t="shared" si="8"/>
        <v>19554538.599999987</v>
      </c>
      <c r="DJ8" s="19">
        <f t="shared" si="8"/>
        <v>20037295.219999999</v>
      </c>
      <c r="DK8" s="19">
        <f t="shared" si="8"/>
        <v>20532120.68</v>
      </c>
      <c r="DL8" s="19">
        <f t="shared" si="8"/>
        <v>21039316.770000003</v>
      </c>
      <c r="DM8" s="19">
        <f t="shared" si="8"/>
        <v>21559192.830000009</v>
      </c>
      <c r="DN8" s="19">
        <f t="shared" si="8"/>
        <v>22092065.719999999</v>
      </c>
      <c r="DZ8" s="22" t="s">
        <v>2</v>
      </c>
      <c r="EA8" s="23" t="s">
        <v>1</v>
      </c>
      <c r="EB8" s="23" t="s">
        <v>1</v>
      </c>
      <c r="EC8" s="23" t="s">
        <v>1</v>
      </c>
    </row>
    <row r="9" spans="1:133" s="19" customFormat="1" ht="15.75" thickBot="1" x14ac:dyDescent="0.3">
      <c r="A9" s="19" t="str">
        <f>B9</f>
        <v>User Charges &amp; Fees</v>
      </c>
      <c r="B9" s="19" t="s">
        <v>15</v>
      </c>
      <c r="C9" s="21"/>
      <c r="D9" s="19">
        <v>1559000</v>
      </c>
      <c r="E9" s="21"/>
      <c r="F9" s="19">
        <v>1560172.5</v>
      </c>
      <c r="G9" s="21"/>
      <c r="H9" s="19">
        <v>1630176.8199999998</v>
      </c>
      <c r="I9" s="19">
        <v>3305931.32</v>
      </c>
      <c r="J9" s="19">
        <v>3598579.6099999994</v>
      </c>
      <c r="K9" s="19">
        <v>3940544.0899999994</v>
      </c>
      <c r="L9" s="19">
        <v>4341457.7300000004</v>
      </c>
      <c r="M9" s="19">
        <v>4449994.17</v>
      </c>
      <c r="N9" s="19">
        <v>4561244.05</v>
      </c>
      <c r="O9" s="19">
        <v>4675275.1399999997</v>
      </c>
      <c r="P9" s="19">
        <v>4792156.99</v>
      </c>
      <c r="Q9" s="19">
        <v>4911960.92</v>
      </c>
      <c r="S9" s="26" t="s">
        <v>14</v>
      </c>
      <c r="U9" s="19">
        <f t="shared" ref="U9:U16" si="9">IF($S9="yes",F9-BD9,0)</f>
        <v>1560172.5</v>
      </c>
      <c r="V9" s="19">
        <f t="shared" si="6"/>
        <v>1630176.8199999998</v>
      </c>
      <c r="W9" s="19">
        <f t="shared" si="6"/>
        <v>3305931.32</v>
      </c>
      <c r="X9" s="19">
        <f t="shared" si="6"/>
        <v>3598579.6099999994</v>
      </c>
      <c r="Y9" s="19">
        <f t="shared" si="6"/>
        <v>3940544.0899999994</v>
      </c>
      <c r="Z9" s="19">
        <f t="shared" si="6"/>
        <v>4341457.7300000004</v>
      </c>
      <c r="AA9" s="19">
        <f t="shared" si="6"/>
        <v>4449994.17</v>
      </c>
      <c r="AB9" s="19">
        <f t="shared" si="6"/>
        <v>4561244.05</v>
      </c>
      <c r="AC9" s="19">
        <f t="shared" si="6"/>
        <v>4675275.1399999997</v>
      </c>
      <c r="AD9" s="19">
        <f t="shared" si="6"/>
        <v>4792156.99</v>
      </c>
      <c r="AE9" s="19">
        <f t="shared" si="6"/>
        <v>4911960.92</v>
      </c>
      <c r="AG9" s="31"/>
      <c r="AH9" s="32"/>
      <c r="AI9" s="32"/>
      <c r="AJ9" s="32"/>
      <c r="AK9" s="32"/>
      <c r="AL9" s="32"/>
      <c r="AM9" s="32"/>
      <c r="AN9" s="32"/>
      <c r="AO9" s="32"/>
      <c r="AP9" s="33"/>
      <c r="AQ9" s="30"/>
      <c r="BD9" s="19">
        <f>SUMIF('[1]Budget Summary 1'!$C:$C,$A9,'[1]Budget Summary 1'!BC:BC)</f>
        <v>0</v>
      </c>
      <c r="BE9" s="19">
        <f>SUMIF('[1]Budget Summary 1'!$C:$C,$A9,'[1]Budget Summary 1'!BD:BD)</f>
        <v>0</v>
      </c>
      <c r="BF9" s="19">
        <f>SUMIF('[1]Budget Summary 1'!$C:$C,$A9,'[1]Budget Summary 1'!BE:BE)</f>
        <v>0</v>
      </c>
      <c r="BG9" s="19">
        <f>SUMIF('[1]Budget Summary 1'!$C:$C,$A9,'[1]Budget Summary 1'!BF:BF)</f>
        <v>0</v>
      </c>
      <c r="BH9" s="19">
        <f>SUMIF('[1]Budget Summary 1'!$C:$C,$A9,'[1]Budget Summary 1'!BG:BG)</f>
        <v>0</v>
      </c>
      <c r="BI9" s="19">
        <f>SUMIF('[1]Budget Summary 1'!$C:$C,$A9,'[1]Budget Summary 1'!BH:BH)</f>
        <v>0</v>
      </c>
      <c r="BJ9" s="19">
        <f>SUMIF('[1]Budget Summary 1'!$C:$C,$A9,'[1]Budget Summary 1'!BI:BI)</f>
        <v>0</v>
      </c>
      <c r="BK9" s="19">
        <f>SUMIF('[1]Budget Summary 1'!$C:$C,$A9,'[1]Budget Summary 1'!BJ:BJ)</f>
        <v>0</v>
      </c>
      <c r="BL9" s="19">
        <f>SUMIF('[1]Budget Summary 1'!$C:$C,$A9,'[1]Budget Summary 1'!BK:BK)</f>
        <v>0</v>
      </c>
      <c r="BM9" s="19">
        <f>SUMIF('[1]Budget Summary 1'!$C:$C,$A9,'[1]Budget Summary 1'!BL:BL)</f>
        <v>0</v>
      </c>
      <c r="BN9" s="19">
        <f>SUMIF('[1]Budget Summary 1'!$C:$C,$A9,'[1]Budget Summary 1'!BM:BM)</f>
        <v>0</v>
      </c>
      <c r="BY9" s="24"/>
      <c r="CD9" s="19">
        <f t="shared" ref="CD9:CD13" si="10">F9-BD9</f>
        <v>1560172.5</v>
      </c>
      <c r="CE9" s="19">
        <f t="shared" si="7"/>
        <v>1630176.8199999998</v>
      </c>
      <c r="CF9" s="19">
        <f t="shared" si="7"/>
        <v>3305931.32</v>
      </c>
      <c r="CG9" s="19">
        <f t="shared" si="7"/>
        <v>3598579.6099999994</v>
      </c>
      <c r="CH9" s="19">
        <f t="shared" si="7"/>
        <v>3940544.0899999994</v>
      </c>
      <c r="CI9" s="19">
        <f t="shared" si="7"/>
        <v>4341457.7300000004</v>
      </c>
      <c r="CJ9" s="19">
        <f t="shared" si="7"/>
        <v>4449994.17</v>
      </c>
      <c r="CK9" s="19">
        <f t="shared" si="7"/>
        <v>4561244.05</v>
      </c>
      <c r="CL9" s="19">
        <f t="shared" si="7"/>
        <v>4675275.1399999997</v>
      </c>
      <c r="CM9" s="19">
        <f t="shared" si="7"/>
        <v>4792156.99</v>
      </c>
      <c r="CN9" s="19">
        <f t="shared" si="7"/>
        <v>4911960.92</v>
      </c>
      <c r="DD9" s="19">
        <f t="shared" ref="DD9:DD13" si="11">IF($S9="yes",CD9,0)</f>
        <v>1560172.5</v>
      </c>
      <c r="DE9" s="19">
        <f t="shared" si="8"/>
        <v>1630176.8199999998</v>
      </c>
      <c r="DF9" s="19">
        <f t="shared" si="8"/>
        <v>3305931.32</v>
      </c>
      <c r="DG9" s="19">
        <f t="shared" si="8"/>
        <v>3598579.6099999994</v>
      </c>
      <c r="DH9" s="19">
        <f t="shared" si="8"/>
        <v>3940544.0899999994</v>
      </c>
      <c r="DI9" s="19">
        <f t="shared" si="8"/>
        <v>4341457.7300000004</v>
      </c>
      <c r="DJ9" s="19">
        <f t="shared" si="8"/>
        <v>4449994.17</v>
      </c>
      <c r="DK9" s="19">
        <f t="shared" si="8"/>
        <v>4561244.05</v>
      </c>
      <c r="DL9" s="19">
        <f t="shared" si="8"/>
        <v>4675275.1399999997</v>
      </c>
      <c r="DM9" s="19">
        <f t="shared" si="8"/>
        <v>4792156.99</v>
      </c>
      <c r="DN9" s="19">
        <f t="shared" si="8"/>
        <v>4911960.92</v>
      </c>
      <c r="DZ9" s="22" t="s">
        <v>2</v>
      </c>
      <c r="EA9" s="23" t="s">
        <v>1</v>
      </c>
      <c r="EB9" s="23" t="s">
        <v>1</v>
      </c>
      <c r="EC9" s="23" t="s">
        <v>1</v>
      </c>
    </row>
    <row r="10" spans="1:133" s="19" customFormat="1" ht="15.75" thickBot="1" x14ac:dyDescent="0.3">
      <c r="A10" s="24" t="str">
        <f>IF(R10="","Interest &amp; Investment Revenues - Other","Interest &amp; Investment Revenue")</f>
        <v>Interest &amp; Investment Revenue</v>
      </c>
      <c r="B10" s="19" t="s">
        <v>16</v>
      </c>
      <c r="C10" s="21"/>
      <c r="D10" s="19">
        <v>854000</v>
      </c>
      <c r="E10" s="21"/>
      <c r="F10" s="34">
        <v>837764.3</v>
      </c>
      <c r="G10" s="21"/>
      <c r="H10" s="34">
        <v>862897.23</v>
      </c>
      <c r="I10" s="34">
        <v>888784.14999999991</v>
      </c>
      <c r="J10" s="34">
        <v>915447.68</v>
      </c>
      <c r="K10" s="34">
        <v>942911.1100000001</v>
      </c>
      <c r="L10" s="34">
        <v>971198.44000000006</v>
      </c>
      <c r="M10" s="34">
        <v>1000334.3999999999</v>
      </c>
      <c r="N10" s="34">
        <v>1030344.43</v>
      </c>
      <c r="O10" s="34">
        <v>1061254.77</v>
      </c>
      <c r="P10" s="34">
        <v>1093092.4099999999</v>
      </c>
      <c r="Q10" s="34">
        <v>1125885.19</v>
      </c>
      <c r="R10" s="35" t="s">
        <v>17</v>
      </c>
      <c r="S10" s="26" t="s">
        <v>14</v>
      </c>
      <c r="U10" s="19">
        <f t="shared" si="9"/>
        <v>837764.3</v>
      </c>
      <c r="V10" s="19">
        <f t="shared" si="6"/>
        <v>862897.23</v>
      </c>
      <c r="W10" s="19">
        <f t="shared" si="6"/>
        <v>888784.14999999991</v>
      </c>
      <c r="X10" s="19">
        <f t="shared" si="6"/>
        <v>915447.68</v>
      </c>
      <c r="Y10" s="19">
        <f t="shared" si="6"/>
        <v>942911.1100000001</v>
      </c>
      <c r="Z10" s="19">
        <f t="shared" si="6"/>
        <v>971198.44000000006</v>
      </c>
      <c r="AA10" s="19">
        <f t="shared" si="6"/>
        <v>1000334.3999999999</v>
      </c>
      <c r="AB10" s="19">
        <f t="shared" si="6"/>
        <v>1030344.43</v>
      </c>
      <c r="AC10" s="19">
        <f t="shared" si="6"/>
        <v>1061254.77</v>
      </c>
      <c r="AD10" s="19">
        <f t="shared" si="6"/>
        <v>1093092.4099999999</v>
      </c>
      <c r="AE10" s="19">
        <f t="shared" si="6"/>
        <v>1125885.19</v>
      </c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BD10" s="19">
        <f>SUMIF('[1]Budget Summary 1'!$C:$C,$A10,'[1]Budget Summary 1'!BC:BC)</f>
        <v>0</v>
      </c>
      <c r="BE10" s="19">
        <f>SUMIF('[1]Budget Summary 1'!$C:$C,$A10,'[1]Budget Summary 1'!BD:BD)</f>
        <v>0</v>
      </c>
      <c r="BF10" s="19">
        <f>SUMIF('[1]Budget Summary 1'!$C:$C,$A10,'[1]Budget Summary 1'!BE:BE)</f>
        <v>0</v>
      </c>
      <c r="BG10" s="19">
        <f>SUMIF('[1]Budget Summary 1'!$C:$C,$A10,'[1]Budget Summary 1'!BF:BF)</f>
        <v>0</v>
      </c>
      <c r="BH10" s="19">
        <f>SUMIF('[1]Budget Summary 1'!$C:$C,$A10,'[1]Budget Summary 1'!BG:BG)</f>
        <v>0</v>
      </c>
      <c r="BI10" s="19">
        <f>SUMIF('[1]Budget Summary 1'!$C:$C,$A10,'[1]Budget Summary 1'!BH:BH)</f>
        <v>0</v>
      </c>
      <c r="BJ10" s="19">
        <f>SUMIF('[1]Budget Summary 1'!$C:$C,$A10,'[1]Budget Summary 1'!BI:BI)</f>
        <v>0</v>
      </c>
      <c r="BK10" s="19">
        <f>SUMIF('[1]Budget Summary 1'!$C:$C,$A10,'[1]Budget Summary 1'!BJ:BJ)</f>
        <v>0</v>
      </c>
      <c r="BL10" s="19">
        <f>SUMIF('[1]Budget Summary 1'!$C:$C,$A10,'[1]Budget Summary 1'!BK:BK)</f>
        <v>0</v>
      </c>
      <c r="BM10" s="19">
        <f>SUMIF('[1]Budget Summary 1'!$C:$C,$A10,'[1]Budget Summary 1'!BL:BL)</f>
        <v>0</v>
      </c>
      <c r="BN10" s="19">
        <f>SUMIF('[1]Budget Summary 1'!$C:$C,$A10,'[1]Budget Summary 1'!BM:BM)</f>
        <v>0</v>
      </c>
      <c r="BY10" s="24"/>
      <c r="CD10" s="19">
        <f>+SUMIF('[1]Budget Summary 1'!$C:$C,$A10,'[1]Budget Summary 1'!J:J)-BD10</f>
        <v>837764.3</v>
      </c>
      <c r="CE10" s="19">
        <f>+SUMIF('[1]Budget Summary 1'!$C:$C,$A10,'[1]Budget Summary 1'!L:L)-BE10</f>
        <v>862897.23</v>
      </c>
      <c r="CF10" s="19">
        <f>+SUMIF('[1]Budget Summary 1'!$C:$C,$A10,'[1]Budget Summary 1'!M:M)-BF10</f>
        <v>888784.14999999991</v>
      </c>
      <c r="CG10" s="19">
        <f>+SUMIF('[1]Budget Summary 1'!$C:$C,$A10,'[1]Budget Summary 1'!N:N)-BG10</f>
        <v>915447.68</v>
      </c>
      <c r="CH10" s="19">
        <f>+SUMIF('[1]Budget Summary 1'!$C:$C,$A10,'[1]Budget Summary 1'!O:O)-BH10</f>
        <v>942911.1100000001</v>
      </c>
      <c r="CI10" s="19">
        <f>+SUMIF('[1]Budget Summary 1'!$C:$C,$A10,'[1]Budget Summary 1'!P:P)-BI10</f>
        <v>971198.44000000006</v>
      </c>
      <c r="CJ10" s="19">
        <f>+SUMIF('[1]Budget Summary 1'!$C:$C,$A10,'[1]Budget Summary 1'!Q:Q)-BJ10</f>
        <v>1000334.3999999999</v>
      </c>
      <c r="CK10" s="19">
        <f>+SUMIF('[1]Budget Summary 1'!$C:$C,$A10,'[1]Budget Summary 1'!R:R)-BK10</f>
        <v>1030344.43</v>
      </c>
      <c r="CL10" s="19">
        <f>+SUMIF('[1]Budget Summary 1'!$C:$C,$A10,'[1]Budget Summary 1'!S:S)-BL10</f>
        <v>1061254.77</v>
      </c>
      <c r="CM10" s="19">
        <f>+SUMIF('[1]Budget Summary 1'!$C:$C,$A10,'[1]Budget Summary 1'!T:T)-BM10</f>
        <v>1093092.4099999999</v>
      </c>
      <c r="CN10" s="19">
        <f>+SUMIF('[1]Budget Summary 1'!$C:$C,$A10,'[1]Budget Summary 1'!U:U)-BN10</f>
        <v>1125885.19</v>
      </c>
      <c r="DD10" s="19">
        <f t="shared" si="11"/>
        <v>837764.3</v>
      </c>
      <c r="DE10" s="19">
        <f t="shared" si="8"/>
        <v>862897.23</v>
      </c>
      <c r="DF10" s="19">
        <f t="shared" si="8"/>
        <v>888784.14999999991</v>
      </c>
      <c r="DG10" s="19">
        <f t="shared" si="8"/>
        <v>915447.68</v>
      </c>
      <c r="DH10" s="19">
        <f t="shared" si="8"/>
        <v>942911.1100000001</v>
      </c>
      <c r="DI10" s="19">
        <f t="shared" si="8"/>
        <v>971198.44000000006</v>
      </c>
      <c r="DJ10" s="19">
        <f t="shared" si="8"/>
        <v>1000334.3999999999</v>
      </c>
      <c r="DK10" s="19">
        <f t="shared" si="8"/>
        <v>1030344.43</v>
      </c>
      <c r="DL10" s="19">
        <f t="shared" si="8"/>
        <v>1061254.77</v>
      </c>
      <c r="DM10" s="19">
        <f t="shared" si="8"/>
        <v>1093092.4099999999</v>
      </c>
      <c r="DN10" s="19">
        <f t="shared" si="8"/>
        <v>1125885.19</v>
      </c>
      <c r="DZ10" s="22" t="s">
        <v>2</v>
      </c>
      <c r="EA10" s="23" t="s">
        <v>1</v>
      </c>
      <c r="EB10" s="23" t="s">
        <v>1</v>
      </c>
      <c r="EC10" s="23" t="s">
        <v>1</v>
      </c>
    </row>
    <row r="11" spans="1:133" s="19" customFormat="1" x14ac:dyDescent="0.25">
      <c r="A11" s="19" t="str">
        <f>B11</f>
        <v>Other Revenues</v>
      </c>
      <c r="B11" s="19" t="s">
        <v>18</v>
      </c>
      <c r="C11" s="21"/>
      <c r="D11" s="19">
        <v>1414000</v>
      </c>
      <c r="E11" s="21"/>
      <c r="F11" s="19">
        <v>1290042.1499999999</v>
      </c>
      <c r="G11" s="21"/>
      <c r="H11" s="19">
        <v>1386530.5899999999</v>
      </c>
      <c r="I11" s="19">
        <v>1424777.8699999994</v>
      </c>
      <c r="J11" s="19">
        <v>1464106.6799999997</v>
      </c>
      <c r="K11" s="19">
        <v>1504548.3099999998</v>
      </c>
      <c r="L11" s="19">
        <v>1546135.87</v>
      </c>
      <c r="M11" s="19">
        <v>1584789.3399999996</v>
      </c>
      <c r="N11" s="19">
        <v>1624409.0799999998</v>
      </c>
      <c r="O11" s="19">
        <v>1665019.31</v>
      </c>
      <c r="P11" s="19">
        <v>1706644.7999999998</v>
      </c>
      <c r="Q11" s="19">
        <v>1749310.9200000004</v>
      </c>
      <c r="S11" s="26" t="s">
        <v>14</v>
      </c>
      <c r="U11" s="19">
        <f t="shared" si="9"/>
        <v>1290042.1499999999</v>
      </c>
      <c r="V11" s="19">
        <f t="shared" si="6"/>
        <v>1386530.5899999999</v>
      </c>
      <c r="W11" s="19">
        <f t="shared" si="6"/>
        <v>1424777.8699999994</v>
      </c>
      <c r="X11" s="19">
        <f t="shared" si="6"/>
        <v>1464106.6799999997</v>
      </c>
      <c r="Y11" s="19">
        <f t="shared" si="6"/>
        <v>1504548.3099999998</v>
      </c>
      <c r="Z11" s="19">
        <f t="shared" si="6"/>
        <v>1546135.87</v>
      </c>
      <c r="AA11" s="19">
        <f t="shared" si="6"/>
        <v>1584789.3399999996</v>
      </c>
      <c r="AB11" s="19">
        <f t="shared" si="6"/>
        <v>1624409.0799999998</v>
      </c>
      <c r="AC11" s="19">
        <f t="shared" si="6"/>
        <v>1665019.31</v>
      </c>
      <c r="AD11" s="19">
        <f t="shared" si="6"/>
        <v>1706644.7999999998</v>
      </c>
      <c r="AE11" s="19">
        <f t="shared" si="6"/>
        <v>1749310.9200000004</v>
      </c>
      <c r="AG11" s="27"/>
      <c r="AH11" s="28"/>
      <c r="AI11" s="28"/>
      <c r="AJ11" s="28"/>
      <c r="AK11" s="28"/>
      <c r="AL11" s="28"/>
      <c r="AM11" s="28"/>
      <c r="AN11" s="28"/>
      <c r="AO11" s="28"/>
      <c r="AP11" s="29"/>
      <c r="AQ11" s="30"/>
      <c r="BD11" s="19">
        <f>SUMIF('[1]Budget Summary 1'!$C:$C,$A11,'[1]Budget Summary 1'!BC:BC)</f>
        <v>0</v>
      </c>
      <c r="BE11" s="19">
        <f>SUMIF('[1]Budget Summary 1'!$C:$C,$A11,'[1]Budget Summary 1'!BD:BD)</f>
        <v>0</v>
      </c>
      <c r="BF11" s="19">
        <f>SUMIF('[1]Budget Summary 1'!$C:$C,$A11,'[1]Budget Summary 1'!BE:BE)</f>
        <v>0</v>
      </c>
      <c r="BG11" s="19">
        <f>SUMIF('[1]Budget Summary 1'!$C:$C,$A11,'[1]Budget Summary 1'!BF:BF)</f>
        <v>0</v>
      </c>
      <c r="BH11" s="19">
        <f>SUMIF('[1]Budget Summary 1'!$C:$C,$A11,'[1]Budget Summary 1'!BG:BG)</f>
        <v>0</v>
      </c>
      <c r="BI11" s="19">
        <f>SUMIF('[1]Budget Summary 1'!$C:$C,$A11,'[1]Budget Summary 1'!BH:BH)</f>
        <v>0</v>
      </c>
      <c r="BJ11" s="19">
        <f>SUMIF('[1]Budget Summary 1'!$C:$C,$A11,'[1]Budget Summary 1'!BI:BI)</f>
        <v>0</v>
      </c>
      <c r="BK11" s="19">
        <f>SUMIF('[1]Budget Summary 1'!$C:$C,$A11,'[1]Budget Summary 1'!BJ:BJ)</f>
        <v>0</v>
      </c>
      <c r="BL11" s="19">
        <f>SUMIF('[1]Budget Summary 1'!$C:$C,$A11,'[1]Budget Summary 1'!BK:BK)</f>
        <v>0</v>
      </c>
      <c r="BM11" s="19">
        <f>SUMIF('[1]Budget Summary 1'!$C:$C,$A11,'[1]Budget Summary 1'!BL:BL)</f>
        <v>0</v>
      </c>
      <c r="BN11" s="19">
        <f>SUMIF('[1]Budget Summary 1'!$C:$C,$A11,'[1]Budget Summary 1'!BM:BM)</f>
        <v>0</v>
      </c>
      <c r="BY11" s="24"/>
      <c r="CD11" s="19">
        <f t="shared" si="10"/>
        <v>1290042.1499999999</v>
      </c>
      <c r="CE11" s="19">
        <f t="shared" si="7"/>
        <v>1386530.5899999999</v>
      </c>
      <c r="CF11" s="19">
        <f t="shared" si="7"/>
        <v>1424777.8699999994</v>
      </c>
      <c r="CG11" s="19">
        <f t="shared" si="7"/>
        <v>1464106.6799999997</v>
      </c>
      <c r="CH11" s="19">
        <f t="shared" si="7"/>
        <v>1504548.3099999998</v>
      </c>
      <c r="CI11" s="19">
        <f t="shared" si="7"/>
        <v>1546135.87</v>
      </c>
      <c r="CJ11" s="19">
        <f t="shared" si="7"/>
        <v>1584789.3399999996</v>
      </c>
      <c r="CK11" s="19">
        <f t="shared" si="7"/>
        <v>1624409.0799999998</v>
      </c>
      <c r="CL11" s="19">
        <f t="shared" si="7"/>
        <v>1665019.31</v>
      </c>
      <c r="CM11" s="19">
        <f t="shared" si="7"/>
        <v>1706644.7999999998</v>
      </c>
      <c r="CN11" s="19">
        <f t="shared" si="7"/>
        <v>1749310.9200000004</v>
      </c>
      <c r="DD11" s="19">
        <f t="shared" si="11"/>
        <v>1290042.1499999999</v>
      </c>
      <c r="DE11" s="19">
        <f t="shared" si="8"/>
        <v>1386530.5899999999</v>
      </c>
      <c r="DF11" s="19">
        <f t="shared" si="8"/>
        <v>1424777.8699999994</v>
      </c>
      <c r="DG11" s="19">
        <f t="shared" si="8"/>
        <v>1464106.6799999997</v>
      </c>
      <c r="DH11" s="19">
        <f t="shared" si="8"/>
        <v>1504548.3099999998</v>
      </c>
      <c r="DI11" s="19">
        <f t="shared" si="8"/>
        <v>1546135.87</v>
      </c>
      <c r="DJ11" s="19">
        <f t="shared" si="8"/>
        <v>1584789.3399999996</v>
      </c>
      <c r="DK11" s="19">
        <f t="shared" si="8"/>
        <v>1624409.0799999998</v>
      </c>
      <c r="DL11" s="19">
        <f t="shared" si="8"/>
        <v>1665019.31</v>
      </c>
      <c r="DM11" s="19">
        <f t="shared" si="8"/>
        <v>1706644.7999999998</v>
      </c>
      <c r="DN11" s="19">
        <f t="shared" si="8"/>
        <v>1749310.9200000004</v>
      </c>
      <c r="DZ11" s="22" t="s">
        <v>2</v>
      </c>
      <c r="EA11" s="23" t="s">
        <v>1</v>
      </c>
      <c r="EB11" s="23" t="s">
        <v>1</v>
      </c>
      <c r="EC11" s="23" t="s">
        <v>1</v>
      </c>
    </row>
    <row r="12" spans="1:133" s="19" customFormat="1" x14ac:dyDescent="0.25">
      <c r="A12" s="19" t="str">
        <f>B12</f>
        <v>Grants &amp; Contributions provided for Operating Purposes</v>
      </c>
      <c r="B12" s="19" t="s">
        <v>19</v>
      </c>
      <c r="C12" s="21"/>
      <c r="D12" s="19">
        <v>7621000</v>
      </c>
      <c r="E12" s="21"/>
      <c r="F12" s="19">
        <v>6931407.4399999995</v>
      </c>
      <c r="G12" s="21"/>
      <c r="H12" s="19">
        <v>7500721.5099999998</v>
      </c>
      <c r="I12" s="19">
        <v>7613232.3499999996</v>
      </c>
      <c r="J12" s="19">
        <v>7727430.8599999994</v>
      </c>
      <c r="K12" s="19">
        <v>7843342.3199999994</v>
      </c>
      <c r="L12" s="19">
        <v>7960992.4500000002</v>
      </c>
      <c r="M12" s="19">
        <v>8080407.3399999999</v>
      </c>
      <c r="N12" s="19">
        <v>8201613.4399999995</v>
      </c>
      <c r="O12" s="19">
        <v>8324637.6200000001</v>
      </c>
      <c r="P12" s="19">
        <v>8449507.1799999997</v>
      </c>
      <c r="Q12" s="19">
        <v>8576249.7799999993</v>
      </c>
      <c r="S12" s="26" t="s">
        <v>14</v>
      </c>
      <c r="U12" s="19">
        <f t="shared" si="9"/>
        <v>6931407.4399999995</v>
      </c>
      <c r="V12" s="19">
        <f t="shared" si="6"/>
        <v>7500721.5099999998</v>
      </c>
      <c r="W12" s="19">
        <f t="shared" si="6"/>
        <v>7613232.3499999996</v>
      </c>
      <c r="X12" s="19">
        <f t="shared" si="6"/>
        <v>7727430.8599999994</v>
      </c>
      <c r="Y12" s="19">
        <f t="shared" si="6"/>
        <v>7843342.3199999994</v>
      </c>
      <c r="Z12" s="19">
        <f t="shared" si="6"/>
        <v>7960992.4500000002</v>
      </c>
      <c r="AA12" s="19">
        <f t="shared" si="6"/>
        <v>8080407.3399999999</v>
      </c>
      <c r="AB12" s="19">
        <f t="shared" si="6"/>
        <v>8201613.4399999995</v>
      </c>
      <c r="AC12" s="19">
        <f t="shared" si="6"/>
        <v>8324637.6200000001</v>
      </c>
      <c r="AD12" s="19">
        <f t="shared" si="6"/>
        <v>8449507.1799999997</v>
      </c>
      <c r="AE12" s="19">
        <f t="shared" si="6"/>
        <v>8576249.7799999993</v>
      </c>
      <c r="AG12" s="36"/>
      <c r="AH12" s="37"/>
      <c r="AI12" s="37"/>
      <c r="AJ12" s="37"/>
      <c r="AK12" s="37"/>
      <c r="AL12" s="37"/>
      <c r="AM12" s="37"/>
      <c r="AN12" s="37"/>
      <c r="AO12" s="37"/>
      <c r="AP12" s="38"/>
      <c r="AQ12" s="30"/>
      <c r="BD12" s="19">
        <f>SUMIF('[1]Budget Summary 1'!$C:$C,$A12,'[1]Budget Summary 1'!BC:BC)</f>
        <v>0</v>
      </c>
      <c r="BE12" s="19">
        <f>SUMIF('[1]Budget Summary 1'!$C:$C,$A12,'[1]Budget Summary 1'!BD:BD)</f>
        <v>0</v>
      </c>
      <c r="BF12" s="19">
        <f>SUMIF('[1]Budget Summary 1'!$C:$C,$A12,'[1]Budget Summary 1'!BE:BE)</f>
        <v>0</v>
      </c>
      <c r="BG12" s="19">
        <f>SUMIF('[1]Budget Summary 1'!$C:$C,$A12,'[1]Budget Summary 1'!BF:BF)</f>
        <v>0</v>
      </c>
      <c r="BH12" s="19">
        <f>SUMIF('[1]Budget Summary 1'!$C:$C,$A12,'[1]Budget Summary 1'!BG:BG)</f>
        <v>0</v>
      </c>
      <c r="BI12" s="19">
        <f>SUMIF('[1]Budget Summary 1'!$C:$C,$A12,'[1]Budget Summary 1'!BH:BH)</f>
        <v>0</v>
      </c>
      <c r="BJ12" s="19">
        <f>SUMIF('[1]Budget Summary 1'!$C:$C,$A12,'[1]Budget Summary 1'!BI:BI)</f>
        <v>0</v>
      </c>
      <c r="BK12" s="19">
        <f>SUMIF('[1]Budget Summary 1'!$C:$C,$A12,'[1]Budget Summary 1'!BJ:BJ)</f>
        <v>0</v>
      </c>
      <c r="BL12" s="19">
        <f>SUMIF('[1]Budget Summary 1'!$C:$C,$A12,'[1]Budget Summary 1'!BK:BK)</f>
        <v>0</v>
      </c>
      <c r="BM12" s="19">
        <f>SUMIF('[1]Budget Summary 1'!$C:$C,$A12,'[1]Budget Summary 1'!BL:BL)</f>
        <v>0</v>
      </c>
      <c r="BN12" s="19">
        <f>SUMIF('[1]Budget Summary 1'!$C:$C,$A12,'[1]Budget Summary 1'!BM:BM)</f>
        <v>0</v>
      </c>
      <c r="BY12" s="24"/>
      <c r="CD12" s="19">
        <f t="shared" si="10"/>
        <v>6931407.4399999995</v>
      </c>
      <c r="CE12" s="19">
        <f t="shared" si="7"/>
        <v>7500721.5099999998</v>
      </c>
      <c r="CF12" s="19">
        <f t="shared" si="7"/>
        <v>7613232.3499999996</v>
      </c>
      <c r="CG12" s="19">
        <f t="shared" si="7"/>
        <v>7727430.8599999994</v>
      </c>
      <c r="CH12" s="19">
        <f t="shared" si="7"/>
        <v>7843342.3199999994</v>
      </c>
      <c r="CI12" s="19">
        <f t="shared" si="7"/>
        <v>7960992.4500000002</v>
      </c>
      <c r="CJ12" s="19">
        <f t="shared" si="7"/>
        <v>8080407.3399999999</v>
      </c>
      <c r="CK12" s="19">
        <f t="shared" si="7"/>
        <v>8201613.4399999995</v>
      </c>
      <c r="CL12" s="19">
        <f t="shared" si="7"/>
        <v>8324637.6200000001</v>
      </c>
      <c r="CM12" s="19">
        <f t="shared" si="7"/>
        <v>8449507.1799999997</v>
      </c>
      <c r="CN12" s="19">
        <f t="shared" si="7"/>
        <v>8576249.7799999993</v>
      </c>
      <c r="DD12" s="19">
        <f t="shared" si="11"/>
        <v>6931407.4399999995</v>
      </c>
      <c r="DE12" s="19">
        <f t="shared" si="8"/>
        <v>7500721.5099999998</v>
      </c>
      <c r="DF12" s="19">
        <f t="shared" si="8"/>
        <v>7613232.3499999996</v>
      </c>
      <c r="DG12" s="19">
        <f t="shared" si="8"/>
        <v>7727430.8599999994</v>
      </c>
      <c r="DH12" s="19">
        <f t="shared" si="8"/>
        <v>7843342.3199999994</v>
      </c>
      <c r="DI12" s="19">
        <f t="shared" si="8"/>
        <v>7960992.4500000002</v>
      </c>
      <c r="DJ12" s="19">
        <f t="shared" si="8"/>
        <v>8080407.3399999999</v>
      </c>
      <c r="DK12" s="19">
        <f t="shared" si="8"/>
        <v>8201613.4399999995</v>
      </c>
      <c r="DL12" s="19">
        <f t="shared" si="8"/>
        <v>8324637.6200000001</v>
      </c>
      <c r="DM12" s="19">
        <f t="shared" si="8"/>
        <v>8449507.1799999997</v>
      </c>
      <c r="DN12" s="19">
        <f t="shared" si="8"/>
        <v>8576249.7799999993</v>
      </c>
      <c r="DZ12" s="22" t="s">
        <v>2</v>
      </c>
      <c r="EA12" s="23" t="s">
        <v>1</v>
      </c>
      <c r="EB12" s="23" t="s">
        <v>1</v>
      </c>
      <c r="EC12" s="23" t="s">
        <v>1</v>
      </c>
    </row>
    <row r="13" spans="1:133" s="19" customFormat="1" x14ac:dyDescent="0.25">
      <c r="A13" s="19" t="str">
        <f>B13</f>
        <v>Grants &amp; Contributions provided for Capital Purposes</v>
      </c>
      <c r="B13" s="19" t="s">
        <v>20</v>
      </c>
      <c r="C13" s="21"/>
      <c r="D13" s="19">
        <v>3403000</v>
      </c>
      <c r="E13" s="21"/>
      <c r="F13" s="19">
        <v>4465214</v>
      </c>
      <c r="G13" s="21"/>
      <c r="H13" s="19">
        <v>3006000</v>
      </c>
      <c r="I13" s="19">
        <v>3036060</v>
      </c>
      <c r="J13" s="19">
        <v>3081600.91</v>
      </c>
      <c r="K13" s="19">
        <v>3127824.92</v>
      </c>
      <c r="L13" s="19">
        <v>3174742.3</v>
      </c>
      <c r="M13" s="19">
        <v>3224763.51</v>
      </c>
      <c r="N13" s="19">
        <v>3275583.0300000003</v>
      </c>
      <c r="O13" s="19">
        <v>3327213.81</v>
      </c>
      <c r="P13" s="19">
        <v>3379668.99</v>
      </c>
      <c r="Q13" s="19">
        <v>3432961.93</v>
      </c>
      <c r="S13" s="26" t="s">
        <v>14</v>
      </c>
      <c r="U13" s="19">
        <f t="shared" si="9"/>
        <v>4465214</v>
      </c>
      <c r="V13" s="19">
        <f t="shared" si="6"/>
        <v>3006000</v>
      </c>
      <c r="W13" s="19">
        <f t="shared" si="6"/>
        <v>3036060</v>
      </c>
      <c r="X13" s="19">
        <f t="shared" si="6"/>
        <v>3081600.91</v>
      </c>
      <c r="Y13" s="19">
        <f t="shared" si="6"/>
        <v>3127824.92</v>
      </c>
      <c r="Z13" s="19">
        <f t="shared" si="6"/>
        <v>3174742.3</v>
      </c>
      <c r="AA13" s="19">
        <f t="shared" si="6"/>
        <v>3224763.51</v>
      </c>
      <c r="AB13" s="19">
        <f t="shared" si="6"/>
        <v>3275583.0300000003</v>
      </c>
      <c r="AC13" s="19">
        <f t="shared" si="6"/>
        <v>3327213.81</v>
      </c>
      <c r="AD13" s="19">
        <f t="shared" si="6"/>
        <v>3379668.99</v>
      </c>
      <c r="AE13" s="19">
        <f t="shared" si="6"/>
        <v>3432961.93</v>
      </c>
      <c r="AG13" s="31"/>
      <c r="AH13" s="32"/>
      <c r="AI13" s="32"/>
      <c r="AJ13" s="32"/>
      <c r="AK13" s="32"/>
      <c r="AL13" s="32"/>
      <c r="AM13" s="32"/>
      <c r="AN13" s="32"/>
      <c r="AO13" s="32"/>
      <c r="AP13" s="33"/>
      <c r="AQ13" s="30"/>
      <c r="BD13" s="19">
        <f>SUMIF('[1]Budget Summary 1'!$C:$C,$A13,'[1]Budget Summary 1'!BC:BC)</f>
        <v>0</v>
      </c>
      <c r="BE13" s="19">
        <f>SUMIF('[1]Budget Summary 1'!$C:$C,$A13,'[1]Budget Summary 1'!BD:BD)</f>
        <v>0</v>
      </c>
      <c r="BF13" s="19">
        <f>SUMIF('[1]Budget Summary 1'!$C:$C,$A13,'[1]Budget Summary 1'!BE:BE)</f>
        <v>0</v>
      </c>
      <c r="BG13" s="19">
        <f>SUMIF('[1]Budget Summary 1'!$C:$C,$A13,'[1]Budget Summary 1'!BF:BF)</f>
        <v>0</v>
      </c>
      <c r="BH13" s="19">
        <f>SUMIF('[1]Budget Summary 1'!$C:$C,$A13,'[1]Budget Summary 1'!BG:BG)</f>
        <v>0</v>
      </c>
      <c r="BI13" s="19">
        <f>SUMIF('[1]Budget Summary 1'!$C:$C,$A13,'[1]Budget Summary 1'!BH:BH)</f>
        <v>0</v>
      </c>
      <c r="BJ13" s="19">
        <f>SUMIF('[1]Budget Summary 1'!$C:$C,$A13,'[1]Budget Summary 1'!BI:BI)</f>
        <v>0</v>
      </c>
      <c r="BK13" s="19">
        <f>SUMIF('[1]Budget Summary 1'!$C:$C,$A13,'[1]Budget Summary 1'!BJ:BJ)</f>
        <v>0</v>
      </c>
      <c r="BL13" s="19">
        <f>SUMIF('[1]Budget Summary 1'!$C:$C,$A13,'[1]Budget Summary 1'!BK:BK)</f>
        <v>0</v>
      </c>
      <c r="BM13" s="19">
        <f>SUMIF('[1]Budget Summary 1'!$C:$C,$A13,'[1]Budget Summary 1'!BL:BL)</f>
        <v>0</v>
      </c>
      <c r="BN13" s="19">
        <f>SUMIF('[1]Budget Summary 1'!$C:$C,$A13,'[1]Budget Summary 1'!BM:BM)</f>
        <v>0</v>
      </c>
      <c r="BY13" s="24"/>
      <c r="CD13" s="19">
        <f t="shared" si="10"/>
        <v>4465214</v>
      </c>
      <c r="CE13" s="19">
        <f t="shared" si="7"/>
        <v>3006000</v>
      </c>
      <c r="CF13" s="19">
        <f t="shared" si="7"/>
        <v>3036060</v>
      </c>
      <c r="CG13" s="19">
        <f t="shared" si="7"/>
        <v>3081600.91</v>
      </c>
      <c r="CH13" s="19">
        <f t="shared" si="7"/>
        <v>3127824.92</v>
      </c>
      <c r="CI13" s="19">
        <f t="shared" si="7"/>
        <v>3174742.3</v>
      </c>
      <c r="CJ13" s="19">
        <f t="shared" si="7"/>
        <v>3224763.51</v>
      </c>
      <c r="CK13" s="19">
        <f t="shared" si="7"/>
        <v>3275583.0300000003</v>
      </c>
      <c r="CL13" s="19">
        <f t="shared" si="7"/>
        <v>3327213.81</v>
      </c>
      <c r="CM13" s="19">
        <f t="shared" si="7"/>
        <v>3379668.99</v>
      </c>
      <c r="CN13" s="19">
        <f t="shared" si="7"/>
        <v>3432961.93</v>
      </c>
      <c r="DD13" s="19">
        <f t="shared" si="11"/>
        <v>4465214</v>
      </c>
      <c r="DE13" s="19">
        <f t="shared" si="8"/>
        <v>3006000</v>
      </c>
      <c r="DF13" s="19">
        <f t="shared" si="8"/>
        <v>3036060</v>
      </c>
      <c r="DG13" s="19">
        <f t="shared" si="8"/>
        <v>3081600.91</v>
      </c>
      <c r="DH13" s="19">
        <f t="shared" si="8"/>
        <v>3127824.92</v>
      </c>
      <c r="DI13" s="19">
        <f t="shared" si="8"/>
        <v>3174742.3</v>
      </c>
      <c r="DJ13" s="19">
        <f t="shared" si="8"/>
        <v>3224763.51</v>
      </c>
      <c r="DK13" s="19">
        <f t="shared" si="8"/>
        <v>3275583.0300000003</v>
      </c>
      <c r="DL13" s="19">
        <f t="shared" si="8"/>
        <v>3327213.81</v>
      </c>
      <c r="DM13" s="19">
        <f t="shared" si="8"/>
        <v>3379668.99</v>
      </c>
      <c r="DN13" s="19">
        <f t="shared" si="8"/>
        <v>3432961.93</v>
      </c>
      <c r="DZ13" s="22" t="s">
        <v>2</v>
      </c>
      <c r="EA13" s="23" t="s">
        <v>1</v>
      </c>
      <c r="EB13" s="23" t="s">
        <v>1</v>
      </c>
      <c r="EC13" s="23" t="s">
        <v>1</v>
      </c>
    </row>
    <row r="14" spans="1:133" s="19" customFormat="1" x14ac:dyDescent="0.25">
      <c r="B14" s="25" t="s">
        <v>21</v>
      </c>
      <c r="C14" s="21"/>
      <c r="E14" s="21"/>
      <c r="G14" s="21"/>
      <c r="S14" s="39"/>
      <c r="BY14" s="24"/>
      <c r="DZ14" s="22" t="s">
        <v>2</v>
      </c>
      <c r="EA14" s="23" t="s">
        <v>1</v>
      </c>
      <c r="EB14" s="23" t="s">
        <v>1</v>
      </c>
      <c r="EC14" s="23" t="s">
        <v>1</v>
      </c>
    </row>
    <row r="15" spans="1:133" s="19" customFormat="1" x14ac:dyDescent="0.25">
      <c r="A15" s="19" t="str">
        <f>B15</f>
        <v>Net gains from the disposal of assets</v>
      </c>
      <c r="B15" s="19" t="s">
        <v>22</v>
      </c>
      <c r="C15" s="40"/>
      <c r="D15" s="19">
        <v>0</v>
      </c>
      <c r="E15" s="40"/>
      <c r="F15" s="34">
        <v>335000</v>
      </c>
      <c r="G15" s="40"/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S15" s="26" t="s">
        <v>14</v>
      </c>
      <c r="U15" s="19">
        <f t="shared" si="9"/>
        <v>0</v>
      </c>
      <c r="V15" s="19">
        <f t="shared" ref="V15:AE16" si="12">IF($S15="yes",H15-BE15,0)</f>
        <v>0</v>
      </c>
      <c r="W15" s="19">
        <f t="shared" si="12"/>
        <v>0</v>
      </c>
      <c r="X15" s="19">
        <f t="shared" si="12"/>
        <v>0</v>
      </c>
      <c r="Y15" s="19">
        <f t="shared" si="12"/>
        <v>0</v>
      </c>
      <c r="Z15" s="19">
        <f t="shared" si="12"/>
        <v>0</v>
      </c>
      <c r="AA15" s="19">
        <f t="shared" si="12"/>
        <v>0</v>
      </c>
      <c r="AB15" s="19">
        <f t="shared" si="12"/>
        <v>0</v>
      </c>
      <c r="AC15" s="19">
        <f t="shared" si="12"/>
        <v>0</v>
      </c>
      <c r="AD15" s="19">
        <f t="shared" si="12"/>
        <v>0</v>
      </c>
      <c r="AE15" s="19">
        <f t="shared" si="12"/>
        <v>0</v>
      </c>
      <c r="AG15" s="41"/>
      <c r="AH15" s="42"/>
      <c r="AI15" s="42"/>
      <c r="AJ15" s="42"/>
      <c r="AK15" s="42"/>
      <c r="AL15" s="42"/>
      <c r="AM15" s="42"/>
      <c r="AN15" s="42"/>
      <c r="AO15" s="42"/>
      <c r="AP15" s="43"/>
      <c r="AQ15" s="24"/>
      <c r="BB15" s="24" t="s">
        <v>23</v>
      </c>
      <c r="BD15" s="19">
        <f>F15</f>
        <v>335000</v>
      </c>
      <c r="BE15" s="19">
        <f>H15</f>
        <v>0</v>
      </c>
      <c r="BF15" s="19">
        <f t="shared" ref="BF15:BN16" si="13">I15</f>
        <v>0</v>
      </c>
      <c r="BG15" s="19">
        <f t="shared" si="13"/>
        <v>0</v>
      </c>
      <c r="BH15" s="19">
        <f t="shared" si="13"/>
        <v>0</v>
      </c>
      <c r="BI15" s="19">
        <f t="shared" si="13"/>
        <v>0</v>
      </c>
      <c r="BJ15" s="19">
        <f t="shared" si="13"/>
        <v>0</v>
      </c>
      <c r="BK15" s="19">
        <f t="shared" si="13"/>
        <v>0</v>
      </c>
      <c r="BL15" s="19">
        <f t="shared" si="13"/>
        <v>0</v>
      </c>
      <c r="BM15" s="19">
        <f t="shared" si="13"/>
        <v>0</v>
      </c>
      <c r="BN15" s="19">
        <f t="shared" si="13"/>
        <v>0</v>
      </c>
      <c r="BY15" s="24"/>
      <c r="CD15" s="19">
        <f t="shared" ref="CD15:CD16" si="14">F15-BD15</f>
        <v>0</v>
      </c>
      <c r="CE15" s="19">
        <f t="shared" ref="CE15:CN16" si="15">H15-BE15</f>
        <v>0</v>
      </c>
      <c r="CF15" s="19">
        <f t="shared" si="15"/>
        <v>0</v>
      </c>
      <c r="CG15" s="19">
        <f t="shared" si="15"/>
        <v>0</v>
      </c>
      <c r="CH15" s="19">
        <f t="shared" si="15"/>
        <v>0</v>
      </c>
      <c r="CI15" s="19">
        <f t="shared" si="15"/>
        <v>0</v>
      </c>
      <c r="CJ15" s="19">
        <f t="shared" si="15"/>
        <v>0</v>
      </c>
      <c r="CK15" s="19">
        <f t="shared" si="15"/>
        <v>0</v>
      </c>
      <c r="CL15" s="19">
        <f t="shared" si="15"/>
        <v>0</v>
      </c>
      <c r="CM15" s="19">
        <f t="shared" si="15"/>
        <v>0</v>
      </c>
      <c r="CN15" s="19">
        <f t="shared" si="15"/>
        <v>0</v>
      </c>
      <c r="DD15" s="19">
        <f>IF($S15="yes",CD15,0)</f>
        <v>0</v>
      </c>
      <c r="DE15" s="19">
        <f t="shared" ref="DE15:DN16" si="16">IF($S15="yes",CE15,0)</f>
        <v>0</v>
      </c>
      <c r="DF15" s="19">
        <f t="shared" si="16"/>
        <v>0</v>
      </c>
      <c r="DG15" s="19">
        <f t="shared" si="16"/>
        <v>0</v>
      </c>
      <c r="DH15" s="19">
        <f t="shared" si="16"/>
        <v>0</v>
      </c>
      <c r="DI15" s="19">
        <f t="shared" si="16"/>
        <v>0</v>
      </c>
      <c r="DJ15" s="19">
        <f t="shared" si="16"/>
        <v>0</v>
      </c>
      <c r="DK15" s="19">
        <f t="shared" si="16"/>
        <v>0</v>
      </c>
      <c r="DL15" s="19">
        <f t="shared" si="16"/>
        <v>0</v>
      </c>
      <c r="DM15" s="19">
        <f t="shared" si="16"/>
        <v>0</v>
      </c>
      <c r="DN15" s="19">
        <f t="shared" si="16"/>
        <v>0</v>
      </c>
      <c r="DZ15" s="22" t="s">
        <v>2</v>
      </c>
      <c r="EA15" s="23" t="s">
        <v>1</v>
      </c>
      <c r="EB15" s="23" t="s">
        <v>1</v>
      </c>
      <c r="EC15" s="23" t="s">
        <v>1</v>
      </c>
    </row>
    <row r="16" spans="1:133" s="19" customFormat="1" x14ac:dyDescent="0.25">
      <c r="A16" s="19" t="str">
        <f>B16&amp;" - Gain"</f>
        <v>Joint Ventures &amp; Associated Entities - Gain</v>
      </c>
      <c r="B16" s="19" t="s">
        <v>24</v>
      </c>
      <c r="C16" s="40"/>
      <c r="D16" s="19">
        <v>0</v>
      </c>
      <c r="E16" s="40"/>
      <c r="F16" s="19">
        <v>0</v>
      </c>
      <c r="G16" s="40"/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S16" s="26" t="s">
        <v>14</v>
      </c>
      <c r="U16" s="19">
        <f t="shared" si="9"/>
        <v>0</v>
      </c>
      <c r="V16" s="19">
        <f t="shared" si="12"/>
        <v>0</v>
      </c>
      <c r="W16" s="19">
        <f t="shared" si="12"/>
        <v>0</v>
      </c>
      <c r="X16" s="19">
        <f t="shared" si="12"/>
        <v>0</v>
      </c>
      <c r="Y16" s="19">
        <f t="shared" si="12"/>
        <v>0</v>
      </c>
      <c r="Z16" s="19">
        <f t="shared" si="12"/>
        <v>0</v>
      </c>
      <c r="AA16" s="19">
        <f t="shared" si="12"/>
        <v>0</v>
      </c>
      <c r="AB16" s="19">
        <f t="shared" si="12"/>
        <v>0</v>
      </c>
      <c r="AC16" s="19">
        <f t="shared" si="12"/>
        <v>0</v>
      </c>
      <c r="AD16" s="19">
        <f t="shared" si="12"/>
        <v>0</v>
      </c>
      <c r="AE16" s="19">
        <f t="shared" si="12"/>
        <v>0</v>
      </c>
      <c r="AG16" s="44"/>
      <c r="AH16" s="45"/>
      <c r="AI16" s="45"/>
      <c r="AJ16" s="45"/>
      <c r="AK16" s="45"/>
      <c r="AL16" s="45"/>
      <c r="AM16" s="45"/>
      <c r="AN16" s="45"/>
      <c r="AO16" s="45"/>
      <c r="AP16" s="46"/>
      <c r="AQ16" s="30"/>
      <c r="BB16" s="24" t="s">
        <v>23</v>
      </c>
      <c r="BD16" s="19">
        <f>F16</f>
        <v>0</v>
      </c>
      <c r="BE16" s="19">
        <f>H16</f>
        <v>0</v>
      </c>
      <c r="BF16" s="19">
        <f t="shared" si="13"/>
        <v>0</v>
      </c>
      <c r="BG16" s="19">
        <f t="shared" si="13"/>
        <v>0</v>
      </c>
      <c r="BH16" s="19">
        <f t="shared" si="13"/>
        <v>0</v>
      </c>
      <c r="BI16" s="19">
        <f t="shared" si="13"/>
        <v>0</v>
      </c>
      <c r="BJ16" s="19">
        <f t="shared" si="13"/>
        <v>0</v>
      </c>
      <c r="BK16" s="19">
        <f t="shared" si="13"/>
        <v>0</v>
      </c>
      <c r="BL16" s="19">
        <f t="shared" si="13"/>
        <v>0</v>
      </c>
      <c r="BM16" s="19">
        <f t="shared" si="13"/>
        <v>0</v>
      </c>
      <c r="BN16" s="19">
        <f t="shared" si="13"/>
        <v>0</v>
      </c>
      <c r="BY16" s="24"/>
      <c r="CD16" s="19">
        <f t="shared" si="14"/>
        <v>0</v>
      </c>
      <c r="CE16" s="19">
        <f t="shared" si="15"/>
        <v>0</v>
      </c>
      <c r="CF16" s="19">
        <f t="shared" si="15"/>
        <v>0</v>
      </c>
      <c r="CG16" s="19">
        <f t="shared" si="15"/>
        <v>0</v>
      </c>
      <c r="CH16" s="19">
        <f t="shared" si="15"/>
        <v>0</v>
      </c>
      <c r="CI16" s="19">
        <f t="shared" si="15"/>
        <v>0</v>
      </c>
      <c r="CJ16" s="19">
        <f t="shared" si="15"/>
        <v>0</v>
      </c>
      <c r="CK16" s="19">
        <f t="shared" si="15"/>
        <v>0</v>
      </c>
      <c r="CL16" s="19">
        <f t="shared" si="15"/>
        <v>0</v>
      </c>
      <c r="CM16" s="19">
        <f t="shared" si="15"/>
        <v>0</v>
      </c>
      <c r="CN16" s="19">
        <f t="shared" si="15"/>
        <v>0</v>
      </c>
      <c r="DD16" s="19">
        <f>IF($S16="yes",CD16,0)</f>
        <v>0</v>
      </c>
      <c r="DE16" s="19">
        <f t="shared" si="16"/>
        <v>0</v>
      </c>
      <c r="DF16" s="19">
        <f t="shared" si="16"/>
        <v>0</v>
      </c>
      <c r="DG16" s="19">
        <f t="shared" si="16"/>
        <v>0</v>
      </c>
      <c r="DH16" s="19">
        <f t="shared" si="16"/>
        <v>0</v>
      </c>
      <c r="DI16" s="19">
        <f t="shared" si="16"/>
        <v>0</v>
      </c>
      <c r="DJ16" s="19">
        <f t="shared" si="16"/>
        <v>0</v>
      </c>
      <c r="DK16" s="19">
        <f t="shared" si="16"/>
        <v>0</v>
      </c>
      <c r="DL16" s="19">
        <f t="shared" si="16"/>
        <v>0</v>
      </c>
      <c r="DM16" s="19">
        <f t="shared" si="16"/>
        <v>0</v>
      </c>
      <c r="DN16" s="19">
        <f t="shared" si="16"/>
        <v>0</v>
      </c>
      <c r="DZ16" s="22" t="s">
        <v>2</v>
      </c>
      <c r="EA16" s="23" t="s">
        <v>1</v>
      </c>
      <c r="EB16" s="23" t="s">
        <v>1</v>
      </c>
      <c r="EC16" s="23" t="s">
        <v>1</v>
      </c>
    </row>
    <row r="17" spans="1:133" s="19" customFormat="1" x14ac:dyDescent="0.25">
      <c r="B17" s="25" t="s">
        <v>25</v>
      </c>
      <c r="C17" s="47"/>
      <c r="D17" s="48">
        <v>31606000</v>
      </c>
      <c r="E17" s="47"/>
      <c r="F17" s="48">
        <v>32098928.550000004</v>
      </c>
      <c r="G17" s="47"/>
      <c r="H17" s="48">
        <v>32114746.900000006</v>
      </c>
      <c r="I17" s="48">
        <v>34444560.019999996</v>
      </c>
      <c r="J17" s="48">
        <v>35411227.599999994</v>
      </c>
      <c r="K17" s="48">
        <v>36442727.330000006</v>
      </c>
      <c r="L17" s="48">
        <v>37549065.389999986</v>
      </c>
      <c r="M17" s="48">
        <v>38377583.979999997</v>
      </c>
      <c r="N17" s="48">
        <v>39225314.710000001</v>
      </c>
      <c r="O17" s="48">
        <v>40092717.420000002</v>
      </c>
      <c r="P17" s="48">
        <v>40980263.20000001</v>
      </c>
      <c r="Q17" s="48">
        <v>41888434.460000001</v>
      </c>
      <c r="S17" s="39"/>
      <c r="U17" s="19">
        <f>SUM(U8:U16)</f>
        <v>31763928.550000004</v>
      </c>
      <c r="V17" s="19">
        <f>SUM(V8:V16)</f>
        <v>32114746.900000006</v>
      </c>
      <c r="W17" s="19">
        <f t="shared" ref="W17:AE17" si="17">SUM(W8:W16)</f>
        <v>34444560.019999996</v>
      </c>
      <c r="X17" s="19">
        <f t="shared" si="17"/>
        <v>35411227.599999994</v>
      </c>
      <c r="Y17" s="19">
        <f t="shared" si="17"/>
        <v>36442727.330000006</v>
      </c>
      <c r="Z17" s="19">
        <f t="shared" si="17"/>
        <v>37549065.389999986</v>
      </c>
      <c r="AA17" s="19">
        <f t="shared" si="17"/>
        <v>38377583.979999997</v>
      </c>
      <c r="AB17" s="19">
        <f t="shared" si="17"/>
        <v>39225314.710000001</v>
      </c>
      <c r="AC17" s="19">
        <f t="shared" si="17"/>
        <v>40092717.420000002</v>
      </c>
      <c r="AD17" s="19">
        <f t="shared" si="17"/>
        <v>40980263.20000001</v>
      </c>
      <c r="AE17" s="19">
        <f t="shared" si="17"/>
        <v>41888434.460000001</v>
      </c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BD17" s="48">
        <f t="shared" ref="BD17:BN17" si="18">SUM(BD7:BD16)</f>
        <v>335000</v>
      </c>
      <c r="BE17" s="48">
        <f t="shared" si="18"/>
        <v>0</v>
      </c>
      <c r="BF17" s="48">
        <f t="shared" si="18"/>
        <v>0</v>
      </c>
      <c r="BG17" s="48">
        <f t="shared" si="18"/>
        <v>0</v>
      </c>
      <c r="BH17" s="48">
        <f t="shared" si="18"/>
        <v>0</v>
      </c>
      <c r="BI17" s="48">
        <f t="shared" si="18"/>
        <v>0</v>
      </c>
      <c r="BJ17" s="48">
        <f t="shared" si="18"/>
        <v>0</v>
      </c>
      <c r="BK17" s="48">
        <f t="shared" si="18"/>
        <v>0</v>
      </c>
      <c r="BL17" s="48">
        <f t="shared" si="18"/>
        <v>0</v>
      </c>
      <c r="BM17" s="48">
        <f t="shared" si="18"/>
        <v>0</v>
      </c>
      <c r="BN17" s="48">
        <f t="shared" si="18"/>
        <v>0</v>
      </c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CD17" s="48">
        <f t="shared" ref="CD17:CN17" si="19">SUM(CD7:CD16)</f>
        <v>31763928.550000004</v>
      </c>
      <c r="CE17" s="48">
        <f t="shared" si="19"/>
        <v>32114746.900000006</v>
      </c>
      <c r="CF17" s="48">
        <f t="shared" si="19"/>
        <v>34444560.019999996</v>
      </c>
      <c r="CG17" s="48">
        <f t="shared" si="19"/>
        <v>35411227.599999994</v>
      </c>
      <c r="CH17" s="48">
        <f t="shared" si="19"/>
        <v>36442727.330000006</v>
      </c>
      <c r="CI17" s="48">
        <f t="shared" si="19"/>
        <v>37549065.389999986</v>
      </c>
      <c r="CJ17" s="48">
        <f t="shared" si="19"/>
        <v>38377583.979999997</v>
      </c>
      <c r="CK17" s="48">
        <f t="shared" si="19"/>
        <v>39225314.710000001</v>
      </c>
      <c r="CL17" s="48">
        <f t="shared" si="19"/>
        <v>40092717.420000002</v>
      </c>
      <c r="CM17" s="48">
        <f t="shared" si="19"/>
        <v>40980263.20000001</v>
      </c>
      <c r="CN17" s="48">
        <f t="shared" si="19"/>
        <v>41888434.460000001</v>
      </c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DD17" s="48">
        <f t="shared" ref="DD17:DN17" si="20">SUM(DD7:DD16)</f>
        <v>31763928.550000004</v>
      </c>
      <c r="DE17" s="48">
        <f t="shared" si="20"/>
        <v>32114746.900000006</v>
      </c>
      <c r="DF17" s="48">
        <f t="shared" si="20"/>
        <v>34444560.019999996</v>
      </c>
      <c r="DG17" s="48">
        <f t="shared" si="20"/>
        <v>35411227.599999994</v>
      </c>
      <c r="DH17" s="48">
        <f t="shared" si="20"/>
        <v>36442727.330000006</v>
      </c>
      <c r="DI17" s="48">
        <f t="shared" si="20"/>
        <v>37549065.389999986</v>
      </c>
      <c r="DJ17" s="48">
        <f t="shared" si="20"/>
        <v>38377583.979999997</v>
      </c>
      <c r="DK17" s="48">
        <f t="shared" si="20"/>
        <v>39225314.710000001</v>
      </c>
      <c r="DL17" s="48">
        <f t="shared" si="20"/>
        <v>40092717.420000002</v>
      </c>
      <c r="DM17" s="48">
        <f t="shared" si="20"/>
        <v>40980263.20000001</v>
      </c>
      <c r="DN17" s="48">
        <f t="shared" si="20"/>
        <v>41888434.460000001</v>
      </c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Z17" s="22" t="s">
        <v>2</v>
      </c>
      <c r="EA17" s="23" t="s">
        <v>1</v>
      </c>
      <c r="EB17" s="23" t="s">
        <v>1</v>
      </c>
      <c r="EC17" s="23" t="s">
        <v>1</v>
      </c>
    </row>
    <row r="18" spans="1:133" s="19" customFormat="1" x14ac:dyDescent="0.25">
      <c r="C18" s="40"/>
      <c r="E18" s="40"/>
      <c r="G18" s="40"/>
      <c r="S18" s="39"/>
      <c r="DZ18" s="22" t="s">
        <v>2</v>
      </c>
      <c r="EA18" s="23" t="s">
        <v>1</v>
      </c>
      <c r="EB18" s="23" t="s">
        <v>1</v>
      </c>
      <c r="EC18" s="23" t="s">
        <v>1</v>
      </c>
    </row>
    <row r="19" spans="1:133" s="19" customFormat="1" x14ac:dyDescent="0.25">
      <c r="B19" s="20" t="s">
        <v>26</v>
      </c>
      <c r="C19" s="40"/>
      <c r="E19" s="40"/>
      <c r="G19" s="40"/>
      <c r="S19" s="39"/>
      <c r="AF19" s="25" t="s">
        <v>27</v>
      </c>
      <c r="AG19" s="25"/>
      <c r="BD19" s="25" t="s">
        <v>28</v>
      </c>
      <c r="CD19" s="25" t="s">
        <v>29</v>
      </c>
      <c r="DD19" s="25" t="s">
        <v>30</v>
      </c>
      <c r="DZ19" s="22" t="s">
        <v>2</v>
      </c>
      <c r="EA19" s="23" t="s">
        <v>1</v>
      </c>
      <c r="EB19" s="23" t="s">
        <v>1</v>
      </c>
      <c r="EC19" s="23" t="s">
        <v>1</v>
      </c>
    </row>
    <row r="20" spans="1:133" s="19" customFormat="1" x14ac:dyDescent="0.25">
      <c r="A20" s="19" t="str">
        <f t="shared" ref="A20:A27" si="21">B20</f>
        <v>Employee Benefits &amp; On-Costs</v>
      </c>
      <c r="B20" s="19" t="s">
        <v>31</v>
      </c>
      <c r="C20" s="40"/>
      <c r="D20" s="19">
        <v>12975000</v>
      </c>
      <c r="E20" s="40"/>
      <c r="F20" s="19">
        <v>11286231.749999991</v>
      </c>
      <c r="G20" s="40"/>
      <c r="H20" s="19">
        <v>11528907.519999994</v>
      </c>
      <c r="I20" s="19">
        <v>12539897.320000006</v>
      </c>
      <c r="J20" s="19">
        <v>12759705.609999985</v>
      </c>
      <c r="K20" s="19">
        <v>13078698.530000014</v>
      </c>
      <c r="L20" s="19">
        <v>13405665.999999991</v>
      </c>
      <c r="M20" s="19">
        <v>13740807.68</v>
      </c>
      <c r="N20" s="19">
        <v>14084328.060000008</v>
      </c>
      <c r="O20" s="19">
        <v>14436436.310000008</v>
      </c>
      <c r="P20" s="19">
        <v>14797347.330000026</v>
      </c>
      <c r="Q20" s="19">
        <v>15167281.010000004</v>
      </c>
      <c r="S20" s="26" t="s">
        <v>14</v>
      </c>
      <c r="AG20" s="44"/>
      <c r="AH20" s="45"/>
      <c r="AI20" s="45"/>
      <c r="AJ20" s="45"/>
      <c r="AK20" s="45"/>
      <c r="AL20" s="45"/>
      <c r="AM20" s="45"/>
      <c r="AN20" s="45"/>
      <c r="AO20" s="45"/>
      <c r="AP20" s="46"/>
      <c r="AQ20" s="30"/>
      <c r="BD20" s="19">
        <f>SUMIF('[1]Budget Summary 1'!$C:$C,$A20,'[1]Budget Summary 1'!BC:BC)</f>
        <v>0</v>
      </c>
      <c r="BE20" s="19">
        <f>SUMIF('[1]Budget Summary 1'!$C:$C,$A20,'[1]Budget Summary 1'!BD:BD)</f>
        <v>0</v>
      </c>
      <c r="BF20" s="19">
        <f>SUMIF('[1]Budget Summary 1'!$C:$C,$A20,'[1]Budget Summary 1'!BE:BE)</f>
        <v>0</v>
      </c>
      <c r="BG20" s="19">
        <f>SUMIF('[1]Budget Summary 1'!$C:$C,$A20,'[1]Budget Summary 1'!BF:BF)</f>
        <v>0</v>
      </c>
      <c r="BH20" s="19">
        <f>SUMIF('[1]Budget Summary 1'!$C:$C,$A20,'[1]Budget Summary 1'!BG:BG)</f>
        <v>0</v>
      </c>
      <c r="BI20" s="19">
        <f>SUMIF('[1]Budget Summary 1'!$C:$C,$A20,'[1]Budget Summary 1'!BH:BH)</f>
        <v>0</v>
      </c>
      <c r="BJ20" s="19">
        <f>SUMIF('[1]Budget Summary 1'!$C:$C,$A20,'[1]Budget Summary 1'!BI:BI)</f>
        <v>0</v>
      </c>
      <c r="BK20" s="19">
        <f>SUMIF('[1]Budget Summary 1'!$C:$C,$A20,'[1]Budget Summary 1'!BJ:BJ)</f>
        <v>0</v>
      </c>
      <c r="BL20" s="19">
        <f>SUMIF('[1]Budget Summary 1'!$C:$C,$A20,'[1]Budget Summary 1'!BK:BK)</f>
        <v>0</v>
      </c>
      <c r="BM20" s="19">
        <f>SUMIF('[1]Budget Summary 1'!$C:$C,$A20,'[1]Budget Summary 1'!BL:BL)</f>
        <v>0</v>
      </c>
      <c r="BN20" s="19">
        <f>SUMIF('[1]Budget Summary 1'!$C:$C,$A20,'[1]Budget Summary 1'!BM:BM)</f>
        <v>0</v>
      </c>
      <c r="BY20" s="24"/>
      <c r="CD20" s="19">
        <f t="shared" ref="CD20:CD28" si="22">F20-BD20</f>
        <v>11286231.749999991</v>
      </c>
      <c r="CE20" s="19">
        <f t="shared" ref="CE20:CN28" si="23">H20-BE20</f>
        <v>11528907.519999994</v>
      </c>
      <c r="CF20" s="19">
        <f t="shared" si="23"/>
        <v>12539897.320000006</v>
      </c>
      <c r="CG20" s="19">
        <f t="shared" si="23"/>
        <v>12759705.609999985</v>
      </c>
      <c r="CH20" s="19">
        <f t="shared" si="23"/>
        <v>13078698.530000014</v>
      </c>
      <c r="CI20" s="19">
        <f t="shared" si="23"/>
        <v>13405665.999999991</v>
      </c>
      <c r="CJ20" s="19">
        <f t="shared" si="23"/>
        <v>13740807.68</v>
      </c>
      <c r="CK20" s="19">
        <f t="shared" si="23"/>
        <v>14084328.060000008</v>
      </c>
      <c r="CL20" s="19">
        <f t="shared" si="23"/>
        <v>14436436.310000008</v>
      </c>
      <c r="CM20" s="19">
        <f t="shared" si="23"/>
        <v>14797347.330000026</v>
      </c>
      <c r="CN20" s="19">
        <f t="shared" si="23"/>
        <v>15167281.010000004</v>
      </c>
      <c r="DD20" s="19">
        <f>IF($S20="yes",CD20,0)</f>
        <v>11286231.749999991</v>
      </c>
      <c r="DE20" s="19">
        <f t="shared" ref="DE20:DN28" si="24">IF($S20="yes",CE20,0)</f>
        <v>11528907.519999994</v>
      </c>
      <c r="DF20" s="19">
        <f t="shared" si="24"/>
        <v>12539897.320000006</v>
      </c>
      <c r="DG20" s="19">
        <f t="shared" si="24"/>
        <v>12759705.609999985</v>
      </c>
      <c r="DH20" s="19">
        <f t="shared" si="24"/>
        <v>13078698.530000014</v>
      </c>
      <c r="DI20" s="19">
        <f t="shared" si="24"/>
        <v>13405665.999999991</v>
      </c>
      <c r="DJ20" s="19">
        <f t="shared" si="24"/>
        <v>13740807.68</v>
      </c>
      <c r="DK20" s="19">
        <f t="shared" si="24"/>
        <v>14084328.060000008</v>
      </c>
      <c r="DL20" s="19">
        <f t="shared" si="24"/>
        <v>14436436.310000008</v>
      </c>
      <c r="DM20" s="19">
        <f t="shared" si="24"/>
        <v>14797347.330000026</v>
      </c>
      <c r="DN20" s="19">
        <f t="shared" si="24"/>
        <v>15167281.010000004</v>
      </c>
      <c r="DZ20" s="22" t="s">
        <v>2</v>
      </c>
      <c r="EA20" s="23" t="s">
        <v>1</v>
      </c>
      <c r="EB20" s="23" t="s">
        <v>1</v>
      </c>
      <c r="EC20" s="23" t="s">
        <v>1</v>
      </c>
    </row>
    <row r="21" spans="1:133" s="19" customFormat="1" x14ac:dyDescent="0.25">
      <c r="A21" s="19" t="str">
        <f>B21</f>
        <v>Borrowing Costs</v>
      </c>
      <c r="B21" s="19" t="s">
        <v>32</v>
      </c>
      <c r="C21" s="40"/>
      <c r="D21" s="19">
        <v>171000</v>
      </c>
      <c r="E21" s="40"/>
      <c r="F21" s="34">
        <v>194156.12</v>
      </c>
      <c r="G21" s="40"/>
      <c r="H21" s="34">
        <v>155857.18</v>
      </c>
      <c r="I21" s="34">
        <v>125571.66</v>
      </c>
      <c r="J21" s="34">
        <v>95371.97</v>
      </c>
      <c r="K21" s="34">
        <v>66071.42</v>
      </c>
      <c r="L21" s="34">
        <v>43132.7</v>
      </c>
      <c r="M21" s="34">
        <v>17782.88</v>
      </c>
      <c r="N21" s="34">
        <v>9710.49</v>
      </c>
      <c r="O21" s="34">
        <v>9022.2999999999993</v>
      </c>
      <c r="P21" s="34">
        <v>8329.4699999999993</v>
      </c>
      <c r="Q21" s="34">
        <v>7563.6</v>
      </c>
      <c r="R21" s="50"/>
      <c r="S21" s="26" t="s">
        <v>14</v>
      </c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BD21" s="19">
        <f>SUMIF('[1]Budget Summary 1'!$C:$C,$A21,'[1]Budget Summary 1'!BC:BC)</f>
        <v>0</v>
      </c>
      <c r="BE21" s="19">
        <f>SUMIF('[1]Budget Summary 1'!$C:$C,$A21,'[1]Budget Summary 1'!BD:BD)</f>
        <v>0</v>
      </c>
      <c r="BF21" s="19">
        <f>SUMIF('[1]Budget Summary 1'!$C:$C,$A21,'[1]Budget Summary 1'!BE:BE)</f>
        <v>0</v>
      </c>
      <c r="BG21" s="19">
        <f>SUMIF('[1]Budget Summary 1'!$C:$C,$A21,'[1]Budget Summary 1'!BF:BF)</f>
        <v>0</v>
      </c>
      <c r="BH21" s="19">
        <f>SUMIF('[1]Budget Summary 1'!$C:$C,$A21,'[1]Budget Summary 1'!BG:BG)</f>
        <v>0</v>
      </c>
      <c r="BI21" s="19">
        <f>SUMIF('[1]Budget Summary 1'!$C:$C,$A21,'[1]Budget Summary 1'!BH:BH)</f>
        <v>0</v>
      </c>
      <c r="BJ21" s="19">
        <f>SUMIF('[1]Budget Summary 1'!$C:$C,$A21,'[1]Budget Summary 1'!BI:BI)</f>
        <v>0</v>
      </c>
      <c r="BK21" s="19">
        <f>SUMIF('[1]Budget Summary 1'!$C:$C,$A21,'[1]Budget Summary 1'!BJ:BJ)</f>
        <v>0</v>
      </c>
      <c r="BL21" s="19">
        <f>SUMIF('[1]Budget Summary 1'!$C:$C,$A21,'[1]Budget Summary 1'!BK:BK)</f>
        <v>0</v>
      </c>
      <c r="BM21" s="19">
        <f>SUMIF('[1]Budget Summary 1'!$C:$C,$A21,'[1]Budget Summary 1'!BL:BL)</f>
        <v>0</v>
      </c>
      <c r="BN21" s="19">
        <f>SUMIF('[1]Budget Summary 1'!$C:$C,$A21,'[1]Budget Summary 1'!BM:BM)</f>
        <v>0</v>
      </c>
      <c r="BY21" s="24"/>
      <c r="CD21" s="19">
        <f t="shared" si="22"/>
        <v>194156.12</v>
      </c>
      <c r="CE21" s="19">
        <f t="shared" si="23"/>
        <v>155857.18</v>
      </c>
      <c r="CF21" s="19">
        <f t="shared" si="23"/>
        <v>125571.66</v>
      </c>
      <c r="CG21" s="19">
        <f t="shared" si="23"/>
        <v>95371.97</v>
      </c>
      <c r="CH21" s="19">
        <f t="shared" si="23"/>
        <v>66071.42</v>
      </c>
      <c r="CI21" s="19">
        <f t="shared" si="23"/>
        <v>43132.7</v>
      </c>
      <c r="CJ21" s="19">
        <f t="shared" si="23"/>
        <v>17782.88</v>
      </c>
      <c r="CK21" s="19">
        <f t="shared" si="23"/>
        <v>9710.49</v>
      </c>
      <c r="CL21" s="19">
        <f t="shared" si="23"/>
        <v>9022.2999999999993</v>
      </c>
      <c r="CM21" s="19">
        <f t="shared" si="23"/>
        <v>8329.4699999999993</v>
      </c>
      <c r="CN21" s="19">
        <f t="shared" si="23"/>
        <v>7563.6</v>
      </c>
      <c r="DD21" s="19">
        <f t="shared" ref="DD21:DD28" si="25">IF($S21="yes",CD21,0)</f>
        <v>194156.12</v>
      </c>
      <c r="DE21" s="19">
        <f t="shared" si="24"/>
        <v>155857.18</v>
      </c>
      <c r="DF21" s="19">
        <f t="shared" si="24"/>
        <v>125571.66</v>
      </c>
      <c r="DG21" s="19">
        <f t="shared" si="24"/>
        <v>95371.97</v>
      </c>
      <c r="DH21" s="19">
        <f t="shared" si="24"/>
        <v>66071.42</v>
      </c>
      <c r="DI21" s="19">
        <f t="shared" si="24"/>
        <v>43132.7</v>
      </c>
      <c r="DJ21" s="19">
        <f t="shared" si="24"/>
        <v>17782.88</v>
      </c>
      <c r="DK21" s="19">
        <f t="shared" si="24"/>
        <v>9710.49</v>
      </c>
      <c r="DL21" s="19">
        <f t="shared" si="24"/>
        <v>9022.2999999999993</v>
      </c>
      <c r="DM21" s="19">
        <f t="shared" si="24"/>
        <v>8329.4699999999993</v>
      </c>
      <c r="DN21" s="19">
        <f t="shared" si="24"/>
        <v>7563.6</v>
      </c>
      <c r="DZ21" s="22" t="s">
        <v>2</v>
      </c>
      <c r="EA21" s="23" t="s">
        <v>1</v>
      </c>
      <c r="EB21" s="23" t="s">
        <v>1</v>
      </c>
      <c r="EC21" s="23" t="s">
        <v>1</v>
      </c>
    </row>
    <row r="22" spans="1:133" s="19" customFormat="1" x14ac:dyDescent="0.25">
      <c r="A22" s="19" t="str">
        <f t="shared" si="21"/>
        <v>Materials &amp; Contracts</v>
      </c>
      <c r="B22" s="19" t="s">
        <v>33</v>
      </c>
      <c r="C22" s="40"/>
      <c r="D22" s="19">
        <v>3730000</v>
      </c>
      <c r="E22" s="40"/>
      <c r="F22" s="19">
        <v>4112235.8099999982</v>
      </c>
      <c r="G22" s="40"/>
      <c r="H22" s="19">
        <v>4382256.1299999962</v>
      </c>
      <c r="I22" s="19">
        <v>4612429.5000000056</v>
      </c>
      <c r="J22" s="19">
        <v>4608804.6200000085</v>
      </c>
      <c r="K22" s="19">
        <v>4761440.3699999964</v>
      </c>
      <c r="L22" s="19">
        <v>4825311.9100000048</v>
      </c>
      <c r="M22" s="19">
        <v>4941468.9200000009</v>
      </c>
      <c r="N22" s="19">
        <v>5059961.3500000024</v>
      </c>
      <c r="O22" s="19">
        <v>5150840.4499999844</v>
      </c>
      <c r="P22" s="19">
        <v>5264159.0499999877</v>
      </c>
      <c r="Q22" s="19">
        <v>5379970.3200000003</v>
      </c>
      <c r="S22" s="26" t="s">
        <v>14</v>
      </c>
      <c r="AQ22" s="24"/>
      <c r="BD22" s="19">
        <f>SUMIF('[1]Budget Summary 1'!$C:$C,$A22,'[1]Budget Summary 1'!BC:BC)</f>
        <v>0</v>
      </c>
      <c r="BE22" s="19">
        <f>SUMIF('[1]Budget Summary 1'!$C:$C,$A22,'[1]Budget Summary 1'!BD:BD)</f>
        <v>0</v>
      </c>
      <c r="BF22" s="19">
        <f>SUMIF('[1]Budget Summary 1'!$C:$C,$A22,'[1]Budget Summary 1'!BE:BE)</f>
        <v>0</v>
      </c>
      <c r="BG22" s="19">
        <f>SUMIF('[1]Budget Summary 1'!$C:$C,$A22,'[1]Budget Summary 1'!BF:BF)</f>
        <v>0</v>
      </c>
      <c r="BH22" s="19">
        <f>SUMIF('[1]Budget Summary 1'!$C:$C,$A22,'[1]Budget Summary 1'!BG:BG)</f>
        <v>0</v>
      </c>
      <c r="BI22" s="19">
        <f>SUMIF('[1]Budget Summary 1'!$C:$C,$A22,'[1]Budget Summary 1'!BH:BH)</f>
        <v>0</v>
      </c>
      <c r="BJ22" s="19">
        <f>SUMIF('[1]Budget Summary 1'!$C:$C,$A22,'[1]Budget Summary 1'!BI:BI)</f>
        <v>0</v>
      </c>
      <c r="BK22" s="19">
        <f>SUMIF('[1]Budget Summary 1'!$C:$C,$A22,'[1]Budget Summary 1'!BJ:BJ)</f>
        <v>0</v>
      </c>
      <c r="BL22" s="19">
        <f>SUMIF('[1]Budget Summary 1'!$C:$C,$A22,'[1]Budget Summary 1'!BK:BK)</f>
        <v>0</v>
      </c>
      <c r="BM22" s="19">
        <f>SUMIF('[1]Budget Summary 1'!$C:$C,$A22,'[1]Budget Summary 1'!BL:BL)</f>
        <v>0</v>
      </c>
      <c r="BN22" s="19">
        <f>SUMIF('[1]Budget Summary 1'!$C:$C,$A22,'[1]Budget Summary 1'!BM:BM)</f>
        <v>0</v>
      </c>
      <c r="BY22" s="24"/>
      <c r="CD22" s="19">
        <f t="shared" si="22"/>
        <v>4112235.8099999982</v>
      </c>
      <c r="CE22" s="19">
        <f t="shared" si="23"/>
        <v>4382256.1299999962</v>
      </c>
      <c r="CF22" s="19">
        <f t="shared" si="23"/>
        <v>4612429.5000000056</v>
      </c>
      <c r="CG22" s="19">
        <f t="shared" si="23"/>
        <v>4608804.6200000085</v>
      </c>
      <c r="CH22" s="19">
        <f t="shared" si="23"/>
        <v>4761440.3699999964</v>
      </c>
      <c r="CI22" s="19">
        <f t="shared" si="23"/>
        <v>4825311.9100000048</v>
      </c>
      <c r="CJ22" s="19">
        <f t="shared" si="23"/>
        <v>4941468.9200000009</v>
      </c>
      <c r="CK22" s="19">
        <f t="shared" si="23"/>
        <v>5059961.3500000024</v>
      </c>
      <c r="CL22" s="19">
        <f t="shared" si="23"/>
        <v>5150840.4499999844</v>
      </c>
      <c r="CM22" s="19">
        <f t="shared" si="23"/>
        <v>5264159.0499999877</v>
      </c>
      <c r="CN22" s="19">
        <f t="shared" si="23"/>
        <v>5379970.3200000003</v>
      </c>
      <c r="DD22" s="19">
        <f t="shared" si="25"/>
        <v>4112235.8099999982</v>
      </c>
      <c r="DE22" s="19">
        <f t="shared" si="24"/>
        <v>4382256.1299999962</v>
      </c>
      <c r="DF22" s="19">
        <f t="shared" si="24"/>
        <v>4612429.5000000056</v>
      </c>
      <c r="DG22" s="19">
        <f t="shared" si="24"/>
        <v>4608804.6200000085</v>
      </c>
      <c r="DH22" s="19">
        <f t="shared" si="24"/>
        <v>4761440.3699999964</v>
      </c>
      <c r="DI22" s="19">
        <f t="shared" si="24"/>
        <v>4825311.9100000048</v>
      </c>
      <c r="DJ22" s="19">
        <f t="shared" si="24"/>
        <v>4941468.9200000009</v>
      </c>
      <c r="DK22" s="19">
        <f t="shared" si="24"/>
        <v>5059961.3500000024</v>
      </c>
      <c r="DL22" s="19">
        <f t="shared" si="24"/>
        <v>5150840.4499999844</v>
      </c>
      <c r="DM22" s="19">
        <f t="shared" si="24"/>
        <v>5264159.0499999877</v>
      </c>
      <c r="DN22" s="19">
        <f t="shared" si="24"/>
        <v>5379970.3200000003</v>
      </c>
      <c r="DZ22" s="22" t="s">
        <v>2</v>
      </c>
      <c r="EA22" s="23" t="s">
        <v>1</v>
      </c>
      <c r="EB22" s="23" t="s">
        <v>1</v>
      </c>
      <c r="EC22" s="23" t="s">
        <v>1</v>
      </c>
    </row>
    <row r="23" spans="1:133" s="19" customFormat="1" x14ac:dyDescent="0.25">
      <c r="A23" s="19" t="str">
        <f t="shared" si="21"/>
        <v>Depreciation &amp; Amortisation</v>
      </c>
      <c r="B23" s="19" t="s">
        <v>34</v>
      </c>
      <c r="C23" s="40"/>
      <c r="D23" s="19">
        <v>8544000</v>
      </c>
      <c r="E23" s="40"/>
      <c r="F23" s="19">
        <v>8363957.8600000013</v>
      </c>
      <c r="G23" s="40"/>
      <c r="H23" s="19">
        <v>8616618.8282974735</v>
      </c>
      <c r="I23" s="19">
        <v>8881002.7246083785</v>
      </c>
      <c r="J23" s="19">
        <v>9091076.9077750873</v>
      </c>
      <c r="K23" s="19">
        <v>9317436.812024314</v>
      </c>
      <c r="L23" s="19">
        <v>9558634.9540841095</v>
      </c>
      <c r="M23" s="19">
        <v>9818131.5440672357</v>
      </c>
      <c r="N23" s="19">
        <v>10062425.193559838</v>
      </c>
      <c r="O23" s="19">
        <v>10314336.82688255</v>
      </c>
      <c r="P23" s="19">
        <v>10569549.220801018</v>
      </c>
      <c r="Q23" s="19">
        <v>10689948.080667615</v>
      </c>
      <c r="S23" s="26" t="s">
        <v>14</v>
      </c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24"/>
      <c r="BD23" s="19">
        <f>SUMIF('[1]Budget Summary 1'!$C:$C,$A23,'[1]Budget Summary 1'!BC:BC)</f>
        <v>8363957.8600000013</v>
      </c>
      <c r="BE23" s="19">
        <f>SUMIF('[1]Budget Summary 1'!$C:$C,$A23,'[1]Budget Summary 1'!BD:BD)</f>
        <v>8514509.0999999978</v>
      </c>
      <c r="BF23" s="19">
        <f>SUMIF('[1]Budget Summary 1'!$C:$C,$A23,'[1]Budget Summary 1'!BE:BE)</f>
        <v>8701828.290000001</v>
      </c>
      <c r="BG23" s="19">
        <f>SUMIF('[1]Budget Summary 1'!$C:$C,$A23,'[1]Budget Summary 1'!BF:BF)</f>
        <v>8893268.5199999977</v>
      </c>
      <c r="BH23" s="19">
        <f>SUMIF('[1]Budget Summary 1'!$C:$C,$A23,'[1]Budget Summary 1'!BG:BG)</f>
        <v>9088920.4299999997</v>
      </c>
      <c r="BI23" s="19">
        <f>SUMIF('[1]Budget Summary 1'!$C:$C,$A23,'[1]Budget Summary 1'!BH:BH)</f>
        <v>9288876.6900000013</v>
      </c>
      <c r="BJ23" s="19">
        <f>SUMIF('[1]Budget Summary 1'!$C:$C,$A23,'[1]Budget Summary 1'!BI:BI)</f>
        <v>9493231.9900000002</v>
      </c>
      <c r="BK23" s="19">
        <f>SUMIF('[1]Budget Summary 1'!$C:$C,$A23,'[1]Budget Summary 1'!BJ:BJ)</f>
        <v>9702083.1000000015</v>
      </c>
      <c r="BL23" s="19">
        <f>SUMIF('[1]Budget Summary 1'!$C:$C,$A23,'[1]Budget Summary 1'!BK:BK)</f>
        <v>9915528.9299999997</v>
      </c>
      <c r="BM23" s="19">
        <f>SUMIF('[1]Budget Summary 1'!$C:$C,$A23,'[1]Budget Summary 1'!BL:BL)</f>
        <v>10129670.57</v>
      </c>
      <c r="BN23" s="19">
        <f>SUMIF('[1]Budget Summary 1'!$C:$C,$A23,'[1]Budget Summary 1'!BM:BM)</f>
        <v>10208523.32</v>
      </c>
      <c r="BY23" s="24"/>
      <c r="CD23" s="19">
        <f t="shared" si="22"/>
        <v>0</v>
      </c>
      <c r="CE23" s="19">
        <f t="shared" si="23"/>
        <v>102109.72829747573</v>
      </c>
      <c r="CF23" s="19">
        <f t="shared" si="23"/>
        <v>179174.43460837752</v>
      </c>
      <c r="CG23" s="19">
        <f t="shared" si="23"/>
        <v>197808.38777508959</v>
      </c>
      <c r="CH23" s="19">
        <f t="shared" si="23"/>
        <v>228516.38202431425</v>
      </c>
      <c r="CI23" s="19">
        <f t="shared" si="23"/>
        <v>269758.26408410817</v>
      </c>
      <c r="CJ23" s="19">
        <f t="shared" si="23"/>
        <v>324899.55406723544</v>
      </c>
      <c r="CK23" s="19">
        <f t="shared" si="23"/>
        <v>360342.09355983697</v>
      </c>
      <c r="CL23" s="19">
        <f t="shared" si="23"/>
        <v>398807.89688255079</v>
      </c>
      <c r="CM23" s="19">
        <f t="shared" si="23"/>
        <v>439878.65080101788</v>
      </c>
      <c r="CN23" s="19">
        <f t="shared" si="23"/>
        <v>481424.76066761464</v>
      </c>
      <c r="DD23" s="19">
        <f t="shared" si="25"/>
        <v>0</v>
      </c>
      <c r="DE23" s="19">
        <f t="shared" si="24"/>
        <v>102109.72829747573</v>
      </c>
      <c r="DF23" s="19">
        <f t="shared" si="24"/>
        <v>179174.43460837752</v>
      </c>
      <c r="DG23" s="19">
        <f t="shared" si="24"/>
        <v>197808.38777508959</v>
      </c>
      <c r="DH23" s="19">
        <f t="shared" si="24"/>
        <v>228516.38202431425</v>
      </c>
      <c r="DI23" s="19">
        <f t="shared" si="24"/>
        <v>269758.26408410817</v>
      </c>
      <c r="DJ23" s="19">
        <f t="shared" si="24"/>
        <v>324899.55406723544</v>
      </c>
      <c r="DK23" s="19">
        <f t="shared" si="24"/>
        <v>360342.09355983697</v>
      </c>
      <c r="DL23" s="19">
        <f t="shared" si="24"/>
        <v>398807.89688255079</v>
      </c>
      <c r="DM23" s="19">
        <f t="shared" si="24"/>
        <v>439878.65080101788</v>
      </c>
      <c r="DN23" s="19">
        <f t="shared" si="24"/>
        <v>481424.76066761464</v>
      </c>
      <c r="DZ23" s="22" t="s">
        <v>2</v>
      </c>
      <c r="EA23" s="23" t="s">
        <v>1</v>
      </c>
      <c r="EB23" s="23" t="s">
        <v>1</v>
      </c>
      <c r="EC23" s="23" t="s">
        <v>1</v>
      </c>
    </row>
    <row r="24" spans="1:133" s="19" customFormat="1" x14ac:dyDescent="0.25">
      <c r="A24" s="19" t="str">
        <f t="shared" si="21"/>
        <v>Impairment</v>
      </c>
      <c r="B24" s="19" t="s">
        <v>35</v>
      </c>
      <c r="C24" s="40"/>
      <c r="D24" s="19">
        <v>0</v>
      </c>
      <c r="E24" s="40"/>
      <c r="F24" s="19">
        <v>0</v>
      </c>
      <c r="G24" s="40"/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S24" s="26" t="s">
        <v>14</v>
      </c>
      <c r="AG24" s="44"/>
      <c r="AH24" s="45"/>
      <c r="AI24" s="45"/>
      <c r="AJ24" s="45"/>
      <c r="AK24" s="45"/>
      <c r="AL24" s="45"/>
      <c r="AM24" s="45"/>
      <c r="AN24" s="45"/>
      <c r="AO24" s="45"/>
      <c r="AP24" s="46"/>
      <c r="AQ24" s="30"/>
      <c r="BD24" s="19">
        <f>SUMIF('[1]Budget Summary 1'!$C:$C,$A24,'[1]Budget Summary 1'!BC:BC)</f>
        <v>0</v>
      </c>
      <c r="BE24" s="19">
        <f>SUMIF('[1]Budget Summary 1'!$C:$C,$A24,'[1]Budget Summary 1'!BD:BD)</f>
        <v>0</v>
      </c>
      <c r="BF24" s="19">
        <f>SUMIF('[1]Budget Summary 1'!$C:$C,$A24,'[1]Budget Summary 1'!BE:BE)</f>
        <v>0</v>
      </c>
      <c r="BG24" s="19">
        <f>SUMIF('[1]Budget Summary 1'!$C:$C,$A24,'[1]Budget Summary 1'!BF:BF)</f>
        <v>0</v>
      </c>
      <c r="BH24" s="19">
        <f>SUMIF('[1]Budget Summary 1'!$C:$C,$A24,'[1]Budget Summary 1'!BG:BG)</f>
        <v>0</v>
      </c>
      <c r="BI24" s="19">
        <f>SUMIF('[1]Budget Summary 1'!$C:$C,$A24,'[1]Budget Summary 1'!BH:BH)</f>
        <v>0</v>
      </c>
      <c r="BJ24" s="19">
        <f>SUMIF('[1]Budget Summary 1'!$C:$C,$A24,'[1]Budget Summary 1'!BI:BI)</f>
        <v>0</v>
      </c>
      <c r="BK24" s="19">
        <f>SUMIF('[1]Budget Summary 1'!$C:$C,$A24,'[1]Budget Summary 1'!BJ:BJ)</f>
        <v>0</v>
      </c>
      <c r="BL24" s="19">
        <f>SUMIF('[1]Budget Summary 1'!$C:$C,$A24,'[1]Budget Summary 1'!BK:BK)</f>
        <v>0</v>
      </c>
      <c r="BM24" s="19">
        <f>SUMIF('[1]Budget Summary 1'!$C:$C,$A24,'[1]Budget Summary 1'!BL:BL)</f>
        <v>0</v>
      </c>
      <c r="BN24" s="19">
        <f>SUMIF('[1]Budget Summary 1'!$C:$C,$A24,'[1]Budget Summary 1'!BM:BM)</f>
        <v>0</v>
      </c>
      <c r="BY24" s="24"/>
      <c r="CD24" s="19">
        <f t="shared" si="22"/>
        <v>0</v>
      </c>
      <c r="CE24" s="19">
        <f t="shared" si="23"/>
        <v>0</v>
      </c>
      <c r="CF24" s="19">
        <f t="shared" si="23"/>
        <v>0</v>
      </c>
      <c r="CG24" s="19">
        <f t="shared" si="23"/>
        <v>0</v>
      </c>
      <c r="CH24" s="19">
        <f t="shared" si="23"/>
        <v>0</v>
      </c>
      <c r="CI24" s="19">
        <f t="shared" si="23"/>
        <v>0</v>
      </c>
      <c r="CJ24" s="19">
        <f t="shared" si="23"/>
        <v>0</v>
      </c>
      <c r="CK24" s="19">
        <f t="shared" si="23"/>
        <v>0</v>
      </c>
      <c r="CL24" s="19">
        <f t="shared" si="23"/>
        <v>0</v>
      </c>
      <c r="CM24" s="19">
        <f t="shared" si="23"/>
        <v>0</v>
      </c>
      <c r="CN24" s="19">
        <f t="shared" si="23"/>
        <v>0</v>
      </c>
      <c r="DD24" s="19">
        <f t="shared" si="25"/>
        <v>0</v>
      </c>
      <c r="DE24" s="19">
        <f t="shared" si="24"/>
        <v>0</v>
      </c>
      <c r="DF24" s="19">
        <f t="shared" si="24"/>
        <v>0</v>
      </c>
      <c r="DG24" s="19">
        <f t="shared" si="24"/>
        <v>0</v>
      </c>
      <c r="DH24" s="19">
        <f t="shared" si="24"/>
        <v>0</v>
      </c>
      <c r="DI24" s="19">
        <f t="shared" si="24"/>
        <v>0</v>
      </c>
      <c r="DJ24" s="19">
        <f t="shared" si="24"/>
        <v>0</v>
      </c>
      <c r="DK24" s="19">
        <f t="shared" si="24"/>
        <v>0</v>
      </c>
      <c r="DL24" s="19">
        <f t="shared" si="24"/>
        <v>0</v>
      </c>
      <c r="DM24" s="19">
        <f t="shared" si="24"/>
        <v>0</v>
      </c>
      <c r="DN24" s="19">
        <f t="shared" si="24"/>
        <v>0</v>
      </c>
      <c r="DZ24" s="22" t="s">
        <v>2</v>
      </c>
      <c r="EA24" s="23" t="s">
        <v>1</v>
      </c>
      <c r="EB24" s="23" t="s">
        <v>1</v>
      </c>
      <c r="EC24" s="23" t="s">
        <v>1</v>
      </c>
    </row>
    <row r="25" spans="1:133" s="19" customFormat="1" x14ac:dyDescent="0.25">
      <c r="A25" s="19" t="str">
        <f t="shared" si="21"/>
        <v>Other Expenses</v>
      </c>
      <c r="B25" s="19" t="s">
        <v>36</v>
      </c>
      <c r="C25" s="40"/>
      <c r="D25" s="19">
        <v>4442000</v>
      </c>
      <c r="E25" s="40"/>
      <c r="F25" s="19">
        <v>4550813.38</v>
      </c>
      <c r="G25" s="40"/>
      <c r="H25" s="19">
        <v>4548129.05</v>
      </c>
      <c r="I25" s="19">
        <v>4812315.4400000004</v>
      </c>
      <c r="J25" s="19">
        <v>4802769.8300000019</v>
      </c>
      <c r="K25" s="19">
        <v>4899167.459999999</v>
      </c>
      <c r="L25" s="19">
        <v>5006949.1600000011</v>
      </c>
      <c r="M25" s="19">
        <v>5257102.0099999988</v>
      </c>
      <c r="N25" s="19">
        <v>5229678.129999998</v>
      </c>
      <c r="O25" s="19">
        <v>5344730.96</v>
      </c>
      <c r="P25" s="19">
        <v>5462315.0299999993</v>
      </c>
      <c r="Q25" s="19">
        <v>5722485.9400000013</v>
      </c>
      <c r="S25" s="26" t="s">
        <v>14</v>
      </c>
      <c r="AQ25" s="24"/>
      <c r="BD25" s="19">
        <f>SUMIF('[1]Budget Summary 1'!$C:$C,$A25,'[1]Budget Summary 1'!BC:BC)</f>
        <v>0</v>
      </c>
      <c r="BE25" s="19">
        <f>SUMIF('[1]Budget Summary 1'!$C:$C,$A25,'[1]Budget Summary 1'!BD:BD)</f>
        <v>0</v>
      </c>
      <c r="BF25" s="19">
        <f>SUMIF('[1]Budget Summary 1'!$C:$C,$A25,'[1]Budget Summary 1'!BE:BE)</f>
        <v>0</v>
      </c>
      <c r="BG25" s="19">
        <f>SUMIF('[1]Budget Summary 1'!$C:$C,$A25,'[1]Budget Summary 1'!BF:BF)</f>
        <v>0</v>
      </c>
      <c r="BH25" s="19">
        <f>SUMIF('[1]Budget Summary 1'!$C:$C,$A25,'[1]Budget Summary 1'!BG:BG)</f>
        <v>0</v>
      </c>
      <c r="BI25" s="19">
        <f>SUMIF('[1]Budget Summary 1'!$C:$C,$A25,'[1]Budget Summary 1'!BH:BH)</f>
        <v>0</v>
      </c>
      <c r="BJ25" s="19">
        <f>SUMIF('[1]Budget Summary 1'!$C:$C,$A25,'[1]Budget Summary 1'!BI:BI)</f>
        <v>0</v>
      </c>
      <c r="BK25" s="19">
        <f>SUMIF('[1]Budget Summary 1'!$C:$C,$A25,'[1]Budget Summary 1'!BJ:BJ)</f>
        <v>0</v>
      </c>
      <c r="BL25" s="19">
        <f>SUMIF('[1]Budget Summary 1'!$C:$C,$A25,'[1]Budget Summary 1'!BK:BK)</f>
        <v>0</v>
      </c>
      <c r="BM25" s="19">
        <f>SUMIF('[1]Budget Summary 1'!$C:$C,$A25,'[1]Budget Summary 1'!BL:BL)</f>
        <v>0</v>
      </c>
      <c r="BN25" s="19">
        <f>SUMIF('[1]Budget Summary 1'!$C:$C,$A25,'[1]Budget Summary 1'!BM:BM)</f>
        <v>0</v>
      </c>
      <c r="BY25" s="24"/>
      <c r="CD25" s="19">
        <f t="shared" si="22"/>
        <v>4550813.38</v>
      </c>
      <c r="CE25" s="19">
        <f t="shared" si="23"/>
        <v>4548129.05</v>
      </c>
      <c r="CF25" s="19">
        <f t="shared" si="23"/>
        <v>4812315.4400000004</v>
      </c>
      <c r="CG25" s="19">
        <f t="shared" si="23"/>
        <v>4802769.8300000019</v>
      </c>
      <c r="CH25" s="19">
        <f t="shared" si="23"/>
        <v>4899167.459999999</v>
      </c>
      <c r="CI25" s="19">
        <f t="shared" si="23"/>
        <v>5006949.1600000011</v>
      </c>
      <c r="CJ25" s="19">
        <f t="shared" si="23"/>
        <v>5257102.0099999988</v>
      </c>
      <c r="CK25" s="19">
        <f t="shared" si="23"/>
        <v>5229678.129999998</v>
      </c>
      <c r="CL25" s="19">
        <f t="shared" si="23"/>
        <v>5344730.96</v>
      </c>
      <c r="CM25" s="19">
        <f t="shared" si="23"/>
        <v>5462315.0299999993</v>
      </c>
      <c r="CN25" s="19">
        <f t="shared" si="23"/>
        <v>5722485.9400000013</v>
      </c>
      <c r="DD25" s="19">
        <f t="shared" si="25"/>
        <v>4550813.38</v>
      </c>
      <c r="DE25" s="19">
        <f t="shared" si="24"/>
        <v>4548129.05</v>
      </c>
      <c r="DF25" s="19">
        <f t="shared" si="24"/>
        <v>4812315.4400000004</v>
      </c>
      <c r="DG25" s="19">
        <f t="shared" si="24"/>
        <v>4802769.8300000019</v>
      </c>
      <c r="DH25" s="19">
        <f t="shared" si="24"/>
        <v>4899167.459999999</v>
      </c>
      <c r="DI25" s="19">
        <f t="shared" si="24"/>
        <v>5006949.1600000011</v>
      </c>
      <c r="DJ25" s="19">
        <f t="shared" si="24"/>
        <v>5257102.0099999988</v>
      </c>
      <c r="DK25" s="19">
        <f t="shared" si="24"/>
        <v>5229678.129999998</v>
      </c>
      <c r="DL25" s="19">
        <f t="shared" si="24"/>
        <v>5344730.96</v>
      </c>
      <c r="DM25" s="19">
        <f t="shared" si="24"/>
        <v>5462315.0299999993</v>
      </c>
      <c r="DN25" s="19">
        <f t="shared" si="24"/>
        <v>5722485.9400000013</v>
      </c>
      <c r="DZ25" s="22" t="s">
        <v>2</v>
      </c>
      <c r="EA25" s="23" t="s">
        <v>1</v>
      </c>
      <c r="EB25" s="23" t="s">
        <v>1</v>
      </c>
      <c r="EC25" s="23" t="s">
        <v>1</v>
      </c>
    </row>
    <row r="26" spans="1:133" s="19" customFormat="1" x14ac:dyDescent="0.25">
      <c r="A26" s="19" t="str">
        <f t="shared" si="21"/>
        <v>Interest &amp; Investment Losses</v>
      </c>
      <c r="B26" s="19" t="s">
        <v>37</v>
      </c>
      <c r="C26" s="40"/>
      <c r="D26" s="19">
        <v>0</v>
      </c>
      <c r="E26" s="40"/>
      <c r="F26" s="34">
        <v>0</v>
      </c>
      <c r="G26" s="40"/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S26" s="26" t="s">
        <v>14</v>
      </c>
      <c r="AQ26" s="24"/>
      <c r="BD26" s="19">
        <f>SUMIF('[1]Budget Summary 1'!$C:$C,$A26,'[1]Budget Summary 1'!BC:BC)</f>
        <v>0</v>
      </c>
      <c r="BE26" s="19">
        <f>SUMIF('[1]Budget Summary 1'!$C:$C,$A26,'[1]Budget Summary 1'!BD:BD)</f>
        <v>0</v>
      </c>
      <c r="BF26" s="19">
        <f>SUMIF('[1]Budget Summary 1'!$C:$C,$A26,'[1]Budget Summary 1'!BE:BE)</f>
        <v>0</v>
      </c>
      <c r="BG26" s="19">
        <f>SUMIF('[1]Budget Summary 1'!$C:$C,$A26,'[1]Budget Summary 1'!BF:BF)</f>
        <v>0</v>
      </c>
      <c r="BH26" s="19">
        <f>SUMIF('[1]Budget Summary 1'!$C:$C,$A26,'[1]Budget Summary 1'!BG:BG)</f>
        <v>0</v>
      </c>
      <c r="BI26" s="19">
        <f>SUMIF('[1]Budget Summary 1'!$C:$C,$A26,'[1]Budget Summary 1'!BH:BH)</f>
        <v>0</v>
      </c>
      <c r="BJ26" s="19">
        <f>SUMIF('[1]Budget Summary 1'!$C:$C,$A26,'[1]Budget Summary 1'!BI:BI)</f>
        <v>0</v>
      </c>
      <c r="BK26" s="19">
        <f>SUMIF('[1]Budget Summary 1'!$C:$C,$A26,'[1]Budget Summary 1'!BJ:BJ)</f>
        <v>0</v>
      </c>
      <c r="BL26" s="19">
        <f>SUMIF('[1]Budget Summary 1'!$C:$C,$A26,'[1]Budget Summary 1'!BK:BK)</f>
        <v>0</v>
      </c>
      <c r="BM26" s="19">
        <f>SUMIF('[1]Budget Summary 1'!$C:$C,$A26,'[1]Budget Summary 1'!BL:BL)</f>
        <v>0</v>
      </c>
      <c r="BN26" s="19">
        <f>SUMIF('[1]Budget Summary 1'!$C:$C,$A26,'[1]Budget Summary 1'!BM:BM)</f>
        <v>0</v>
      </c>
      <c r="BY26" s="24"/>
      <c r="CD26" s="19">
        <f t="shared" si="22"/>
        <v>0</v>
      </c>
      <c r="CE26" s="19">
        <f t="shared" si="23"/>
        <v>0</v>
      </c>
      <c r="CF26" s="19">
        <f t="shared" si="23"/>
        <v>0</v>
      </c>
      <c r="CG26" s="19">
        <f t="shared" si="23"/>
        <v>0</v>
      </c>
      <c r="CH26" s="19">
        <f t="shared" si="23"/>
        <v>0</v>
      </c>
      <c r="CI26" s="19">
        <f t="shared" si="23"/>
        <v>0</v>
      </c>
      <c r="CJ26" s="19">
        <f t="shared" si="23"/>
        <v>0</v>
      </c>
      <c r="CK26" s="19">
        <f t="shared" si="23"/>
        <v>0</v>
      </c>
      <c r="CL26" s="19">
        <f t="shared" si="23"/>
        <v>0</v>
      </c>
      <c r="CM26" s="19">
        <f t="shared" si="23"/>
        <v>0</v>
      </c>
      <c r="CN26" s="19">
        <f t="shared" si="23"/>
        <v>0</v>
      </c>
      <c r="DD26" s="19">
        <f t="shared" si="25"/>
        <v>0</v>
      </c>
      <c r="DE26" s="19">
        <f t="shared" si="24"/>
        <v>0</v>
      </c>
      <c r="DF26" s="19">
        <f t="shared" si="24"/>
        <v>0</v>
      </c>
      <c r="DG26" s="19">
        <f t="shared" si="24"/>
        <v>0</v>
      </c>
      <c r="DH26" s="19">
        <f t="shared" si="24"/>
        <v>0</v>
      </c>
      <c r="DI26" s="19">
        <f t="shared" si="24"/>
        <v>0</v>
      </c>
      <c r="DJ26" s="19">
        <f t="shared" si="24"/>
        <v>0</v>
      </c>
      <c r="DK26" s="19">
        <f t="shared" si="24"/>
        <v>0</v>
      </c>
      <c r="DL26" s="19">
        <f t="shared" si="24"/>
        <v>0</v>
      </c>
      <c r="DM26" s="19">
        <f t="shared" si="24"/>
        <v>0</v>
      </c>
      <c r="DN26" s="19">
        <f t="shared" si="24"/>
        <v>0</v>
      </c>
      <c r="DZ26" s="22" t="s">
        <v>2</v>
      </c>
      <c r="EA26" s="23" t="s">
        <v>1</v>
      </c>
      <c r="EB26" s="23" t="s">
        <v>1</v>
      </c>
      <c r="EC26" s="23" t="s">
        <v>1</v>
      </c>
    </row>
    <row r="27" spans="1:133" s="19" customFormat="1" x14ac:dyDescent="0.25">
      <c r="A27" s="19" t="str">
        <f t="shared" si="21"/>
        <v>Net Losses from the Disposal of Assets</v>
      </c>
      <c r="B27" s="19" t="s">
        <v>38</v>
      </c>
      <c r="C27" s="40"/>
      <c r="D27" s="19">
        <v>866000</v>
      </c>
      <c r="E27" s="40"/>
      <c r="F27" s="34">
        <v>0</v>
      </c>
      <c r="G27" s="40"/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S27" s="26" t="s">
        <v>14</v>
      </c>
      <c r="AG27" s="51"/>
      <c r="AH27" s="52"/>
      <c r="AI27" s="52"/>
      <c r="AJ27" s="52"/>
      <c r="AK27" s="52"/>
      <c r="AL27" s="52"/>
      <c r="AM27" s="52"/>
      <c r="AN27" s="52"/>
      <c r="AO27" s="52"/>
      <c r="AP27" s="53"/>
      <c r="AQ27" s="24"/>
      <c r="BB27" s="24" t="s">
        <v>23</v>
      </c>
      <c r="BC27" s="24"/>
      <c r="BD27" s="19">
        <f>F27</f>
        <v>0</v>
      </c>
      <c r="BE27" s="19">
        <f>H27</f>
        <v>0</v>
      </c>
      <c r="BF27" s="19">
        <f t="shared" ref="BF27:BN28" si="26">I27</f>
        <v>0</v>
      </c>
      <c r="BG27" s="19">
        <f t="shared" si="26"/>
        <v>0</v>
      </c>
      <c r="BH27" s="19">
        <f t="shared" si="26"/>
        <v>0</v>
      </c>
      <c r="BI27" s="19">
        <f t="shared" si="26"/>
        <v>0</v>
      </c>
      <c r="BJ27" s="19">
        <f t="shared" si="26"/>
        <v>0</v>
      </c>
      <c r="BK27" s="19">
        <f t="shared" si="26"/>
        <v>0</v>
      </c>
      <c r="BL27" s="19">
        <f t="shared" si="26"/>
        <v>0</v>
      </c>
      <c r="BM27" s="19">
        <f t="shared" si="26"/>
        <v>0</v>
      </c>
      <c r="BN27" s="19">
        <f t="shared" si="26"/>
        <v>0</v>
      </c>
      <c r="BY27" s="24"/>
      <c r="CD27" s="19">
        <f t="shared" si="22"/>
        <v>0</v>
      </c>
      <c r="CE27" s="19">
        <f t="shared" si="23"/>
        <v>0</v>
      </c>
      <c r="CF27" s="19">
        <f t="shared" si="23"/>
        <v>0</v>
      </c>
      <c r="CG27" s="19">
        <f t="shared" si="23"/>
        <v>0</v>
      </c>
      <c r="CH27" s="19">
        <f t="shared" si="23"/>
        <v>0</v>
      </c>
      <c r="CI27" s="19">
        <f t="shared" si="23"/>
        <v>0</v>
      </c>
      <c r="CJ27" s="19">
        <f t="shared" si="23"/>
        <v>0</v>
      </c>
      <c r="CK27" s="19">
        <f t="shared" si="23"/>
        <v>0</v>
      </c>
      <c r="CL27" s="19">
        <f t="shared" si="23"/>
        <v>0</v>
      </c>
      <c r="CM27" s="19">
        <f t="shared" si="23"/>
        <v>0</v>
      </c>
      <c r="CN27" s="19">
        <f t="shared" si="23"/>
        <v>0</v>
      </c>
      <c r="DD27" s="19">
        <f t="shared" si="25"/>
        <v>0</v>
      </c>
      <c r="DE27" s="19">
        <f t="shared" si="24"/>
        <v>0</v>
      </c>
      <c r="DF27" s="19">
        <f t="shared" si="24"/>
        <v>0</v>
      </c>
      <c r="DG27" s="19">
        <f t="shared" si="24"/>
        <v>0</v>
      </c>
      <c r="DH27" s="19">
        <f t="shared" si="24"/>
        <v>0</v>
      </c>
      <c r="DI27" s="19">
        <f t="shared" si="24"/>
        <v>0</v>
      </c>
      <c r="DJ27" s="19">
        <f t="shared" si="24"/>
        <v>0</v>
      </c>
      <c r="DK27" s="19">
        <f t="shared" si="24"/>
        <v>0</v>
      </c>
      <c r="DL27" s="19">
        <f t="shared" si="24"/>
        <v>0</v>
      </c>
      <c r="DM27" s="19">
        <f t="shared" si="24"/>
        <v>0</v>
      </c>
      <c r="DN27" s="19">
        <f t="shared" si="24"/>
        <v>0</v>
      </c>
      <c r="DZ27" s="22" t="s">
        <v>2</v>
      </c>
      <c r="EA27" s="23" t="s">
        <v>1</v>
      </c>
      <c r="EB27" s="23" t="s">
        <v>1</v>
      </c>
      <c r="EC27" s="23" t="s">
        <v>1</v>
      </c>
    </row>
    <row r="28" spans="1:133" s="19" customFormat="1" x14ac:dyDescent="0.25">
      <c r="A28" s="19" t="str">
        <f>B28&amp;" - Loss"</f>
        <v>Joint Ventures &amp; Associated Entities - Loss</v>
      </c>
      <c r="B28" s="19" t="s">
        <v>24</v>
      </c>
      <c r="C28" s="40"/>
      <c r="D28" s="19">
        <v>0</v>
      </c>
      <c r="E28" s="40"/>
      <c r="F28" s="19">
        <v>0</v>
      </c>
      <c r="G28" s="40"/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S28" s="26" t="s">
        <v>14</v>
      </c>
      <c r="AG28" s="44"/>
      <c r="AH28" s="45"/>
      <c r="AI28" s="45"/>
      <c r="AJ28" s="45"/>
      <c r="AK28" s="45"/>
      <c r="AL28" s="45"/>
      <c r="AM28" s="45"/>
      <c r="AN28" s="45"/>
      <c r="AO28" s="45"/>
      <c r="AP28" s="46"/>
      <c r="AQ28" s="30"/>
      <c r="BB28" s="24" t="s">
        <v>23</v>
      </c>
      <c r="BD28" s="19">
        <f>F28</f>
        <v>0</v>
      </c>
      <c r="BE28" s="19">
        <f>H28</f>
        <v>0</v>
      </c>
      <c r="BF28" s="19">
        <f t="shared" si="26"/>
        <v>0</v>
      </c>
      <c r="BG28" s="19">
        <f t="shared" si="26"/>
        <v>0</v>
      </c>
      <c r="BH28" s="19">
        <f t="shared" si="26"/>
        <v>0</v>
      </c>
      <c r="BI28" s="19">
        <f t="shared" si="26"/>
        <v>0</v>
      </c>
      <c r="BJ28" s="19">
        <f t="shared" si="26"/>
        <v>0</v>
      </c>
      <c r="BK28" s="19">
        <f t="shared" si="26"/>
        <v>0</v>
      </c>
      <c r="BL28" s="19">
        <f t="shared" si="26"/>
        <v>0</v>
      </c>
      <c r="BM28" s="19">
        <f t="shared" si="26"/>
        <v>0</v>
      </c>
      <c r="BN28" s="19">
        <f t="shared" si="26"/>
        <v>0</v>
      </c>
      <c r="BY28" s="24"/>
      <c r="CD28" s="19">
        <f t="shared" si="22"/>
        <v>0</v>
      </c>
      <c r="CE28" s="19">
        <f t="shared" si="23"/>
        <v>0</v>
      </c>
      <c r="CF28" s="19">
        <f t="shared" si="23"/>
        <v>0</v>
      </c>
      <c r="CG28" s="19">
        <f t="shared" si="23"/>
        <v>0</v>
      </c>
      <c r="CH28" s="19">
        <f t="shared" si="23"/>
        <v>0</v>
      </c>
      <c r="CI28" s="19">
        <f t="shared" si="23"/>
        <v>0</v>
      </c>
      <c r="CJ28" s="19">
        <f t="shared" si="23"/>
        <v>0</v>
      </c>
      <c r="CK28" s="19">
        <f t="shared" si="23"/>
        <v>0</v>
      </c>
      <c r="CL28" s="19">
        <f t="shared" si="23"/>
        <v>0</v>
      </c>
      <c r="CM28" s="19">
        <f t="shared" si="23"/>
        <v>0</v>
      </c>
      <c r="CN28" s="19">
        <f t="shared" si="23"/>
        <v>0</v>
      </c>
      <c r="DD28" s="19">
        <f t="shared" si="25"/>
        <v>0</v>
      </c>
      <c r="DE28" s="19">
        <f t="shared" si="24"/>
        <v>0</v>
      </c>
      <c r="DF28" s="19">
        <f t="shared" si="24"/>
        <v>0</v>
      </c>
      <c r="DG28" s="19">
        <f t="shared" si="24"/>
        <v>0</v>
      </c>
      <c r="DH28" s="19">
        <f t="shared" si="24"/>
        <v>0</v>
      </c>
      <c r="DI28" s="19">
        <f t="shared" si="24"/>
        <v>0</v>
      </c>
      <c r="DJ28" s="19">
        <f t="shared" si="24"/>
        <v>0</v>
      </c>
      <c r="DK28" s="19">
        <f t="shared" si="24"/>
        <v>0</v>
      </c>
      <c r="DL28" s="19">
        <f t="shared" si="24"/>
        <v>0</v>
      </c>
      <c r="DM28" s="19">
        <f t="shared" si="24"/>
        <v>0</v>
      </c>
      <c r="DN28" s="19">
        <f t="shared" si="24"/>
        <v>0</v>
      </c>
      <c r="DZ28" s="22" t="s">
        <v>2</v>
      </c>
      <c r="EA28" s="23" t="s">
        <v>1</v>
      </c>
      <c r="EB28" s="23" t="s">
        <v>1</v>
      </c>
      <c r="EC28" s="23" t="s">
        <v>1</v>
      </c>
    </row>
    <row r="29" spans="1:133" s="19" customFormat="1" x14ac:dyDescent="0.25">
      <c r="B29" s="25" t="s">
        <v>39</v>
      </c>
      <c r="C29" s="47"/>
      <c r="D29" s="48">
        <v>30728000</v>
      </c>
      <c r="E29" s="47"/>
      <c r="F29" s="48">
        <v>28507394.919999991</v>
      </c>
      <c r="G29" s="47"/>
      <c r="H29" s="48">
        <v>29231768.708297465</v>
      </c>
      <c r="I29" s="48">
        <v>30971216.64460839</v>
      </c>
      <c r="J29" s="48">
        <v>31357728.937775087</v>
      </c>
      <c r="K29" s="48">
        <v>32122814.592024326</v>
      </c>
      <c r="L29" s="48">
        <v>32839694.724084105</v>
      </c>
      <c r="M29" s="48">
        <v>33775293.034067236</v>
      </c>
      <c r="N29" s="48">
        <v>34446103.223559842</v>
      </c>
      <c r="O29" s="48">
        <v>35255366.846882544</v>
      </c>
      <c r="P29" s="48">
        <v>36101700.100801036</v>
      </c>
      <c r="Q29" s="48">
        <v>36967248.95066762</v>
      </c>
      <c r="U29" s="19">
        <f>SUMIF($S20:$S28,"yes",F20:F28)</f>
        <v>28507394.919999991</v>
      </c>
      <c r="V29" s="19">
        <f>SUMIF($S20:$S28,"yes",H20:H28)</f>
        <v>29231768.708297465</v>
      </c>
      <c r="W29" s="19">
        <f t="shared" ref="W29:AE29" si="27">SUMIF($S20:$S28,"yes",I20:I28)</f>
        <v>30971216.64460839</v>
      </c>
      <c r="X29" s="19">
        <f t="shared" si="27"/>
        <v>31357728.937775087</v>
      </c>
      <c r="Y29" s="19">
        <f t="shared" si="27"/>
        <v>32122814.592024326</v>
      </c>
      <c r="Z29" s="19">
        <f t="shared" si="27"/>
        <v>32839694.724084105</v>
      </c>
      <c r="AA29" s="19">
        <f t="shared" si="27"/>
        <v>33775293.034067236</v>
      </c>
      <c r="AB29" s="19">
        <f t="shared" si="27"/>
        <v>34446103.223559842</v>
      </c>
      <c r="AC29" s="19">
        <f t="shared" si="27"/>
        <v>35255366.846882544</v>
      </c>
      <c r="AD29" s="19">
        <f t="shared" si="27"/>
        <v>36101700.100801036</v>
      </c>
      <c r="AE29" s="19">
        <f t="shared" si="27"/>
        <v>36967248.95066762</v>
      </c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BD29" s="48">
        <f t="shared" ref="BD29:BE29" si="28">SUM(BD20:BD28)</f>
        <v>8363957.8600000013</v>
      </c>
      <c r="BE29" s="48">
        <f t="shared" si="28"/>
        <v>8514509.0999999978</v>
      </c>
      <c r="BF29" s="48">
        <f t="shared" ref="BF29:BN29" si="29">SUM(BF20:BF28)</f>
        <v>8701828.290000001</v>
      </c>
      <c r="BG29" s="48">
        <f t="shared" si="29"/>
        <v>8893268.5199999977</v>
      </c>
      <c r="BH29" s="48">
        <f t="shared" si="29"/>
        <v>9088920.4299999997</v>
      </c>
      <c r="BI29" s="48">
        <f t="shared" si="29"/>
        <v>9288876.6900000013</v>
      </c>
      <c r="BJ29" s="48">
        <f t="shared" si="29"/>
        <v>9493231.9900000002</v>
      </c>
      <c r="BK29" s="48">
        <f t="shared" si="29"/>
        <v>9702083.1000000015</v>
      </c>
      <c r="BL29" s="48">
        <f t="shared" si="29"/>
        <v>9915528.9299999997</v>
      </c>
      <c r="BM29" s="48">
        <f t="shared" si="29"/>
        <v>10129670.57</v>
      </c>
      <c r="BN29" s="48">
        <f t="shared" si="29"/>
        <v>10208523.32</v>
      </c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CD29" s="48">
        <f t="shared" ref="CD29:CN29" si="30">SUM(CD20:CD28)</f>
        <v>20143437.059999987</v>
      </c>
      <c r="CE29" s="48">
        <f t="shared" si="30"/>
        <v>20717259.608297467</v>
      </c>
      <c r="CF29" s="48">
        <f t="shared" si="30"/>
        <v>22269388.35460839</v>
      </c>
      <c r="CG29" s="48">
        <f t="shared" si="30"/>
        <v>22464460.417775087</v>
      </c>
      <c r="CH29" s="48">
        <f t="shared" si="30"/>
        <v>23033894.162024327</v>
      </c>
      <c r="CI29" s="48">
        <f t="shared" si="30"/>
        <v>23550818.034084104</v>
      </c>
      <c r="CJ29" s="48">
        <f t="shared" si="30"/>
        <v>24282061.044067234</v>
      </c>
      <c r="CK29" s="48">
        <f t="shared" si="30"/>
        <v>24744020.123559844</v>
      </c>
      <c r="CL29" s="48">
        <f t="shared" si="30"/>
        <v>25339837.916882545</v>
      </c>
      <c r="CM29" s="48">
        <f t="shared" si="30"/>
        <v>25972029.530801035</v>
      </c>
      <c r="CN29" s="48">
        <f t="shared" si="30"/>
        <v>26758725.630667619</v>
      </c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DD29" s="48">
        <f t="shared" ref="DD29:DN29" si="31">SUM(DD20:DD28)</f>
        <v>20143437.059999987</v>
      </c>
      <c r="DE29" s="48">
        <f t="shared" si="31"/>
        <v>20717259.608297467</v>
      </c>
      <c r="DF29" s="48">
        <f t="shared" si="31"/>
        <v>22269388.35460839</v>
      </c>
      <c r="DG29" s="48">
        <f t="shared" si="31"/>
        <v>22464460.417775087</v>
      </c>
      <c r="DH29" s="48">
        <f t="shared" si="31"/>
        <v>23033894.162024327</v>
      </c>
      <c r="DI29" s="48">
        <f t="shared" si="31"/>
        <v>23550818.034084104</v>
      </c>
      <c r="DJ29" s="48">
        <f t="shared" si="31"/>
        <v>24282061.044067234</v>
      </c>
      <c r="DK29" s="48">
        <f t="shared" si="31"/>
        <v>24744020.123559844</v>
      </c>
      <c r="DL29" s="48">
        <f t="shared" si="31"/>
        <v>25339837.916882545</v>
      </c>
      <c r="DM29" s="48">
        <f t="shared" si="31"/>
        <v>25972029.530801035</v>
      </c>
      <c r="DN29" s="48">
        <f t="shared" si="31"/>
        <v>26758725.630667619</v>
      </c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Z29" s="22" t="s">
        <v>2</v>
      </c>
      <c r="EA29" s="23" t="s">
        <v>1</v>
      </c>
      <c r="EB29" s="23" t="s">
        <v>1</v>
      </c>
      <c r="EC29" s="23" t="s">
        <v>1</v>
      </c>
    </row>
    <row r="30" spans="1:133" s="19" customFormat="1" x14ac:dyDescent="0.25">
      <c r="B30" s="25"/>
      <c r="C30" s="40"/>
      <c r="E30" s="40"/>
      <c r="G30" s="40"/>
      <c r="DZ30" s="22" t="s">
        <v>2</v>
      </c>
      <c r="EA30" s="23" t="s">
        <v>1</v>
      </c>
      <c r="EB30" s="23" t="s">
        <v>1</v>
      </c>
      <c r="EC30" s="23" t="s">
        <v>1</v>
      </c>
    </row>
    <row r="31" spans="1:133" s="19" customFormat="1" x14ac:dyDescent="0.25">
      <c r="B31" s="20" t="s">
        <v>40</v>
      </c>
      <c r="C31" s="47"/>
      <c r="D31" s="48">
        <v>878000</v>
      </c>
      <c r="E31" s="47"/>
      <c r="F31" s="48">
        <v>3591533.6300000139</v>
      </c>
      <c r="G31" s="47"/>
      <c r="H31" s="48">
        <v>2882978.191702541</v>
      </c>
      <c r="I31" s="48">
        <v>3473343.3753916062</v>
      </c>
      <c r="J31" s="48">
        <v>4053498.6622249074</v>
      </c>
      <c r="K31" s="48">
        <v>4319912.7379756793</v>
      </c>
      <c r="L31" s="48">
        <v>4709370.6659158804</v>
      </c>
      <c r="M31" s="48">
        <v>4602290.9459327608</v>
      </c>
      <c r="N31" s="48">
        <v>4779211.4864401594</v>
      </c>
      <c r="O31" s="48">
        <v>4837350.5731174573</v>
      </c>
      <c r="P31" s="48">
        <v>4878563.0991989747</v>
      </c>
      <c r="Q31" s="48">
        <v>4921185.5093323812</v>
      </c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BD31" s="48">
        <f t="shared" ref="BD31:BN31" si="32">BD17-BD29</f>
        <v>-8028957.8600000013</v>
      </c>
      <c r="BE31" s="48">
        <f t="shared" si="32"/>
        <v>-8514509.0999999978</v>
      </c>
      <c r="BF31" s="48">
        <f t="shared" si="32"/>
        <v>-8701828.290000001</v>
      </c>
      <c r="BG31" s="48">
        <f t="shared" si="32"/>
        <v>-8893268.5199999977</v>
      </c>
      <c r="BH31" s="48">
        <f t="shared" si="32"/>
        <v>-9088920.4299999997</v>
      </c>
      <c r="BI31" s="48">
        <f t="shared" si="32"/>
        <v>-9288876.6900000013</v>
      </c>
      <c r="BJ31" s="48">
        <f t="shared" si="32"/>
        <v>-9493231.9900000002</v>
      </c>
      <c r="BK31" s="48">
        <f t="shared" si="32"/>
        <v>-9702083.1000000015</v>
      </c>
      <c r="BL31" s="48">
        <f t="shared" si="32"/>
        <v>-9915528.9299999997</v>
      </c>
      <c r="BM31" s="48">
        <f t="shared" si="32"/>
        <v>-10129670.57</v>
      </c>
      <c r="BN31" s="48">
        <f t="shared" si="32"/>
        <v>-10208523.32</v>
      </c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CD31" s="48">
        <f t="shared" ref="CD31:CN31" si="33">CD17-CD29</f>
        <v>11620491.490000017</v>
      </c>
      <c r="CE31" s="48">
        <f t="shared" si="33"/>
        <v>11397487.291702539</v>
      </c>
      <c r="CF31" s="48">
        <f t="shared" si="33"/>
        <v>12175171.665391605</v>
      </c>
      <c r="CG31" s="48">
        <f t="shared" si="33"/>
        <v>12946767.182224907</v>
      </c>
      <c r="CH31" s="48">
        <f t="shared" si="33"/>
        <v>13408833.167975679</v>
      </c>
      <c r="CI31" s="48">
        <f t="shared" si="33"/>
        <v>13998247.355915882</v>
      </c>
      <c r="CJ31" s="48">
        <f t="shared" si="33"/>
        <v>14095522.935932763</v>
      </c>
      <c r="CK31" s="48">
        <f t="shared" si="33"/>
        <v>14481294.586440157</v>
      </c>
      <c r="CL31" s="48">
        <f t="shared" si="33"/>
        <v>14752879.503117457</v>
      </c>
      <c r="CM31" s="48">
        <f t="shared" si="33"/>
        <v>15008233.669198975</v>
      </c>
      <c r="CN31" s="48">
        <f t="shared" si="33"/>
        <v>15129708.829332381</v>
      </c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DZ31" s="22" t="s">
        <v>2</v>
      </c>
      <c r="EA31" s="23" t="s">
        <v>1</v>
      </c>
      <c r="EB31" s="23" t="s">
        <v>1</v>
      </c>
      <c r="EC31" s="23" t="s">
        <v>1</v>
      </c>
    </row>
    <row r="32" spans="1:133" s="19" customFormat="1" x14ac:dyDescent="0.25">
      <c r="C32" s="40"/>
      <c r="E32" s="40"/>
      <c r="G32" s="40"/>
      <c r="DZ32" s="22" t="s">
        <v>2</v>
      </c>
      <c r="EA32" s="23" t="s">
        <v>1</v>
      </c>
      <c r="EB32" s="23" t="s">
        <v>1</v>
      </c>
      <c r="EC32" s="23" t="s">
        <v>1</v>
      </c>
    </row>
    <row r="33" spans="1:133" s="19" customFormat="1" x14ac:dyDescent="0.25">
      <c r="A33" s="19" t="s">
        <v>41</v>
      </c>
      <c r="B33" s="19" t="s">
        <v>42</v>
      </c>
      <c r="C33" s="40"/>
      <c r="D33" s="19">
        <v>0</v>
      </c>
      <c r="E33" s="40"/>
      <c r="F33" s="19">
        <v>0</v>
      </c>
      <c r="G33" s="40"/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0</v>
      </c>
      <c r="BJ33" s="54">
        <v>0</v>
      </c>
      <c r="BK33" s="54">
        <v>0</v>
      </c>
      <c r="BL33" s="54">
        <v>0</v>
      </c>
      <c r="BM33" s="54">
        <v>0</v>
      </c>
      <c r="BN33" s="54">
        <v>0</v>
      </c>
      <c r="CD33" s="19">
        <f t="shared" ref="CD33" si="34">F33-BD33</f>
        <v>0</v>
      </c>
      <c r="CE33" s="19">
        <f t="shared" ref="CE33:CN33" si="35">H33-BE33</f>
        <v>0</v>
      </c>
      <c r="CF33" s="19">
        <f t="shared" si="35"/>
        <v>0</v>
      </c>
      <c r="CG33" s="19">
        <f t="shared" si="35"/>
        <v>0</v>
      </c>
      <c r="CH33" s="19">
        <f t="shared" si="35"/>
        <v>0</v>
      </c>
      <c r="CI33" s="19">
        <f t="shared" si="35"/>
        <v>0</v>
      </c>
      <c r="CJ33" s="19">
        <f t="shared" si="35"/>
        <v>0</v>
      </c>
      <c r="CK33" s="19">
        <f t="shared" si="35"/>
        <v>0</v>
      </c>
      <c r="CL33" s="19">
        <f t="shared" si="35"/>
        <v>0</v>
      </c>
      <c r="CM33" s="19">
        <f t="shared" si="35"/>
        <v>0</v>
      </c>
      <c r="CN33" s="19">
        <f t="shared" si="35"/>
        <v>0</v>
      </c>
      <c r="DZ33" s="22" t="s">
        <v>2</v>
      </c>
      <c r="EA33" s="23" t="s">
        <v>1</v>
      </c>
      <c r="EB33" s="23" t="s">
        <v>1</v>
      </c>
      <c r="EC33" s="23" t="s">
        <v>1</v>
      </c>
    </row>
    <row r="34" spans="1:133" s="19" customFormat="1" x14ac:dyDescent="0.25">
      <c r="B34" s="25" t="s">
        <v>43</v>
      </c>
      <c r="C34" s="47"/>
      <c r="D34" s="48">
        <v>0</v>
      </c>
      <c r="E34" s="47"/>
      <c r="F34" s="48">
        <v>0</v>
      </c>
      <c r="G34" s="47"/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BD34" s="48">
        <f t="shared" ref="BD34:BN34" si="36">BD33</f>
        <v>0</v>
      </c>
      <c r="BE34" s="48">
        <f t="shared" si="36"/>
        <v>0</v>
      </c>
      <c r="BF34" s="48">
        <f t="shared" si="36"/>
        <v>0</v>
      </c>
      <c r="BG34" s="48">
        <f t="shared" si="36"/>
        <v>0</v>
      </c>
      <c r="BH34" s="48">
        <f t="shared" si="36"/>
        <v>0</v>
      </c>
      <c r="BI34" s="48">
        <f t="shared" si="36"/>
        <v>0</v>
      </c>
      <c r="BJ34" s="48">
        <f t="shared" si="36"/>
        <v>0</v>
      </c>
      <c r="BK34" s="48">
        <f t="shared" si="36"/>
        <v>0</v>
      </c>
      <c r="BL34" s="48">
        <f t="shared" si="36"/>
        <v>0</v>
      </c>
      <c r="BM34" s="48">
        <f t="shared" si="36"/>
        <v>0</v>
      </c>
      <c r="BN34" s="48">
        <f t="shared" si="36"/>
        <v>0</v>
      </c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CD34" s="48">
        <f t="shared" ref="CD34:CN34" si="37">CD33</f>
        <v>0</v>
      </c>
      <c r="CE34" s="48">
        <f t="shared" si="37"/>
        <v>0</v>
      </c>
      <c r="CF34" s="48">
        <f t="shared" si="37"/>
        <v>0</v>
      </c>
      <c r="CG34" s="48">
        <f t="shared" si="37"/>
        <v>0</v>
      </c>
      <c r="CH34" s="48">
        <f t="shared" si="37"/>
        <v>0</v>
      </c>
      <c r="CI34" s="48">
        <f t="shared" si="37"/>
        <v>0</v>
      </c>
      <c r="CJ34" s="48">
        <f t="shared" si="37"/>
        <v>0</v>
      </c>
      <c r="CK34" s="48">
        <f t="shared" si="37"/>
        <v>0</v>
      </c>
      <c r="CL34" s="48">
        <f t="shared" si="37"/>
        <v>0</v>
      </c>
      <c r="CM34" s="48">
        <f t="shared" si="37"/>
        <v>0</v>
      </c>
      <c r="CN34" s="48">
        <f t="shared" si="37"/>
        <v>0</v>
      </c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DZ34" s="22" t="s">
        <v>2</v>
      </c>
      <c r="EA34" s="23" t="s">
        <v>1</v>
      </c>
      <c r="EB34" s="23" t="s">
        <v>1</v>
      </c>
      <c r="EC34" s="23" t="s">
        <v>1</v>
      </c>
    </row>
    <row r="35" spans="1:133" s="19" customFormat="1" x14ac:dyDescent="0.25">
      <c r="B35" s="25"/>
      <c r="C35" s="40"/>
      <c r="E35" s="40"/>
      <c r="G35" s="40"/>
      <c r="DZ35" s="22" t="s">
        <v>2</v>
      </c>
      <c r="EA35" s="23" t="s">
        <v>1</v>
      </c>
      <c r="EB35" s="23" t="s">
        <v>1</v>
      </c>
      <c r="EC35" s="23" t="s">
        <v>1</v>
      </c>
    </row>
    <row r="36" spans="1:133" s="19" customFormat="1" ht="15.75" thickBot="1" x14ac:dyDescent="0.3">
      <c r="B36" s="20" t="s">
        <v>44</v>
      </c>
      <c r="C36" s="47"/>
      <c r="D36" s="55">
        <v>878000</v>
      </c>
      <c r="E36" s="47"/>
      <c r="F36" s="55">
        <v>3591533.6300000139</v>
      </c>
      <c r="G36" s="47"/>
      <c r="H36" s="55">
        <v>2882978.191702541</v>
      </c>
      <c r="I36" s="55">
        <v>3473343.3753916062</v>
      </c>
      <c r="J36" s="55">
        <v>4053498.6622249074</v>
      </c>
      <c r="K36" s="55">
        <v>4319912.7379756793</v>
      </c>
      <c r="L36" s="55">
        <v>4709370.6659158804</v>
      </c>
      <c r="M36" s="55">
        <v>4602290.9459327608</v>
      </c>
      <c r="N36" s="55">
        <v>4779211.4864401594</v>
      </c>
      <c r="O36" s="55">
        <v>4837350.5731174573</v>
      </c>
      <c r="P36" s="55">
        <v>4878563.0991989747</v>
      </c>
      <c r="Q36" s="55">
        <v>4921185.5093323812</v>
      </c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BD36" s="55">
        <f t="shared" ref="BD36:BN36" si="38">BD34+BD31</f>
        <v>-8028957.8600000013</v>
      </c>
      <c r="BE36" s="55">
        <f t="shared" si="38"/>
        <v>-8514509.0999999978</v>
      </c>
      <c r="BF36" s="55">
        <f t="shared" si="38"/>
        <v>-8701828.290000001</v>
      </c>
      <c r="BG36" s="55">
        <f t="shared" si="38"/>
        <v>-8893268.5199999977</v>
      </c>
      <c r="BH36" s="55">
        <f t="shared" si="38"/>
        <v>-9088920.4299999997</v>
      </c>
      <c r="BI36" s="55">
        <f t="shared" si="38"/>
        <v>-9288876.6900000013</v>
      </c>
      <c r="BJ36" s="55">
        <f t="shared" si="38"/>
        <v>-9493231.9900000002</v>
      </c>
      <c r="BK36" s="55">
        <f t="shared" si="38"/>
        <v>-9702083.1000000015</v>
      </c>
      <c r="BL36" s="55">
        <f t="shared" si="38"/>
        <v>-9915528.9299999997</v>
      </c>
      <c r="BM36" s="55">
        <f t="shared" si="38"/>
        <v>-10129670.57</v>
      </c>
      <c r="BN36" s="55">
        <f t="shared" si="38"/>
        <v>-10208523.32</v>
      </c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CD36" s="55">
        <f t="shared" ref="CD36:CN36" si="39">CD34+CD31</f>
        <v>11620491.490000017</v>
      </c>
      <c r="CE36" s="55">
        <f t="shared" si="39"/>
        <v>11397487.291702539</v>
      </c>
      <c r="CF36" s="55">
        <f t="shared" si="39"/>
        <v>12175171.665391605</v>
      </c>
      <c r="CG36" s="55">
        <f t="shared" si="39"/>
        <v>12946767.182224907</v>
      </c>
      <c r="CH36" s="55">
        <f t="shared" si="39"/>
        <v>13408833.167975679</v>
      </c>
      <c r="CI36" s="55">
        <f t="shared" si="39"/>
        <v>13998247.355915882</v>
      </c>
      <c r="CJ36" s="55">
        <f t="shared" si="39"/>
        <v>14095522.935932763</v>
      </c>
      <c r="CK36" s="55">
        <f t="shared" si="39"/>
        <v>14481294.586440157</v>
      </c>
      <c r="CL36" s="55">
        <f t="shared" si="39"/>
        <v>14752879.503117457</v>
      </c>
      <c r="CM36" s="55">
        <f t="shared" si="39"/>
        <v>15008233.669198975</v>
      </c>
      <c r="CN36" s="55">
        <f t="shared" si="39"/>
        <v>15129708.829332381</v>
      </c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DZ36" s="22" t="s">
        <v>2</v>
      </c>
      <c r="EA36" s="23" t="s">
        <v>1</v>
      </c>
      <c r="EB36" s="23" t="s">
        <v>1</v>
      </c>
      <c r="EC36" s="23" t="s">
        <v>1</v>
      </c>
    </row>
    <row r="37" spans="1:133" s="19" customFormat="1" ht="15.75" thickTop="1" x14ac:dyDescent="0.25">
      <c r="C37" s="40"/>
      <c r="E37" s="40"/>
      <c r="G37" s="40"/>
      <c r="DZ37" s="22" t="s">
        <v>2</v>
      </c>
      <c r="EA37" s="23" t="s">
        <v>1</v>
      </c>
      <c r="EB37" s="23" t="s">
        <v>1</v>
      </c>
      <c r="EC37" s="23" t="s">
        <v>1</v>
      </c>
    </row>
    <row r="38" spans="1:133" s="19" customFormat="1" x14ac:dyDescent="0.25">
      <c r="B38" s="56" t="s">
        <v>45</v>
      </c>
      <c r="C38" s="40"/>
      <c r="E38" s="40"/>
      <c r="G38" s="40"/>
      <c r="DZ38" s="22" t="s">
        <v>2</v>
      </c>
      <c r="EA38" s="23" t="s">
        <v>1</v>
      </c>
      <c r="EB38" s="23" t="s">
        <v>1</v>
      </c>
      <c r="EC38" s="23" t="s">
        <v>1</v>
      </c>
    </row>
    <row r="39" spans="1:133" s="19" customFormat="1" x14ac:dyDescent="0.25">
      <c r="B39" s="56" t="s">
        <v>46</v>
      </c>
      <c r="C39" s="57"/>
      <c r="D39" s="56">
        <v>-2525000</v>
      </c>
      <c r="E39" s="57"/>
      <c r="F39" s="56">
        <v>-873680.36999998614</v>
      </c>
      <c r="G39" s="57"/>
      <c r="H39" s="56">
        <v>-123021.80829745904</v>
      </c>
      <c r="I39" s="56">
        <v>437283.37539160624</v>
      </c>
      <c r="J39" s="56">
        <v>971897.75222490728</v>
      </c>
      <c r="K39" s="56">
        <v>1192087.8179756794</v>
      </c>
      <c r="L39" s="56">
        <v>1534628.3659158805</v>
      </c>
      <c r="M39" s="56">
        <v>1377527.4359327611</v>
      </c>
      <c r="N39" s="56">
        <v>1503628.4564401591</v>
      </c>
      <c r="O39" s="56">
        <v>1510136.7631174573</v>
      </c>
      <c r="P39" s="56">
        <v>1498894.1091989744</v>
      </c>
      <c r="Q39" s="56">
        <v>1488223.579332381</v>
      </c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BD39" s="56">
        <f t="shared" ref="BD39:BN39" si="40">BD36-BD13</f>
        <v>-8028957.8600000013</v>
      </c>
      <c r="BE39" s="56">
        <f t="shared" si="40"/>
        <v>-8514509.0999999978</v>
      </c>
      <c r="BF39" s="56">
        <f t="shared" si="40"/>
        <v>-8701828.290000001</v>
      </c>
      <c r="BG39" s="56">
        <f t="shared" si="40"/>
        <v>-8893268.5199999977</v>
      </c>
      <c r="BH39" s="56">
        <f t="shared" si="40"/>
        <v>-9088920.4299999997</v>
      </c>
      <c r="BI39" s="56">
        <f t="shared" si="40"/>
        <v>-9288876.6900000013</v>
      </c>
      <c r="BJ39" s="56">
        <f t="shared" si="40"/>
        <v>-9493231.9900000002</v>
      </c>
      <c r="BK39" s="56">
        <f t="shared" si="40"/>
        <v>-9702083.1000000015</v>
      </c>
      <c r="BL39" s="56">
        <f t="shared" si="40"/>
        <v>-9915528.9299999997</v>
      </c>
      <c r="BM39" s="56">
        <f t="shared" si="40"/>
        <v>-10129670.57</v>
      </c>
      <c r="BN39" s="56">
        <f t="shared" si="40"/>
        <v>-10208523.32</v>
      </c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CD39" s="56">
        <f t="shared" ref="CD39:CN39" si="41">CD36-CD13</f>
        <v>7155277.490000017</v>
      </c>
      <c r="CE39" s="56">
        <f t="shared" si="41"/>
        <v>8391487.2917025387</v>
      </c>
      <c r="CF39" s="56">
        <f t="shared" si="41"/>
        <v>9139111.6653916053</v>
      </c>
      <c r="CG39" s="56">
        <f t="shared" si="41"/>
        <v>9865166.2722249068</v>
      </c>
      <c r="CH39" s="56">
        <f t="shared" si="41"/>
        <v>10281008.247975679</v>
      </c>
      <c r="CI39" s="56">
        <f t="shared" si="41"/>
        <v>10823505.055915881</v>
      </c>
      <c r="CJ39" s="56">
        <f t="shared" si="41"/>
        <v>10870759.425932763</v>
      </c>
      <c r="CK39" s="56">
        <f t="shared" si="41"/>
        <v>11205711.556440156</v>
      </c>
      <c r="CL39" s="56">
        <f t="shared" si="41"/>
        <v>11425665.693117457</v>
      </c>
      <c r="CM39" s="56">
        <f t="shared" si="41"/>
        <v>11628564.679198975</v>
      </c>
      <c r="CN39" s="56">
        <f t="shared" si="41"/>
        <v>11696746.899332382</v>
      </c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DZ39" s="22" t="s">
        <v>2</v>
      </c>
      <c r="EA39" s="23" t="s">
        <v>1</v>
      </c>
      <c r="EB39" s="23" t="s">
        <v>1</v>
      </c>
      <c r="EC39" s="23" t="s">
        <v>1</v>
      </c>
    </row>
    <row r="40" spans="1:133" s="19" customFormat="1" x14ac:dyDescent="0.25">
      <c r="C40" s="21"/>
      <c r="E40" s="40"/>
      <c r="G40" s="21"/>
      <c r="DZ40" s="22" t="s">
        <v>2</v>
      </c>
      <c r="EA40" s="23" t="s">
        <v>1</v>
      </c>
      <c r="EB40" s="23" t="s">
        <v>1</v>
      </c>
      <c r="EC40" s="23" t="s">
        <v>1</v>
      </c>
    </row>
    <row r="41" spans="1:133" s="19" customFormat="1" hidden="1" x14ac:dyDescent="0.25">
      <c r="A41" s="22"/>
      <c r="C41" s="22" t="s">
        <v>47</v>
      </c>
      <c r="DZ41" s="22" t="s">
        <v>2</v>
      </c>
      <c r="EA41" s="23" t="s">
        <v>1</v>
      </c>
      <c r="EB41" s="23" t="s">
        <v>1</v>
      </c>
      <c r="EC41" s="23" t="s">
        <v>1</v>
      </c>
    </row>
    <row r="42" spans="1:133" s="19" customFormat="1" hidden="1" x14ac:dyDescent="0.25">
      <c r="C42" s="22" t="s">
        <v>47</v>
      </c>
      <c r="DZ42" s="22" t="s">
        <v>2</v>
      </c>
      <c r="EA42" s="23" t="s">
        <v>1</v>
      </c>
      <c r="EB42" s="23" t="s">
        <v>1</v>
      </c>
      <c r="EC42" s="23" t="s">
        <v>1</v>
      </c>
    </row>
    <row r="43" spans="1:133" s="19" customFormat="1" hidden="1" x14ac:dyDescent="0.25">
      <c r="C43" s="22" t="s">
        <v>47</v>
      </c>
      <c r="DZ43" s="22" t="s">
        <v>2</v>
      </c>
      <c r="EA43" s="23" t="s">
        <v>1</v>
      </c>
      <c r="EB43" s="23" t="s">
        <v>1</v>
      </c>
      <c r="EC43" s="23" t="s">
        <v>1</v>
      </c>
    </row>
    <row r="44" spans="1:133" s="19" customFormat="1" hidden="1" x14ac:dyDescent="0.25">
      <c r="B44" s="24" t="s">
        <v>48</v>
      </c>
      <c r="C44" s="22" t="s">
        <v>47</v>
      </c>
      <c r="E44" s="24"/>
      <c r="F44" s="19">
        <f>IF('[1]Budget Summary 1'!J659&gt;0,'[1]Budget Summary 1'!J659,0)</f>
        <v>0</v>
      </c>
      <c r="G44" s="24"/>
      <c r="H44" s="19">
        <f>IF('[1]Budget Summary 1'!L659&gt;0,'[1]Budget Summary 1'!L659,0)</f>
        <v>0</v>
      </c>
      <c r="I44" s="19">
        <f>IF('[1]Budget Summary 1'!M659&gt;0,'[1]Budget Summary 1'!M659,0)</f>
        <v>0</v>
      </c>
      <c r="J44" s="19">
        <f>IF('[1]Budget Summary 1'!N659&gt;0,'[1]Budget Summary 1'!N659,0)</f>
        <v>0</v>
      </c>
      <c r="K44" s="19">
        <f>IF('[1]Budget Summary 1'!O659&gt;0,'[1]Budget Summary 1'!O659,0)</f>
        <v>0</v>
      </c>
      <c r="L44" s="19">
        <f>IF('[1]Budget Summary 1'!P659&gt;0,'[1]Budget Summary 1'!P659,0)</f>
        <v>0</v>
      </c>
      <c r="M44" s="19">
        <f>IF('[1]Budget Summary 1'!Q659&gt;0,'[1]Budget Summary 1'!Q659,0)</f>
        <v>0</v>
      </c>
      <c r="N44" s="19">
        <f>IF('[1]Budget Summary 1'!R659&gt;0,'[1]Budget Summary 1'!R659,0)</f>
        <v>0</v>
      </c>
      <c r="O44" s="19">
        <f>IF('[1]Budget Summary 1'!S659&gt;0,'[1]Budget Summary 1'!S659,0)</f>
        <v>0</v>
      </c>
      <c r="P44" s="19">
        <f>IF('[1]Budget Summary 1'!T659&gt;0,'[1]Budget Summary 1'!T659,0)</f>
        <v>0</v>
      </c>
      <c r="Q44" s="19">
        <f>IF('[1]Budget Summary 1'!U659&gt;0,'[1]Budget Summary 1'!U659,0)</f>
        <v>0</v>
      </c>
      <c r="DZ44" s="22" t="s">
        <v>2</v>
      </c>
      <c r="EA44" s="23" t="s">
        <v>1</v>
      </c>
      <c r="EB44" s="23" t="s">
        <v>1</v>
      </c>
      <c r="EC44" s="23" t="s">
        <v>1</v>
      </c>
    </row>
    <row r="45" spans="1:133" s="19" customFormat="1" hidden="1" x14ac:dyDescent="0.25">
      <c r="B45" s="24" t="s">
        <v>49</v>
      </c>
      <c r="C45" s="22" t="s">
        <v>47</v>
      </c>
      <c r="E45" s="24"/>
      <c r="F45" s="19">
        <f>IF('[1]Budget Summary 1'!J659&lt;0,-'[1]Budget Summary 1'!J659,0)</f>
        <v>0</v>
      </c>
      <c r="G45" s="24"/>
      <c r="H45" s="19">
        <f>IF('[1]Budget Summary 1'!L659&lt;0,-'[1]Budget Summary 1'!L659,0)</f>
        <v>0</v>
      </c>
      <c r="I45" s="19">
        <f>IF('[1]Budget Summary 1'!M659&lt;0,-'[1]Budget Summary 1'!M659,0)</f>
        <v>0</v>
      </c>
      <c r="J45" s="19">
        <f>IF('[1]Budget Summary 1'!N659&lt;0,-'[1]Budget Summary 1'!N659,0)</f>
        <v>0</v>
      </c>
      <c r="K45" s="19">
        <f>IF('[1]Budget Summary 1'!O659&lt;0,-'[1]Budget Summary 1'!O659,0)</f>
        <v>0</v>
      </c>
      <c r="L45" s="19">
        <f>IF('[1]Budget Summary 1'!P659&lt;0,-'[1]Budget Summary 1'!P659,0)</f>
        <v>0</v>
      </c>
      <c r="M45" s="19">
        <f>IF('[1]Budget Summary 1'!Q659&lt;0,-'[1]Budget Summary 1'!Q659,0)</f>
        <v>0</v>
      </c>
      <c r="N45" s="19">
        <f>IF('[1]Budget Summary 1'!R659&lt;0,-'[1]Budget Summary 1'!R659,0)</f>
        <v>0</v>
      </c>
      <c r="O45" s="19">
        <f>IF('[1]Budget Summary 1'!S659&lt;0,-'[1]Budget Summary 1'!S659,0)</f>
        <v>0</v>
      </c>
      <c r="P45" s="19">
        <f>IF('[1]Budget Summary 1'!T659&lt;0,-'[1]Budget Summary 1'!T659,0)</f>
        <v>0</v>
      </c>
      <c r="Q45" s="19">
        <f>IF('[1]Budget Summary 1'!U659&lt;0,-'[1]Budget Summary 1'!U659,0)</f>
        <v>0</v>
      </c>
      <c r="DZ45" s="22" t="s">
        <v>2</v>
      </c>
      <c r="EA45" s="23" t="s">
        <v>1</v>
      </c>
      <c r="EB45" s="23" t="s">
        <v>1</v>
      </c>
      <c r="EC45" s="23" t="s">
        <v>1</v>
      </c>
    </row>
    <row r="46" spans="1:133" s="19" customFormat="1" hidden="1" x14ac:dyDescent="0.25">
      <c r="C46" s="22" t="s">
        <v>47</v>
      </c>
      <c r="DZ46" s="22" t="s">
        <v>2</v>
      </c>
      <c r="EA46" s="23" t="s">
        <v>1</v>
      </c>
      <c r="EB46" s="23" t="s">
        <v>1</v>
      </c>
      <c r="EC46" s="23" t="s">
        <v>1</v>
      </c>
    </row>
    <row r="47" spans="1:133" s="19" customFormat="1" hidden="1" x14ac:dyDescent="0.25">
      <c r="B47" s="19" t="s">
        <v>50</v>
      </c>
      <c r="C47" s="22" t="s">
        <v>47</v>
      </c>
      <c r="F47" s="19">
        <f>+'[1]Loans Receivable - Internal'!J44</f>
        <v>0</v>
      </c>
      <c r="H47" s="19">
        <f>+'[1]Loans Receivable - Internal'!K44</f>
        <v>0</v>
      </c>
      <c r="I47" s="19">
        <f>+'[1]Loans Receivable - Internal'!L44</f>
        <v>0</v>
      </c>
      <c r="J47" s="19">
        <f>+'[1]Loans Receivable - Internal'!M44</f>
        <v>0</v>
      </c>
      <c r="K47" s="19">
        <f>+'[1]Loans Receivable - Internal'!N44</f>
        <v>0</v>
      </c>
      <c r="L47" s="19">
        <f>+'[1]Loans Receivable - Internal'!O44</f>
        <v>0</v>
      </c>
      <c r="M47" s="19">
        <f>+'[1]Loans Receivable - Internal'!P44</f>
        <v>0</v>
      </c>
      <c r="N47" s="19">
        <f>+'[1]Loans Receivable - Internal'!Q44</f>
        <v>0</v>
      </c>
      <c r="O47" s="19">
        <f>+'[1]Loans Receivable - Internal'!R44</f>
        <v>0</v>
      </c>
      <c r="P47" s="19">
        <f>+'[1]Loans Receivable - Internal'!S44</f>
        <v>0</v>
      </c>
      <c r="Q47" s="19">
        <f>+'[1]Loans Receivable - Internal'!T44</f>
        <v>0</v>
      </c>
      <c r="DZ47" s="22" t="s">
        <v>2</v>
      </c>
      <c r="EA47" s="23" t="s">
        <v>1</v>
      </c>
      <c r="EB47" s="23" t="s">
        <v>1</v>
      </c>
      <c r="EC47" s="23" t="s">
        <v>1</v>
      </c>
    </row>
    <row r="48" spans="1:133" s="19" customFormat="1" hidden="1" x14ac:dyDescent="0.25">
      <c r="B48" s="19" t="s">
        <v>51</v>
      </c>
      <c r="C48" s="22" t="s">
        <v>47</v>
      </c>
      <c r="F48" s="19">
        <f>+'[1]Loans Payable - Internal'!J44</f>
        <v>0</v>
      </c>
      <c r="H48" s="19">
        <f>+'[1]Loans Payable - Internal'!K44</f>
        <v>0</v>
      </c>
      <c r="I48" s="19">
        <f>+'[1]Loans Payable - Internal'!L44</f>
        <v>0</v>
      </c>
      <c r="J48" s="19">
        <f>+'[1]Loans Payable - Internal'!M44</f>
        <v>0</v>
      </c>
      <c r="K48" s="19">
        <f>+'[1]Loans Payable - Internal'!N44</f>
        <v>0</v>
      </c>
      <c r="L48" s="19">
        <f>+'[1]Loans Payable - Internal'!O44</f>
        <v>0</v>
      </c>
      <c r="M48" s="19">
        <f>+'[1]Loans Payable - Internal'!P44</f>
        <v>0</v>
      </c>
      <c r="N48" s="19">
        <f>+'[1]Loans Payable - Internal'!Q44</f>
        <v>0</v>
      </c>
      <c r="O48" s="19">
        <f>+'[1]Loans Payable - Internal'!R44</f>
        <v>0</v>
      </c>
      <c r="P48" s="19">
        <f>+'[1]Loans Payable - Internal'!S44</f>
        <v>0</v>
      </c>
      <c r="Q48" s="19">
        <f>+'[1]Loans Payable - Internal'!T44</f>
        <v>0</v>
      </c>
      <c r="DZ48" s="22" t="s">
        <v>2</v>
      </c>
      <c r="EA48" s="23" t="s">
        <v>1</v>
      </c>
      <c r="EB48" s="23" t="s">
        <v>1</v>
      </c>
      <c r="EC48" s="23" t="s">
        <v>1</v>
      </c>
    </row>
    <row r="49" spans="2:133" s="19" customFormat="1" hidden="1" x14ac:dyDescent="0.25">
      <c r="C49" s="22" t="s">
        <v>47</v>
      </c>
      <c r="DZ49" s="22" t="s">
        <v>2</v>
      </c>
      <c r="EA49" s="23" t="s">
        <v>1</v>
      </c>
      <c r="EB49" s="23" t="s">
        <v>1</v>
      </c>
      <c r="EC49" s="23" t="s">
        <v>1</v>
      </c>
    </row>
    <row r="50" spans="2:133" s="19" customFormat="1" hidden="1" x14ac:dyDescent="0.25">
      <c r="C50" s="22" t="s">
        <v>47</v>
      </c>
      <c r="DZ50" s="22" t="s">
        <v>2</v>
      </c>
      <c r="EA50" s="23" t="s">
        <v>1</v>
      </c>
      <c r="EB50" s="23" t="s">
        <v>1</v>
      </c>
      <c r="EC50" s="23" t="s">
        <v>1</v>
      </c>
    </row>
    <row r="51" spans="2:133" s="19" customFormat="1" hidden="1" x14ac:dyDescent="0.25">
      <c r="C51" s="22" t="s">
        <v>47</v>
      </c>
      <c r="F51" s="19">
        <v>1</v>
      </c>
      <c r="H51" s="19">
        <f>F51+1</f>
        <v>2</v>
      </c>
      <c r="I51" s="19">
        <f t="shared" ref="I51:Q51" si="42">H51+1</f>
        <v>3</v>
      </c>
      <c r="J51" s="19">
        <f t="shared" si="42"/>
        <v>4</v>
      </c>
      <c r="K51" s="19">
        <f t="shared" si="42"/>
        <v>5</v>
      </c>
      <c r="L51" s="19">
        <f t="shared" si="42"/>
        <v>6</v>
      </c>
      <c r="M51" s="19">
        <f t="shared" si="42"/>
        <v>7</v>
      </c>
      <c r="N51" s="19">
        <f t="shared" si="42"/>
        <v>8</v>
      </c>
      <c r="O51" s="19">
        <f t="shared" si="42"/>
        <v>9</v>
      </c>
      <c r="P51" s="19">
        <f t="shared" si="42"/>
        <v>10</v>
      </c>
      <c r="Q51" s="19">
        <f t="shared" si="42"/>
        <v>11</v>
      </c>
      <c r="AG51" s="19">
        <f>Q51+1</f>
        <v>12</v>
      </c>
      <c r="AH51" s="19">
        <f t="shared" ref="AH51:AP51" si="43">AG51+1</f>
        <v>13</v>
      </c>
      <c r="AI51" s="19">
        <f t="shared" si="43"/>
        <v>14</v>
      </c>
      <c r="AJ51" s="19">
        <f t="shared" si="43"/>
        <v>15</v>
      </c>
      <c r="AK51" s="19">
        <f t="shared" si="43"/>
        <v>16</v>
      </c>
      <c r="AL51" s="19">
        <f t="shared" si="43"/>
        <v>17</v>
      </c>
      <c r="AM51" s="19">
        <f t="shared" si="43"/>
        <v>18</v>
      </c>
      <c r="AN51" s="19">
        <f t="shared" si="43"/>
        <v>19</v>
      </c>
      <c r="AO51" s="19">
        <f t="shared" si="43"/>
        <v>20</v>
      </c>
      <c r="AP51" s="19">
        <f t="shared" si="43"/>
        <v>21</v>
      </c>
      <c r="BO51" s="19">
        <f>Q51+1</f>
        <v>12</v>
      </c>
      <c r="BP51" s="19">
        <f t="shared" ref="BP51:BX51" si="44">BO51+1</f>
        <v>13</v>
      </c>
      <c r="BQ51" s="19">
        <f t="shared" si="44"/>
        <v>14</v>
      </c>
      <c r="BR51" s="19">
        <f t="shared" si="44"/>
        <v>15</v>
      </c>
      <c r="BS51" s="19">
        <f t="shared" si="44"/>
        <v>16</v>
      </c>
      <c r="BT51" s="19">
        <f t="shared" si="44"/>
        <v>17</v>
      </c>
      <c r="BU51" s="19">
        <f t="shared" si="44"/>
        <v>18</v>
      </c>
      <c r="BV51" s="19">
        <f t="shared" si="44"/>
        <v>19</v>
      </c>
      <c r="BW51" s="19">
        <f t="shared" si="44"/>
        <v>20</v>
      </c>
      <c r="BX51" s="19">
        <f t="shared" si="44"/>
        <v>21</v>
      </c>
      <c r="DZ51" s="22" t="s">
        <v>2</v>
      </c>
      <c r="EA51" s="23" t="s">
        <v>1</v>
      </c>
      <c r="EB51" s="23" t="s">
        <v>1</v>
      </c>
      <c r="EC51" s="23" t="s">
        <v>1</v>
      </c>
    </row>
    <row r="52" spans="2:133" s="19" customFormat="1" hidden="1" x14ac:dyDescent="0.25">
      <c r="C52" s="22" t="s">
        <v>47</v>
      </c>
      <c r="DZ52" s="22" t="s">
        <v>2</v>
      </c>
      <c r="EA52" s="23" t="s">
        <v>1</v>
      </c>
      <c r="EB52" s="23" t="s">
        <v>1</v>
      </c>
      <c r="EC52" s="23" t="s">
        <v>1</v>
      </c>
    </row>
    <row r="53" spans="2:133" s="19" customFormat="1" hidden="1" x14ac:dyDescent="0.25">
      <c r="B53" s="25" t="s">
        <v>52</v>
      </c>
      <c r="C53" s="22" t="s">
        <v>47</v>
      </c>
      <c r="E53" s="25"/>
      <c r="G53" s="25"/>
      <c r="DZ53" s="22" t="s">
        <v>2</v>
      </c>
      <c r="EA53" s="23" t="s">
        <v>1</v>
      </c>
      <c r="EB53" s="23" t="s">
        <v>1</v>
      </c>
      <c r="EC53" s="23" t="s">
        <v>1</v>
      </c>
    </row>
    <row r="54" spans="2:133" s="19" customFormat="1" hidden="1" x14ac:dyDescent="0.25">
      <c r="B54" s="24" t="s">
        <v>44</v>
      </c>
      <c r="C54" s="22" t="s">
        <v>47</v>
      </c>
      <c r="E54" s="24"/>
      <c r="F54" s="19">
        <f>F36</f>
        <v>3591533.6300000139</v>
      </c>
      <c r="G54" s="24"/>
      <c r="H54" s="19">
        <f t="shared" ref="H54:Q54" si="45">H36</f>
        <v>2882978.191702541</v>
      </c>
      <c r="I54" s="19">
        <f t="shared" si="45"/>
        <v>3473343.3753916062</v>
      </c>
      <c r="J54" s="19">
        <f t="shared" si="45"/>
        <v>4053498.6622249074</v>
      </c>
      <c r="K54" s="19">
        <f t="shared" si="45"/>
        <v>4319912.7379756793</v>
      </c>
      <c r="L54" s="19">
        <f t="shared" si="45"/>
        <v>4709370.6659158804</v>
      </c>
      <c r="M54" s="19">
        <f t="shared" si="45"/>
        <v>4602290.9459327608</v>
      </c>
      <c r="N54" s="19">
        <f t="shared" si="45"/>
        <v>4779211.4864401594</v>
      </c>
      <c r="O54" s="19">
        <f t="shared" si="45"/>
        <v>4837350.5731174573</v>
      </c>
      <c r="P54" s="19">
        <f t="shared" si="45"/>
        <v>4878563.0991989747</v>
      </c>
      <c r="Q54" s="19">
        <f t="shared" si="45"/>
        <v>4921185.5093323812</v>
      </c>
      <c r="DZ54" s="22" t="s">
        <v>2</v>
      </c>
      <c r="EA54" s="23" t="s">
        <v>1</v>
      </c>
      <c r="EB54" s="23" t="s">
        <v>1</v>
      </c>
      <c r="EC54" s="23" t="s">
        <v>1</v>
      </c>
    </row>
    <row r="55" spans="2:133" s="19" customFormat="1" hidden="1" x14ac:dyDescent="0.25">
      <c r="B55" s="24" t="s">
        <v>53</v>
      </c>
      <c r="C55" s="22" t="s">
        <v>47</v>
      </c>
      <c r="E55" s="24"/>
      <c r="G55" s="24"/>
      <c r="DZ55" s="22" t="s">
        <v>2</v>
      </c>
      <c r="EA55" s="23" t="s">
        <v>1</v>
      </c>
      <c r="EB55" s="23" t="s">
        <v>1</v>
      </c>
      <c r="EC55" s="23" t="s">
        <v>1</v>
      </c>
    </row>
    <row r="56" spans="2:133" s="19" customFormat="1" hidden="1" x14ac:dyDescent="0.25">
      <c r="B56" s="24" t="s">
        <v>54</v>
      </c>
      <c r="C56" s="22" t="s">
        <v>47</v>
      </c>
      <c r="E56" s="24"/>
      <c r="F56" s="19">
        <f>F23-SUMIF('[1]Budget Summary 1'!$C:$C,$A23,'[1]Budget Summary 1'!J:J)</f>
        <v>0</v>
      </c>
      <c r="G56" s="24"/>
      <c r="H56" s="19">
        <f>H23-SUMIF('[1]Budget Summary 1'!$C:$C,$A23,'[1]Budget Summary 1'!L:L)</f>
        <v>102109.72829747573</v>
      </c>
      <c r="I56" s="19">
        <f>I23-SUMIF('[1]Budget Summary 1'!$C:$C,$A23,'[1]Budget Summary 1'!M:M)</f>
        <v>179174.43460837752</v>
      </c>
      <c r="J56" s="19">
        <f>J23-SUMIF('[1]Budget Summary 1'!$C:$C,$A23,'[1]Budget Summary 1'!N:N)</f>
        <v>197808.38777508959</v>
      </c>
      <c r="K56" s="19">
        <f>K23-SUMIF('[1]Budget Summary 1'!$C:$C,$A23,'[1]Budget Summary 1'!O:O)</f>
        <v>228516.38202431425</v>
      </c>
      <c r="L56" s="19">
        <f>L23-SUMIF('[1]Budget Summary 1'!$C:$C,$A23,'[1]Budget Summary 1'!P:P)</f>
        <v>269758.26408410817</v>
      </c>
      <c r="M56" s="19">
        <f>M23-SUMIF('[1]Budget Summary 1'!$C:$C,$A23,'[1]Budget Summary 1'!Q:Q)</f>
        <v>324899.55406723544</v>
      </c>
      <c r="N56" s="19">
        <f>N23-SUMIF('[1]Budget Summary 1'!$C:$C,$A23,'[1]Budget Summary 1'!R:R)</f>
        <v>360342.09355983697</v>
      </c>
      <c r="O56" s="19">
        <f>O23-SUMIF('[1]Budget Summary 1'!$C:$C,$A23,'[1]Budget Summary 1'!S:S)</f>
        <v>398807.89688255079</v>
      </c>
      <c r="P56" s="19">
        <f>P23-SUMIF('[1]Budget Summary 1'!$C:$C,$A23,'[1]Budget Summary 1'!T:T)</f>
        <v>439878.65080101788</v>
      </c>
      <c r="Q56" s="19">
        <f>Q23-SUMIF('[1]Budget Summary 1'!$C:$C,$A23,'[1]Budget Summary 1'!U:U)</f>
        <v>481424.76066761464</v>
      </c>
      <c r="DZ56" s="22" t="s">
        <v>2</v>
      </c>
      <c r="EA56" s="23" t="s">
        <v>1</v>
      </c>
      <c r="EB56" s="23" t="s">
        <v>1</v>
      </c>
      <c r="EC56" s="23" t="s">
        <v>1</v>
      </c>
    </row>
    <row r="57" spans="2:133" s="19" customFormat="1" hidden="1" x14ac:dyDescent="0.25">
      <c r="B57" s="24" t="s">
        <v>55</v>
      </c>
      <c r="C57" s="22" t="s">
        <v>47</v>
      </c>
      <c r="E57" s="24"/>
      <c r="F57" s="58">
        <f>'[1]Budget Summary 1'!J141</f>
        <v>1274217</v>
      </c>
      <c r="G57" s="24"/>
      <c r="H57" s="58">
        <f>'[1]Budget Summary 1'!L141</f>
        <v>276191</v>
      </c>
      <c r="I57" s="58">
        <f>'[1]Budget Summary 1'!M141</f>
        <v>573221</v>
      </c>
      <c r="J57" s="58">
        <f>'[1]Budget Summary 1'!N141</f>
        <v>-121282</v>
      </c>
      <c r="K57" s="58">
        <f>'[1]Budget Summary 1'!O141</f>
        <v>-573450</v>
      </c>
      <c r="L57" s="58">
        <f>'[1]Budget Summary 1'!P141</f>
        <v>-597372</v>
      </c>
      <c r="M57" s="58">
        <f>'[1]Budget Summary 1'!Q141</f>
        <v>-461893</v>
      </c>
      <c r="N57" s="58">
        <f>'[1]Budget Summary 1'!R141</f>
        <v>-257628</v>
      </c>
      <c r="O57" s="58">
        <f>'[1]Budget Summary 1'!S141</f>
        <v>-579137</v>
      </c>
      <c r="P57" s="58">
        <f>'[1]Budget Summary 1'!T141</f>
        <v>-452894</v>
      </c>
      <c r="Q57" s="58">
        <f>'[1]Budget Summary 1'!U141</f>
        <v>-632224</v>
      </c>
      <c r="DZ57" s="22" t="s">
        <v>2</v>
      </c>
      <c r="EA57" s="23" t="s">
        <v>1</v>
      </c>
      <c r="EB57" s="23" t="s">
        <v>1</v>
      </c>
      <c r="EC57" s="23" t="s">
        <v>1</v>
      </c>
    </row>
    <row r="58" spans="2:133" s="19" customFormat="1" hidden="1" x14ac:dyDescent="0.25">
      <c r="B58" s="24" t="s">
        <v>56</v>
      </c>
      <c r="C58" s="22" t="s">
        <v>47</v>
      </c>
      <c r="E58" s="24"/>
      <c r="F58" s="19">
        <f>(-F10+SUMIF('[1]Budget Summary 1'!$C:$C,"Interest &amp; Investment Revenue",'[1]Budget Summary 1'!J:J)-F59)</f>
        <v>0</v>
      </c>
      <c r="G58" s="24"/>
      <c r="H58" s="19">
        <f>(-H10+SUMIF('[1]Budget Summary 1'!$C:$C,"Interest &amp; Investment Revenue",'[1]Budget Summary 1'!L:L)-H59)</f>
        <v>0</v>
      </c>
      <c r="I58" s="19">
        <f>(-I10+SUMIF('[1]Budget Summary 1'!$C:$C,"Interest &amp; Investment Revenue",'[1]Budget Summary 1'!M:M)-I59)</f>
        <v>0</v>
      </c>
      <c r="J58" s="19">
        <f>(-J10+SUMIF('[1]Budget Summary 1'!$C:$C,"Interest &amp; Investment Revenue",'[1]Budget Summary 1'!N:N)-J59)</f>
        <v>0</v>
      </c>
      <c r="K58" s="19">
        <f>(-K10+SUMIF('[1]Budget Summary 1'!$C:$C,"Interest &amp; Investment Revenue",'[1]Budget Summary 1'!O:O)-K59)</f>
        <v>0</v>
      </c>
      <c r="L58" s="19">
        <f>(-L10+SUMIF('[1]Budget Summary 1'!$C:$C,"Interest &amp; Investment Revenue",'[1]Budget Summary 1'!P:P)-L59)</f>
        <v>0</v>
      </c>
      <c r="M58" s="19">
        <f>(-M10+SUMIF('[1]Budget Summary 1'!$C:$C,"Interest &amp; Investment Revenue",'[1]Budget Summary 1'!Q:Q)-M59)</f>
        <v>0</v>
      </c>
      <c r="N58" s="19">
        <f>(-N10+SUMIF('[1]Budget Summary 1'!$C:$C,"Interest &amp; Investment Revenue",'[1]Budget Summary 1'!R:R)-N59)</f>
        <v>0</v>
      </c>
      <c r="O58" s="19">
        <f>(-O10+SUMIF('[1]Budget Summary 1'!$C:$C,"Interest &amp; Investment Revenue",'[1]Budget Summary 1'!S:S)-O59)</f>
        <v>0</v>
      </c>
      <c r="P58" s="19">
        <f>(-P10+SUMIF('[1]Budget Summary 1'!$C:$C,"Interest &amp; Investment Revenue",'[1]Budget Summary 1'!T:T)-P59)</f>
        <v>0</v>
      </c>
      <c r="Q58" s="19">
        <f>(-Q10+SUMIF('[1]Budget Summary 1'!$C:$C,"Interest &amp; Investment Revenue",'[1]Budget Summary 1'!U:U)-Q59)</f>
        <v>0</v>
      </c>
      <c r="DZ58" s="22" t="s">
        <v>2</v>
      </c>
      <c r="EA58" s="23" t="s">
        <v>1</v>
      </c>
      <c r="EB58" s="23" t="s">
        <v>1</v>
      </c>
      <c r="EC58" s="23" t="s">
        <v>1</v>
      </c>
    </row>
    <row r="59" spans="2:133" s="19" customFormat="1" hidden="1" x14ac:dyDescent="0.25">
      <c r="B59" s="24" t="s">
        <v>57</v>
      </c>
      <c r="C59" s="22" t="s">
        <v>47</v>
      </c>
      <c r="E59" s="24"/>
      <c r="F59" s="58"/>
      <c r="G59" s="24"/>
      <c r="DZ59" s="22" t="s">
        <v>2</v>
      </c>
      <c r="EA59" s="23" t="s">
        <v>1</v>
      </c>
      <c r="EB59" s="23" t="s">
        <v>1</v>
      </c>
      <c r="EC59" s="23" t="s">
        <v>1</v>
      </c>
    </row>
    <row r="60" spans="2:133" s="19" customFormat="1" hidden="1" x14ac:dyDescent="0.25">
      <c r="B60" s="24" t="s">
        <v>58</v>
      </c>
      <c r="C60" s="22" t="s">
        <v>47</v>
      </c>
      <c r="E60" s="24"/>
      <c r="F60" s="58">
        <f>-(+'[1]RE Dev Summary'!E43+'[1]RE Dev Summary'!E48+'[1]Major Projects summary'!E84+'[1]Major Projects summary'!E89)</f>
        <v>0</v>
      </c>
      <c r="G60" s="24"/>
      <c r="H60" s="58">
        <f>-(+'[1]RE Dev Summary'!G43+'[1]RE Dev Summary'!G48+'[1]Major Projects summary'!G84+'[1]Major Projects summary'!G89)</f>
        <v>0</v>
      </c>
      <c r="I60" s="58">
        <f>-(+'[1]RE Dev Summary'!H43+'[1]RE Dev Summary'!H48+'[1]Major Projects summary'!H84+'[1]Major Projects summary'!H89)</f>
        <v>0</v>
      </c>
      <c r="J60" s="58">
        <f>-(+'[1]RE Dev Summary'!I43+'[1]RE Dev Summary'!I48+'[1]Major Projects summary'!I84+'[1]Major Projects summary'!I89)</f>
        <v>0</v>
      </c>
      <c r="K60" s="58">
        <f>-(+'[1]RE Dev Summary'!J43+'[1]RE Dev Summary'!J48+'[1]Major Projects summary'!J84+'[1]Major Projects summary'!J89)</f>
        <v>0</v>
      </c>
      <c r="L60" s="58">
        <f>-(+'[1]RE Dev Summary'!K43+'[1]RE Dev Summary'!K48+'[1]Major Projects summary'!K84+'[1]Major Projects summary'!K89)</f>
        <v>0</v>
      </c>
      <c r="M60" s="58">
        <f>-(+'[1]RE Dev Summary'!L43+'[1]RE Dev Summary'!L48+'[1]Major Projects summary'!L84+'[1]Major Projects summary'!L89)</f>
        <v>0</v>
      </c>
      <c r="N60" s="58">
        <f>-(+'[1]RE Dev Summary'!M43+'[1]RE Dev Summary'!M48+'[1]Major Projects summary'!M84+'[1]Major Projects summary'!M89)</f>
        <v>0</v>
      </c>
      <c r="O60" s="58">
        <f>-(+'[1]RE Dev Summary'!N43+'[1]RE Dev Summary'!N48+'[1]Major Projects summary'!N84+'[1]Major Projects summary'!N89)</f>
        <v>0</v>
      </c>
      <c r="P60" s="58">
        <f>-(+'[1]RE Dev Summary'!O43+'[1]RE Dev Summary'!O48+'[1]Major Projects summary'!O84+'[1]Major Projects summary'!O89)</f>
        <v>0</v>
      </c>
      <c r="Q60" s="58">
        <f>-(+'[1]RE Dev Summary'!P43+'[1]RE Dev Summary'!P48+'[1]Major Projects summary'!P84+'[1]Major Projects summary'!P89)</f>
        <v>0</v>
      </c>
      <c r="DZ60" s="22" t="s">
        <v>2</v>
      </c>
      <c r="EA60" s="23" t="s">
        <v>1</v>
      </c>
      <c r="EB60" s="23" t="s">
        <v>1</v>
      </c>
      <c r="EC60" s="23" t="s">
        <v>1</v>
      </c>
    </row>
    <row r="61" spans="2:133" s="19" customFormat="1" hidden="1" x14ac:dyDescent="0.25">
      <c r="B61" s="24" t="s">
        <v>59</v>
      </c>
      <c r="C61" s="22" t="s">
        <v>47</v>
      </c>
      <c r="E61" s="24"/>
      <c r="F61" s="58">
        <f>-(+'[1]RE Dev Summary'!E44+'[1]RE Dev Summary'!E49+'[1]Major Projects summary'!E85+'[1]Major Projects summary'!E90)</f>
        <v>0</v>
      </c>
      <c r="G61" s="24"/>
      <c r="H61" s="58">
        <f>-(+'[1]RE Dev Summary'!G44+'[1]RE Dev Summary'!G49+'[1]Major Projects summary'!G85+'[1]Major Projects summary'!G90)</f>
        <v>0</v>
      </c>
      <c r="I61" s="58">
        <f>-(+'[1]RE Dev Summary'!H44+'[1]RE Dev Summary'!H49+'[1]Major Projects summary'!H85+'[1]Major Projects summary'!H90)</f>
        <v>0</v>
      </c>
      <c r="J61" s="58">
        <f>-(+'[1]RE Dev Summary'!I44+'[1]RE Dev Summary'!I49+'[1]Major Projects summary'!I85+'[1]Major Projects summary'!I90)</f>
        <v>0</v>
      </c>
      <c r="K61" s="58">
        <f>-(+'[1]RE Dev Summary'!J44+'[1]RE Dev Summary'!J49+'[1]Major Projects summary'!J85+'[1]Major Projects summary'!J90)</f>
        <v>0</v>
      </c>
      <c r="L61" s="58">
        <f>-(+'[1]RE Dev Summary'!K44+'[1]RE Dev Summary'!K49+'[1]Major Projects summary'!K85+'[1]Major Projects summary'!K90)</f>
        <v>0</v>
      </c>
      <c r="M61" s="58">
        <f>-(+'[1]RE Dev Summary'!L44+'[1]RE Dev Summary'!L49+'[1]Major Projects summary'!L85+'[1]Major Projects summary'!L90)</f>
        <v>0</v>
      </c>
      <c r="N61" s="58">
        <f>-(+'[1]RE Dev Summary'!M44+'[1]RE Dev Summary'!M49+'[1]Major Projects summary'!M85+'[1]Major Projects summary'!M90)</f>
        <v>0</v>
      </c>
      <c r="O61" s="58">
        <f>-(+'[1]RE Dev Summary'!N44+'[1]RE Dev Summary'!N49+'[1]Major Projects summary'!N85+'[1]Major Projects summary'!N90)</f>
        <v>0</v>
      </c>
      <c r="P61" s="58">
        <f>-(+'[1]RE Dev Summary'!O44+'[1]RE Dev Summary'!O49+'[1]Major Projects summary'!O85+'[1]Major Projects summary'!O90)</f>
        <v>0</v>
      </c>
      <c r="Q61" s="58">
        <f>-(+'[1]RE Dev Summary'!P44+'[1]RE Dev Summary'!P49+'[1]Major Projects summary'!P85+'[1]Major Projects summary'!P90)</f>
        <v>0</v>
      </c>
      <c r="DZ61" s="22" t="s">
        <v>2</v>
      </c>
      <c r="EA61" s="23" t="s">
        <v>1</v>
      </c>
      <c r="EB61" s="23" t="s">
        <v>1</v>
      </c>
      <c r="EC61" s="23" t="s">
        <v>1</v>
      </c>
    </row>
    <row r="62" spans="2:133" s="19" customFormat="1" hidden="1" x14ac:dyDescent="0.25">
      <c r="B62" s="24" t="s">
        <v>60</v>
      </c>
      <c r="C62" s="22" t="s">
        <v>47</v>
      </c>
      <c r="E62" s="24"/>
      <c r="F62" s="58">
        <f>-(+'[1]CAPEX Summary'!E10+'[1]CAPEX Summary'!E35+'[1]Major Projects summary'!E11)</f>
        <v>0</v>
      </c>
      <c r="G62" s="24"/>
      <c r="H62" s="58">
        <f>-(+'[1]CAPEX Summary'!G10+'[1]CAPEX Summary'!G35+'[1]Major Projects summary'!G11)</f>
        <v>0</v>
      </c>
      <c r="I62" s="58">
        <f>-(+'[1]CAPEX Summary'!H10+'[1]CAPEX Summary'!H35+'[1]Major Projects summary'!H11)</f>
        <v>0</v>
      </c>
      <c r="J62" s="58">
        <f>-(+'[1]CAPEX Summary'!I10+'[1]CAPEX Summary'!I35+'[1]Major Projects summary'!I11)</f>
        <v>0</v>
      </c>
      <c r="K62" s="58">
        <f>-(+'[1]CAPEX Summary'!J10+'[1]CAPEX Summary'!J35+'[1]Major Projects summary'!J11)</f>
        <v>0</v>
      </c>
      <c r="L62" s="58">
        <f>-(+'[1]CAPEX Summary'!K10+'[1]CAPEX Summary'!K35+'[1]Major Projects summary'!K11)</f>
        <v>0</v>
      </c>
      <c r="M62" s="58">
        <f>-(+'[1]CAPEX Summary'!L10+'[1]CAPEX Summary'!L35+'[1]Major Projects summary'!L11)</f>
        <v>0</v>
      </c>
      <c r="N62" s="58">
        <f>-(+'[1]CAPEX Summary'!M10+'[1]CAPEX Summary'!M35+'[1]Major Projects summary'!M11)</f>
        <v>0</v>
      </c>
      <c r="O62" s="58">
        <f>-(+'[1]CAPEX Summary'!N10+'[1]CAPEX Summary'!N35+'[1]Major Projects summary'!N11)</f>
        <v>0</v>
      </c>
      <c r="P62" s="58">
        <f>-(+'[1]CAPEX Summary'!O10+'[1]CAPEX Summary'!O35+'[1]Major Projects summary'!O11)</f>
        <v>0</v>
      </c>
      <c r="Q62" s="58">
        <f>-(+'[1]CAPEX Summary'!P10+'[1]CAPEX Summary'!P35+'[1]Major Projects summary'!P11)</f>
        <v>0</v>
      </c>
      <c r="DZ62" s="22" t="s">
        <v>2</v>
      </c>
      <c r="EA62" s="23" t="s">
        <v>1</v>
      </c>
      <c r="EB62" s="23" t="s">
        <v>1</v>
      </c>
      <c r="EC62" s="23" t="s">
        <v>1</v>
      </c>
    </row>
    <row r="63" spans="2:133" s="19" customFormat="1" hidden="1" x14ac:dyDescent="0.25">
      <c r="B63" s="24" t="s">
        <v>61</v>
      </c>
      <c r="C63" s="22" t="s">
        <v>47</v>
      </c>
      <c r="E63" s="24"/>
      <c r="F63" s="34">
        <f>-F15</f>
        <v>-335000</v>
      </c>
      <c r="G63" s="24"/>
      <c r="H63" s="34">
        <f t="shared" ref="H63:Q63" si="46">-H15</f>
        <v>0</v>
      </c>
      <c r="I63" s="34">
        <f t="shared" si="46"/>
        <v>0</v>
      </c>
      <c r="J63" s="34">
        <f t="shared" si="46"/>
        <v>0</v>
      </c>
      <c r="K63" s="34">
        <f t="shared" si="46"/>
        <v>0</v>
      </c>
      <c r="L63" s="34">
        <f t="shared" si="46"/>
        <v>0</v>
      </c>
      <c r="M63" s="34">
        <f t="shared" si="46"/>
        <v>0</v>
      </c>
      <c r="N63" s="34">
        <f t="shared" si="46"/>
        <v>0</v>
      </c>
      <c r="O63" s="34">
        <f t="shared" si="46"/>
        <v>0</v>
      </c>
      <c r="P63" s="34">
        <f t="shared" si="46"/>
        <v>0</v>
      </c>
      <c r="Q63" s="34">
        <f t="shared" si="46"/>
        <v>0</v>
      </c>
      <c r="DZ63" s="22" t="s">
        <v>2</v>
      </c>
      <c r="EA63" s="23" t="s">
        <v>1</v>
      </c>
      <c r="EB63" s="23" t="s">
        <v>1</v>
      </c>
      <c r="EC63" s="23" t="s">
        <v>1</v>
      </c>
    </row>
    <row r="64" spans="2:133" s="19" customFormat="1" hidden="1" x14ac:dyDescent="0.25">
      <c r="B64" s="24" t="s">
        <v>62</v>
      </c>
      <c r="C64" s="22" t="s">
        <v>47</v>
      </c>
      <c r="E64" s="24"/>
      <c r="F64" s="34">
        <f>+'[1]Major Projects summary'!E36</f>
        <v>0</v>
      </c>
      <c r="G64" s="24"/>
      <c r="H64" s="34">
        <f>+'[1]Major Projects summary'!G36</f>
        <v>0</v>
      </c>
      <c r="I64" s="34">
        <f>+'[1]Major Projects summary'!H36</f>
        <v>0</v>
      </c>
      <c r="J64" s="34">
        <f>+'[1]Major Projects summary'!I36</f>
        <v>0</v>
      </c>
      <c r="K64" s="34">
        <f>+'[1]Major Projects summary'!J36</f>
        <v>0</v>
      </c>
      <c r="L64" s="34">
        <f>+'[1]Major Projects summary'!K36</f>
        <v>0</v>
      </c>
      <c r="M64" s="34">
        <f>+'[1]Major Projects summary'!L36</f>
        <v>0</v>
      </c>
      <c r="N64" s="34">
        <f>+'[1]Major Projects summary'!M36</f>
        <v>0</v>
      </c>
      <c r="O64" s="34">
        <f>+'[1]Major Projects summary'!N36</f>
        <v>0</v>
      </c>
      <c r="P64" s="34">
        <f>+'[1]Major Projects summary'!O36</f>
        <v>0</v>
      </c>
      <c r="Q64" s="34">
        <f>+'[1]Major Projects summary'!P36</f>
        <v>0</v>
      </c>
      <c r="DZ64" s="22" t="s">
        <v>2</v>
      </c>
      <c r="EA64" s="23" t="s">
        <v>1</v>
      </c>
      <c r="EB64" s="23" t="s">
        <v>1</v>
      </c>
      <c r="EC64" s="23" t="s">
        <v>1</v>
      </c>
    </row>
    <row r="65" spans="2:133" s="19" customFormat="1" hidden="1" x14ac:dyDescent="0.25">
      <c r="B65" s="24" t="s">
        <v>63</v>
      </c>
      <c r="C65" s="22" t="s">
        <v>47</v>
      </c>
      <c r="E65" s="24"/>
      <c r="F65" s="58">
        <f>+'[1]S94 - Plan Summary'!D68+SUM('[1]CAPEX Summary'!E88)+'[1]Major Projects summary'!E37+'[1]Major Projects summary'!E95+'[1]Major Projects summary'!E96+'[1]Major Projects summary'!E108+'[1]RE Dev Summary'!E53+'[1]RE Dev Summary'!E63</f>
        <v>0</v>
      </c>
      <c r="G65" s="24"/>
      <c r="H65" s="58">
        <f ca="1">+'[1]S94 - Plan Summary'!F68+SUM('[1]CAPEX Summary'!G88)+'[1]Major Projects summary'!G37+'[1]Major Projects summary'!G95+'[1]Major Projects summary'!G96+'[1]Major Projects summary'!G108+'[1]RE Dev Summary'!G35+'[1]RE Dev Summary'!G53+'[1]RE Dev Summary'!G63</f>
        <v>0</v>
      </c>
      <c r="I65" s="58">
        <f ca="1">+'[1]S94 - Plan Summary'!G68+SUM('[1]CAPEX Summary'!H88)+'[1]Major Projects summary'!H37+'[1]Major Projects summary'!H95+'[1]Major Projects summary'!H96+'[1]Major Projects summary'!H108+'[1]RE Dev Summary'!H35+'[1]RE Dev Summary'!H53+'[1]RE Dev Summary'!H63</f>
        <v>0</v>
      </c>
      <c r="J65" s="58">
        <f ca="1">+'[1]S94 - Plan Summary'!H68+SUM('[1]CAPEX Summary'!I88)+'[1]Major Projects summary'!I37+'[1]Major Projects summary'!I95+'[1]Major Projects summary'!I96+'[1]Major Projects summary'!I108+'[1]RE Dev Summary'!I35+'[1]RE Dev Summary'!I53+'[1]RE Dev Summary'!I63</f>
        <v>0</v>
      </c>
      <c r="K65" s="58">
        <f ca="1">+'[1]S94 - Plan Summary'!I68+SUM('[1]CAPEX Summary'!J88)+'[1]Major Projects summary'!J37+'[1]Major Projects summary'!J95+'[1]Major Projects summary'!J96+'[1]Major Projects summary'!J108+'[1]RE Dev Summary'!J35+'[1]RE Dev Summary'!J53+'[1]RE Dev Summary'!J63</f>
        <v>0</v>
      </c>
      <c r="L65" s="58">
        <f ca="1">+'[1]S94 - Plan Summary'!J68+SUM('[1]CAPEX Summary'!K88)+'[1]Major Projects summary'!K37+'[1]Major Projects summary'!K95+'[1]Major Projects summary'!K96+'[1]Major Projects summary'!K108+'[1]RE Dev Summary'!K35+'[1]RE Dev Summary'!K53+'[1]RE Dev Summary'!K63</f>
        <v>0</v>
      </c>
      <c r="M65" s="58">
        <f ca="1">+'[1]S94 - Plan Summary'!K68+SUM('[1]CAPEX Summary'!L88)+'[1]Major Projects summary'!L37+'[1]Major Projects summary'!L95+'[1]Major Projects summary'!L96+'[1]Major Projects summary'!L108+'[1]RE Dev Summary'!L35+'[1]RE Dev Summary'!L53+'[1]RE Dev Summary'!L63</f>
        <v>0</v>
      </c>
      <c r="N65" s="58">
        <f ca="1">+'[1]S94 - Plan Summary'!L68+SUM('[1]CAPEX Summary'!M88)+'[1]Major Projects summary'!M37+'[1]Major Projects summary'!M95+'[1]Major Projects summary'!M96+'[1]Major Projects summary'!M108+'[1]RE Dev Summary'!M35+'[1]RE Dev Summary'!M53+'[1]RE Dev Summary'!M63</f>
        <v>0</v>
      </c>
      <c r="O65" s="58">
        <f ca="1">+'[1]S94 - Plan Summary'!M68+SUM('[1]CAPEX Summary'!N88)+'[1]Major Projects summary'!N37+'[1]Major Projects summary'!N95+'[1]Major Projects summary'!N96+'[1]Major Projects summary'!N108+'[1]RE Dev Summary'!N35+'[1]RE Dev Summary'!N53+'[1]RE Dev Summary'!N63</f>
        <v>0</v>
      </c>
      <c r="P65" s="58">
        <f ca="1">+'[1]S94 - Plan Summary'!N68+SUM('[1]CAPEX Summary'!O88)+'[1]Major Projects summary'!O37+'[1]Major Projects summary'!O95+'[1]Major Projects summary'!O96+'[1]Major Projects summary'!O108+'[1]RE Dev Summary'!O35+'[1]RE Dev Summary'!O53+'[1]RE Dev Summary'!O63</f>
        <v>0</v>
      </c>
      <c r="Q65" s="58">
        <f ca="1">+'[1]S94 - Plan Summary'!O68+SUM('[1]CAPEX Summary'!P88)+'[1]Major Projects summary'!P37+'[1]Major Projects summary'!P95+'[1]Major Projects summary'!P96+'[1]Major Projects summary'!P108+'[1]RE Dev Summary'!P35+'[1]RE Dev Summary'!P53+'[1]RE Dev Summary'!P63</f>
        <v>0</v>
      </c>
      <c r="DZ65" s="22" t="s">
        <v>2</v>
      </c>
      <c r="EA65" s="23" t="s">
        <v>1</v>
      </c>
      <c r="EB65" s="23" t="s">
        <v>1</v>
      </c>
      <c r="EC65" s="23" t="s">
        <v>1</v>
      </c>
    </row>
    <row r="66" spans="2:133" s="19" customFormat="1" hidden="1" x14ac:dyDescent="0.25">
      <c r="B66" s="24" t="s">
        <v>64</v>
      </c>
      <c r="C66" s="22" t="s">
        <v>47</v>
      </c>
      <c r="E66" s="24"/>
      <c r="F66" s="58"/>
      <c r="G66" s="24"/>
      <c r="DZ66" s="22" t="s">
        <v>2</v>
      </c>
      <c r="EA66" s="23" t="s">
        <v>1</v>
      </c>
      <c r="EB66" s="23" t="s">
        <v>1</v>
      </c>
      <c r="EC66" s="23" t="s">
        <v>1</v>
      </c>
    </row>
    <row r="67" spans="2:133" s="19" customFormat="1" hidden="1" x14ac:dyDescent="0.25">
      <c r="B67" s="24" t="s">
        <v>65</v>
      </c>
      <c r="C67" s="22" t="s">
        <v>47</v>
      </c>
      <c r="E67" s="24"/>
      <c r="F67" s="58">
        <f>-(-F21+SUMIF('[1]Budget Summary 1'!$D:$D,$A21&amp;" - Other",'[1]Budget Summary 1'!J:J)+SUMIF('[1]Budget Summary 1'!$D:$D,$A21&amp;" - Interest on Loans",'[1]Budget Summary 1'!J:J))</f>
        <v>194156.12</v>
      </c>
      <c r="G67" s="24"/>
      <c r="H67" s="58">
        <f>-(-H21+SUMIF('[1]Budget Summary 1'!$D:$D,$A21&amp;" - Other",'[1]Budget Summary 1'!L:L)+SUMIF('[1]Budget Summary 1'!$D:$D,$A21&amp;" - Interest on Loans",'[1]Budget Summary 1'!L:L))</f>
        <v>155857.18</v>
      </c>
      <c r="I67" s="58">
        <f>-(-I21+SUMIF('[1]Budget Summary 1'!$D:$D,$A21&amp;" - Other",'[1]Budget Summary 1'!M:M)+SUMIF('[1]Budget Summary 1'!$D:$D,$A21&amp;" - Interest on Loans",'[1]Budget Summary 1'!M:M))</f>
        <v>125571.66</v>
      </c>
      <c r="J67" s="58">
        <f>-(-J21+SUMIF('[1]Budget Summary 1'!$D:$D,$A21&amp;" - Other",'[1]Budget Summary 1'!N:N)+SUMIF('[1]Budget Summary 1'!$D:$D,$A21&amp;" - Interest on Loans",'[1]Budget Summary 1'!N:N))</f>
        <v>95371.97</v>
      </c>
      <c r="K67" s="58">
        <f>-(-K21+SUMIF('[1]Budget Summary 1'!$D:$D,$A21&amp;" - Other",'[1]Budget Summary 1'!O:O)+SUMIF('[1]Budget Summary 1'!$D:$D,$A21&amp;" - Interest on Loans",'[1]Budget Summary 1'!O:O))</f>
        <v>66071.42</v>
      </c>
      <c r="L67" s="58">
        <f>-(-L21+SUMIF('[1]Budget Summary 1'!$D:$D,$A21&amp;" - Other",'[1]Budget Summary 1'!P:P)+SUMIF('[1]Budget Summary 1'!$D:$D,$A21&amp;" - Interest on Loans",'[1]Budget Summary 1'!P:P))</f>
        <v>43132.7</v>
      </c>
      <c r="M67" s="58">
        <f>-(-M21+SUMIF('[1]Budget Summary 1'!$D:$D,$A21&amp;" - Other",'[1]Budget Summary 1'!Q:Q)+SUMIF('[1]Budget Summary 1'!$D:$D,$A21&amp;" - Interest on Loans",'[1]Budget Summary 1'!Q:Q))</f>
        <v>17782.88</v>
      </c>
      <c r="N67" s="58">
        <f>-(-N21+SUMIF('[1]Budget Summary 1'!$D:$D,$A21&amp;" - Other",'[1]Budget Summary 1'!R:R)+SUMIF('[1]Budget Summary 1'!$D:$D,$A21&amp;" - Interest on Loans",'[1]Budget Summary 1'!R:R))</f>
        <v>9710.49</v>
      </c>
      <c r="O67" s="58">
        <f>-(-O21+SUMIF('[1]Budget Summary 1'!$D:$D,$A21&amp;" - Other",'[1]Budget Summary 1'!S:S)+SUMIF('[1]Budget Summary 1'!$D:$D,$A21&amp;" - Interest on Loans",'[1]Budget Summary 1'!S:S))</f>
        <v>9022.2999999999993</v>
      </c>
      <c r="P67" s="58">
        <f>-(-P21+SUMIF('[1]Budget Summary 1'!$D:$D,$A21&amp;" - Other",'[1]Budget Summary 1'!T:T)+SUMIF('[1]Budget Summary 1'!$D:$D,$A21&amp;" - Interest on Loans",'[1]Budget Summary 1'!T:T))</f>
        <v>8329.4699999999993</v>
      </c>
      <c r="Q67" s="58">
        <f>-(-Q21+SUMIF('[1]Budget Summary 1'!$D:$D,$A21&amp;" - Other",'[1]Budget Summary 1'!U:U)+SUMIF('[1]Budget Summary 1'!$D:$D,$A21&amp;" - Interest on Loans",'[1]Budget Summary 1'!U:U))</f>
        <v>7563.6</v>
      </c>
      <c r="DZ67" s="22" t="s">
        <v>2</v>
      </c>
      <c r="EA67" s="23" t="s">
        <v>1</v>
      </c>
      <c r="EB67" s="23" t="s">
        <v>1</v>
      </c>
      <c r="EC67" s="23" t="s">
        <v>1</v>
      </c>
    </row>
    <row r="68" spans="2:133" s="19" customFormat="1" hidden="1" x14ac:dyDescent="0.25">
      <c r="B68" s="24" t="s">
        <v>66</v>
      </c>
      <c r="C68" s="22" t="s">
        <v>47</v>
      </c>
      <c r="E68" s="24"/>
      <c r="F68" s="58"/>
      <c r="G68" s="24"/>
      <c r="DZ68" s="22" t="s">
        <v>2</v>
      </c>
      <c r="EA68" s="23" t="s">
        <v>1</v>
      </c>
      <c r="EB68" s="23" t="s">
        <v>1</v>
      </c>
      <c r="EC68" s="23" t="s">
        <v>1</v>
      </c>
    </row>
    <row r="69" spans="2:133" s="19" customFormat="1" hidden="1" x14ac:dyDescent="0.25">
      <c r="B69" s="24" t="s">
        <v>67</v>
      </c>
      <c r="C69" s="22" t="s">
        <v>47</v>
      </c>
      <c r="E69" s="24"/>
      <c r="G69" s="24"/>
      <c r="DZ69" s="22" t="s">
        <v>2</v>
      </c>
      <c r="EA69" s="23" t="s">
        <v>1</v>
      </c>
      <c r="EB69" s="23" t="s">
        <v>1</v>
      </c>
      <c r="EC69" s="23" t="s">
        <v>1</v>
      </c>
    </row>
    <row r="70" spans="2:133" s="19" customFormat="1" hidden="1" x14ac:dyDescent="0.25">
      <c r="B70" s="24" t="s">
        <v>68</v>
      </c>
      <c r="C70" s="22" t="s">
        <v>47</v>
      </c>
      <c r="E70" s="24"/>
      <c r="F70" s="58">
        <f>'[1]Budget Summary 1'!J130</f>
        <v>-12483288.030000001</v>
      </c>
      <c r="G70" s="24"/>
      <c r="H70" s="58">
        <f>'[1]Budget Summary 1'!L130</f>
        <v>-12568046.890000001</v>
      </c>
      <c r="I70" s="58">
        <f>'[1]Budget Summary 1'!M130</f>
        <v>-9518589.3000000007</v>
      </c>
      <c r="J70" s="58">
        <f>'[1]Budget Summary 1'!N130</f>
        <v>-10072063.09</v>
      </c>
      <c r="K70" s="58">
        <f>'[1]Budget Summary 1'!O130</f>
        <v>-10741529.08</v>
      </c>
      <c r="L70" s="58">
        <f>'[1]Budget Summary 1'!P130</f>
        <v>-10712350.699999999</v>
      </c>
      <c r="M70" s="58">
        <f>'[1]Budget Summary 1'!Q130</f>
        <v>-10264445.49</v>
      </c>
      <c r="N70" s="58">
        <f>'[1]Budget Summary 1'!R130</f>
        <v>-10379716.969999999</v>
      </c>
      <c r="O70" s="58">
        <f>'[1]Budget Summary 1'!S130</f>
        <v>-9526774.1899999995</v>
      </c>
      <c r="P70" s="58">
        <f>'[1]Budget Summary 1'!T130</f>
        <v>-9738012.0099999998</v>
      </c>
      <c r="Q70" s="58">
        <f>'[1]Budget Summary 1'!U130</f>
        <v>-10782485.07</v>
      </c>
      <c r="DZ70" s="22" t="s">
        <v>2</v>
      </c>
      <c r="EA70" s="23" t="s">
        <v>1</v>
      </c>
      <c r="EB70" s="23" t="s">
        <v>1</v>
      </c>
      <c r="EC70" s="23" t="s">
        <v>1</v>
      </c>
    </row>
    <row r="71" spans="2:133" s="19" customFormat="1" hidden="1" x14ac:dyDescent="0.25">
      <c r="B71" s="24" t="s">
        <v>69</v>
      </c>
      <c r="C71" s="22" t="s">
        <v>47</v>
      </c>
      <c r="E71" s="24"/>
      <c r="F71" s="42">
        <f>SUM(F54:F70)</f>
        <v>-7758381.2799999872</v>
      </c>
      <c r="G71" s="24"/>
      <c r="H71" s="42">
        <f ca="1">SUM(H54:H70)</f>
        <v>-9150910.7899999842</v>
      </c>
      <c r="I71" s="42">
        <f t="shared" ref="I71:Q71" ca="1" si="47">SUM(I54:I70)</f>
        <v>-5167278.8300000168</v>
      </c>
      <c r="J71" s="42">
        <f t="shared" ca="1" si="47"/>
        <v>-5846666.0700000031</v>
      </c>
      <c r="K71" s="42">
        <f t="shared" ca="1" si="47"/>
        <v>-6700478.5400000066</v>
      </c>
      <c r="L71" s="42">
        <f t="shared" ca="1" si="47"/>
        <v>-6287461.0700000105</v>
      </c>
      <c r="M71" s="42">
        <f t="shared" ca="1" si="47"/>
        <v>-5781365.1100000041</v>
      </c>
      <c r="N71" s="42">
        <f t="shared" ca="1" si="47"/>
        <v>-5488080.9000000022</v>
      </c>
      <c r="O71" s="42">
        <f t="shared" ca="1" si="47"/>
        <v>-4860730.4199999915</v>
      </c>
      <c r="P71" s="42">
        <f t="shared" ca="1" si="47"/>
        <v>-4864134.7900000075</v>
      </c>
      <c r="Q71" s="42">
        <f t="shared" ca="1" si="47"/>
        <v>-6004535.2000000048</v>
      </c>
      <c r="DZ71" s="22" t="s">
        <v>2</v>
      </c>
      <c r="EA71" s="23" t="s">
        <v>1</v>
      </c>
      <c r="EB71" s="23" t="s">
        <v>1</v>
      </c>
      <c r="EC71" s="23" t="s">
        <v>1</v>
      </c>
    </row>
    <row r="72" spans="2:133" s="19" customFormat="1" hidden="1" x14ac:dyDescent="0.25">
      <c r="B72" s="24" t="s">
        <v>70</v>
      </c>
      <c r="C72" s="22" t="s">
        <v>47</v>
      </c>
      <c r="E72" s="24"/>
      <c r="F72" s="19">
        <f>'[1]Budget Summary 1'!J177</f>
        <v>-12082751.389999989</v>
      </c>
      <c r="G72" s="24"/>
      <c r="H72" s="19">
        <f>'[1]Budget Summary 1'!L177</f>
        <v>-12312767.899999987</v>
      </c>
      <c r="I72" s="19">
        <f>'[1]Budget Summary 1'!M177</f>
        <v>-8328910.9400000228</v>
      </c>
      <c r="J72" s="19">
        <f>'[1]Budget Summary 1'!N177</f>
        <v>-9023639.0899999924</v>
      </c>
      <c r="K72" s="19">
        <f>'[1]Budget Summary 1'!O177</f>
        <v>-9894374.5700000022</v>
      </c>
      <c r="L72" s="19">
        <f>'[1]Budget Summary 1'!P177</f>
        <v>-9505336.480000006</v>
      </c>
      <c r="M72" s="19">
        <f>'[1]Budget Summary 1'!Q177</f>
        <v>-9023911.7299999967</v>
      </c>
      <c r="N72" s="19">
        <f>'[1]Budget Summary 1'!R177</f>
        <v>-8773374.040000014</v>
      </c>
      <c r="O72" s="19">
        <f>'[1]Budget Summary 1'!S177</f>
        <v>-8196966.3399999784</v>
      </c>
      <c r="P72" s="19">
        <f>'[1]Budget Summary 1'!T177</f>
        <v>-8252132.8900000006</v>
      </c>
      <c r="Q72" s="19">
        <f>'[1]Budget Summary 1'!U177</f>
        <v>-9445061.2400000077</v>
      </c>
      <c r="DZ72" s="22" t="s">
        <v>2</v>
      </c>
      <c r="EA72" s="23" t="s">
        <v>1</v>
      </c>
      <c r="EB72" s="23" t="s">
        <v>1</v>
      </c>
      <c r="EC72" s="23" t="s">
        <v>1</v>
      </c>
    </row>
    <row r="73" spans="2:133" s="19" customFormat="1" hidden="1" x14ac:dyDescent="0.25">
      <c r="B73" s="24" t="s">
        <v>71</v>
      </c>
      <c r="C73" s="22" t="s">
        <v>47</v>
      </c>
      <c r="E73" s="24"/>
      <c r="F73" s="52">
        <f>ROUND(F71-F72,2)</f>
        <v>4324370.1100000003</v>
      </c>
      <c r="G73" s="24"/>
      <c r="H73" s="52">
        <f ca="1">ROUND(H71-H72,2)</f>
        <v>3161857.11</v>
      </c>
      <c r="I73" s="52">
        <f t="shared" ref="I73:Q73" ca="1" si="48">ROUND(I71-I72,2)</f>
        <v>3161632.11</v>
      </c>
      <c r="J73" s="52">
        <f t="shared" ca="1" si="48"/>
        <v>3176973.02</v>
      </c>
      <c r="K73" s="52">
        <f t="shared" ca="1" si="48"/>
        <v>3193896.03</v>
      </c>
      <c r="L73" s="52">
        <f t="shared" ca="1" si="48"/>
        <v>3217875.41</v>
      </c>
      <c r="M73" s="52">
        <f t="shared" ca="1" si="48"/>
        <v>3242546.62</v>
      </c>
      <c r="N73" s="52">
        <f t="shared" ca="1" si="48"/>
        <v>3285293.14</v>
      </c>
      <c r="O73" s="52">
        <f t="shared" ca="1" si="48"/>
        <v>3336235.92</v>
      </c>
      <c r="P73" s="52">
        <f t="shared" ca="1" si="48"/>
        <v>3387998.1</v>
      </c>
      <c r="Q73" s="52">
        <f t="shared" ca="1" si="48"/>
        <v>3440526.04</v>
      </c>
      <c r="DZ73" s="22" t="s">
        <v>2</v>
      </c>
      <c r="EA73" s="23" t="s">
        <v>1</v>
      </c>
      <c r="EB73" s="23" t="s">
        <v>1</v>
      </c>
      <c r="EC73" s="23" t="s">
        <v>1</v>
      </c>
    </row>
    <row r="74" spans="2:133" s="19" customFormat="1" hidden="1" x14ac:dyDescent="0.25">
      <c r="C74" s="22" t="s">
        <v>47</v>
      </c>
      <c r="DZ74" s="22" t="s">
        <v>2</v>
      </c>
      <c r="EA74" s="23" t="s">
        <v>1</v>
      </c>
      <c r="EB74" s="23" t="s">
        <v>1</v>
      </c>
      <c r="EC74" s="23" t="s">
        <v>1</v>
      </c>
    </row>
    <row r="75" spans="2:133" s="19" customFormat="1" hidden="1" x14ac:dyDescent="0.25">
      <c r="C75" s="22" t="s">
        <v>47</v>
      </c>
      <c r="DZ75" s="22" t="s">
        <v>2</v>
      </c>
      <c r="EA75" s="23" t="s">
        <v>1</v>
      </c>
      <c r="EB75" s="23" t="s">
        <v>1</v>
      </c>
      <c r="EC75" s="23" t="s">
        <v>1</v>
      </c>
    </row>
    <row r="76" spans="2:133" s="19" customFormat="1" hidden="1" x14ac:dyDescent="0.25">
      <c r="C76" s="22" t="s">
        <v>47</v>
      </c>
      <c r="DZ76" s="22" t="s">
        <v>2</v>
      </c>
      <c r="EA76" s="23" t="s">
        <v>1</v>
      </c>
      <c r="EB76" s="23" t="s">
        <v>1</v>
      </c>
      <c r="EC76" s="23" t="s">
        <v>1</v>
      </c>
    </row>
    <row r="77" spans="2:133" s="19" customFormat="1" hidden="1" x14ac:dyDescent="0.25">
      <c r="B77" s="24" t="s">
        <v>70</v>
      </c>
      <c r="C77" s="22" t="s">
        <v>47</v>
      </c>
      <c r="E77" s="24"/>
      <c r="F77" s="19">
        <f>F71</f>
        <v>-7758381.2799999872</v>
      </c>
      <c r="G77" s="24"/>
      <c r="H77" s="19">
        <f ca="1">H71</f>
        <v>-9150910.7899999842</v>
      </c>
      <c r="I77" s="19">
        <f t="shared" ref="I77:Q77" ca="1" si="49">I71</f>
        <v>-5167278.8300000168</v>
      </c>
      <c r="J77" s="19">
        <f t="shared" ca="1" si="49"/>
        <v>-5846666.0700000031</v>
      </c>
      <c r="K77" s="19">
        <f t="shared" ca="1" si="49"/>
        <v>-6700478.5400000066</v>
      </c>
      <c r="L77" s="19">
        <f t="shared" ca="1" si="49"/>
        <v>-6287461.0700000105</v>
      </c>
      <c r="M77" s="19">
        <f t="shared" ca="1" si="49"/>
        <v>-5781365.1100000041</v>
      </c>
      <c r="N77" s="19">
        <f t="shared" ca="1" si="49"/>
        <v>-5488080.9000000022</v>
      </c>
      <c r="O77" s="19">
        <f t="shared" ca="1" si="49"/>
        <v>-4860730.4199999915</v>
      </c>
      <c r="P77" s="19">
        <f t="shared" ca="1" si="49"/>
        <v>-4864134.7900000075</v>
      </c>
      <c r="Q77" s="19">
        <f t="shared" ca="1" si="49"/>
        <v>-6004535.2000000048</v>
      </c>
      <c r="DZ77" s="22" t="s">
        <v>2</v>
      </c>
      <c r="EA77" s="23" t="s">
        <v>1</v>
      </c>
      <c r="EB77" s="23" t="s">
        <v>1</v>
      </c>
      <c r="EC77" s="23" t="s">
        <v>1</v>
      </c>
    </row>
    <row r="78" spans="2:133" s="19" customFormat="1" hidden="1" x14ac:dyDescent="0.25">
      <c r="B78" s="24" t="s">
        <v>56</v>
      </c>
      <c r="C78" s="22" t="s">
        <v>47</v>
      </c>
      <c r="E78" s="24"/>
      <c r="F78" s="19">
        <f>-F58</f>
        <v>0</v>
      </c>
      <c r="G78" s="24"/>
      <c r="H78" s="19">
        <f>-H58</f>
        <v>0</v>
      </c>
      <c r="I78" s="19">
        <f t="shared" ref="I78:Q78" si="50">-I58</f>
        <v>0</v>
      </c>
      <c r="J78" s="19">
        <f t="shared" si="50"/>
        <v>0</v>
      </c>
      <c r="K78" s="19">
        <f t="shared" si="50"/>
        <v>0</v>
      </c>
      <c r="L78" s="19">
        <f t="shared" si="50"/>
        <v>0</v>
      </c>
      <c r="M78" s="19">
        <f t="shared" si="50"/>
        <v>0</v>
      </c>
      <c r="N78" s="19">
        <f t="shared" si="50"/>
        <v>0</v>
      </c>
      <c r="O78" s="19">
        <f t="shared" si="50"/>
        <v>0</v>
      </c>
      <c r="P78" s="19">
        <f t="shared" si="50"/>
        <v>0</v>
      </c>
      <c r="Q78" s="19">
        <f t="shared" si="50"/>
        <v>0</v>
      </c>
      <c r="R78" s="24" t="s">
        <v>72</v>
      </c>
      <c r="DZ78" s="22" t="s">
        <v>2</v>
      </c>
      <c r="EA78" s="23" t="s">
        <v>1</v>
      </c>
      <c r="EB78" s="23" t="s">
        <v>1</v>
      </c>
      <c r="EC78" s="23" t="s">
        <v>1</v>
      </c>
    </row>
    <row r="79" spans="2:133" s="19" customFormat="1" hidden="1" x14ac:dyDescent="0.25">
      <c r="B79" s="24" t="s">
        <v>58</v>
      </c>
      <c r="C79" s="22" t="s">
        <v>47</v>
      </c>
      <c r="E79" s="24"/>
      <c r="F79" s="19">
        <f>-F60</f>
        <v>0</v>
      </c>
      <c r="G79" s="24"/>
      <c r="H79" s="19">
        <f>-H60</f>
        <v>0</v>
      </c>
      <c r="I79" s="19">
        <f t="shared" ref="I79:Q80" si="51">-I60</f>
        <v>0</v>
      </c>
      <c r="J79" s="19">
        <f t="shared" si="51"/>
        <v>0</v>
      </c>
      <c r="K79" s="19">
        <f t="shared" si="51"/>
        <v>0</v>
      </c>
      <c r="L79" s="19">
        <f t="shared" si="51"/>
        <v>0</v>
      </c>
      <c r="M79" s="19">
        <f t="shared" si="51"/>
        <v>0</v>
      </c>
      <c r="N79" s="19">
        <f t="shared" si="51"/>
        <v>0</v>
      </c>
      <c r="O79" s="19">
        <f t="shared" si="51"/>
        <v>0</v>
      </c>
      <c r="P79" s="19">
        <f t="shared" si="51"/>
        <v>0</v>
      </c>
      <c r="Q79" s="19">
        <f t="shared" si="51"/>
        <v>0</v>
      </c>
      <c r="R79" s="24" t="s">
        <v>73</v>
      </c>
      <c r="DZ79" s="22" t="s">
        <v>2</v>
      </c>
      <c r="EA79" s="23" t="s">
        <v>1</v>
      </c>
      <c r="EB79" s="23" t="s">
        <v>1</v>
      </c>
      <c r="EC79" s="23" t="s">
        <v>1</v>
      </c>
    </row>
    <row r="80" spans="2:133" s="19" customFormat="1" hidden="1" x14ac:dyDescent="0.25">
      <c r="B80" s="24" t="s">
        <v>59</v>
      </c>
      <c r="C80" s="22" t="s">
        <v>47</v>
      </c>
      <c r="E80" s="24"/>
      <c r="F80" s="19">
        <f>-F61</f>
        <v>0</v>
      </c>
      <c r="G80" s="24"/>
      <c r="H80" s="19">
        <f>-H61</f>
        <v>0</v>
      </c>
      <c r="I80" s="19">
        <f t="shared" si="51"/>
        <v>0</v>
      </c>
      <c r="J80" s="19">
        <f t="shared" si="51"/>
        <v>0</v>
      </c>
      <c r="K80" s="19">
        <f t="shared" si="51"/>
        <v>0</v>
      </c>
      <c r="L80" s="19">
        <f t="shared" si="51"/>
        <v>0</v>
      </c>
      <c r="M80" s="19">
        <f t="shared" si="51"/>
        <v>0</v>
      </c>
      <c r="N80" s="19">
        <f t="shared" si="51"/>
        <v>0</v>
      </c>
      <c r="O80" s="19">
        <f t="shared" si="51"/>
        <v>0</v>
      </c>
      <c r="P80" s="19">
        <f t="shared" si="51"/>
        <v>0</v>
      </c>
      <c r="Q80" s="19">
        <f t="shared" si="51"/>
        <v>0</v>
      </c>
      <c r="R80" s="24" t="s">
        <v>73</v>
      </c>
      <c r="DZ80" s="22" t="s">
        <v>2</v>
      </c>
      <c r="EA80" s="23" t="s">
        <v>1</v>
      </c>
      <c r="EB80" s="23" t="s">
        <v>1</v>
      </c>
      <c r="EC80" s="23" t="s">
        <v>1</v>
      </c>
    </row>
    <row r="81" spans="2:133" s="19" customFormat="1" hidden="1" x14ac:dyDescent="0.25">
      <c r="B81" s="24" t="s">
        <v>60</v>
      </c>
      <c r="C81" s="22" t="s">
        <v>47</v>
      </c>
      <c r="E81" s="24"/>
      <c r="F81" s="19">
        <f>F62</f>
        <v>0</v>
      </c>
      <c r="G81" s="24"/>
      <c r="H81" s="19">
        <f t="shared" ref="H81:Q81" si="52">H62</f>
        <v>0</v>
      </c>
      <c r="I81" s="19">
        <f t="shared" si="52"/>
        <v>0</v>
      </c>
      <c r="J81" s="19">
        <f t="shared" si="52"/>
        <v>0</v>
      </c>
      <c r="K81" s="19">
        <f t="shared" si="52"/>
        <v>0</v>
      </c>
      <c r="L81" s="19">
        <f t="shared" si="52"/>
        <v>0</v>
      </c>
      <c r="M81" s="19">
        <f t="shared" si="52"/>
        <v>0</v>
      </c>
      <c r="N81" s="19">
        <f t="shared" si="52"/>
        <v>0</v>
      </c>
      <c r="O81" s="19">
        <f t="shared" si="52"/>
        <v>0</v>
      </c>
      <c r="P81" s="19">
        <f t="shared" si="52"/>
        <v>0</v>
      </c>
      <c r="Q81" s="19">
        <f t="shared" si="52"/>
        <v>0</v>
      </c>
      <c r="R81" s="24" t="s">
        <v>73</v>
      </c>
      <c r="DZ81" s="22" t="s">
        <v>2</v>
      </c>
      <c r="EA81" s="23" t="s">
        <v>1</v>
      </c>
      <c r="EB81" s="23" t="s">
        <v>1</v>
      </c>
      <c r="EC81" s="23" t="s">
        <v>1</v>
      </c>
    </row>
    <row r="82" spans="2:133" s="19" customFormat="1" hidden="1" x14ac:dyDescent="0.25">
      <c r="B82" s="24" t="s">
        <v>62</v>
      </c>
      <c r="C82" s="22" t="s">
        <v>47</v>
      </c>
      <c r="E82" s="24"/>
      <c r="F82" s="19">
        <f>-F64</f>
        <v>0</v>
      </c>
      <c r="G82" s="24"/>
      <c r="H82" s="19">
        <f t="shared" ref="H82:Q83" si="53">-H64</f>
        <v>0</v>
      </c>
      <c r="I82" s="19">
        <f t="shared" si="53"/>
        <v>0</v>
      </c>
      <c r="J82" s="19">
        <f t="shared" si="53"/>
        <v>0</v>
      </c>
      <c r="K82" s="19">
        <f t="shared" si="53"/>
        <v>0</v>
      </c>
      <c r="L82" s="19">
        <f t="shared" si="53"/>
        <v>0</v>
      </c>
      <c r="M82" s="19">
        <f t="shared" si="53"/>
        <v>0</v>
      </c>
      <c r="N82" s="19">
        <f t="shared" si="53"/>
        <v>0</v>
      </c>
      <c r="O82" s="19">
        <f t="shared" si="53"/>
        <v>0</v>
      </c>
      <c r="P82" s="19">
        <f t="shared" si="53"/>
        <v>0</v>
      </c>
      <c r="Q82" s="19">
        <f t="shared" si="53"/>
        <v>0</v>
      </c>
      <c r="R82" s="24"/>
      <c r="DZ82" s="22" t="s">
        <v>2</v>
      </c>
      <c r="EA82" s="23" t="s">
        <v>1</v>
      </c>
      <c r="EB82" s="23" t="s">
        <v>1</v>
      </c>
      <c r="EC82" s="23" t="s">
        <v>1</v>
      </c>
    </row>
    <row r="83" spans="2:133" s="19" customFormat="1" hidden="1" x14ac:dyDescent="0.25">
      <c r="B83" s="24" t="s">
        <v>63</v>
      </c>
      <c r="C83" s="22" t="s">
        <v>47</v>
      </c>
      <c r="E83" s="24"/>
      <c r="F83" s="19">
        <f>-F65</f>
        <v>0</v>
      </c>
      <c r="G83" s="24"/>
      <c r="H83" s="19">
        <f ca="1">-H65</f>
        <v>0</v>
      </c>
      <c r="I83" s="19">
        <f t="shared" ca="1" si="53"/>
        <v>0</v>
      </c>
      <c r="J83" s="19">
        <f t="shared" ca="1" si="53"/>
        <v>0</v>
      </c>
      <c r="K83" s="19">
        <f t="shared" ca="1" si="53"/>
        <v>0</v>
      </c>
      <c r="L83" s="19">
        <f t="shared" ca="1" si="53"/>
        <v>0</v>
      </c>
      <c r="M83" s="19">
        <f t="shared" ca="1" si="53"/>
        <v>0</v>
      </c>
      <c r="N83" s="19">
        <f t="shared" ca="1" si="53"/>
        <v>0</v>
      </c>
      <c r="O83" s="19">
        <f t="shared" ca="1" si="53"/>
        <v>0</v>
      </c>
      <c r="P83" s="19">
        <f t="shared" ca="1" si="53"/>
        <v>0</v>
      </c>
      <c r="Q83" s="19">
        <f t="shared" ca="1" si="53"/>
        <v>0</v>
      </c>
      <c r="R83" s="24" t="s">
        <v>73</v>
      </c>
      <c r="DZ83" s="22" t="s">
        <v>2</v>
      </c>
      <c r="EA83" s="23" t="s">
        <v>1</v>
      </c>
      <c r="EB83" s="23" t="s">
        <v>1</v>
      </c>
      <c r="EC83" s="23" t="s">
        <v>1</v>
      </c>
    </row>
    <row r="84" spans="2:133" s="19" customFormat="1" ht="15.75" hidden="1" thickBot="1" x14ac:dyDescent="0.3">
      <c r="B84" s="24" t="s">
        <v>74</v>
      </c>
      <c r="C84" s="22" t="s">
        <v>47</v>
      </c>
      <c r="E84" s="24"/>
      <c r="F84" s="59"/>
      <c r="G84" s="24"/>
      <c r="H84" s="19">
        <f>-(H23-'[1]Budget Summary 1'!J181)</f>
        <v>-16980576.688297473</v>
      </c>
      <c r="I84" s="19">
        <f>-(I23-'[1]Budget Summary 1'!L181)</f>
        <v>-17395511.824608378</v>
      </c>
      <c r="J84" s="19">
        <f>-(J23-'[1]Budget Summary 1'!M181)</f>
        <v>-17792905.197775088</v>
      </c>
      <c r="K84" s="19">
        <f>-(K23-'[1]Budget Summary 1'!N181)</f>
        <v>-18210705.332024314</v>
      </c>
      <c r="L84" s="19">
        <f>-(L23-'[1]Budget Summary 1'!O181)</f>
        <v>-18647555.384084109</v>
      </c>
      <c r="M84" s="19">
        <f>-(M23-'[1]Budget Summary 1'!P181)</f>
        <v>-19107008.234067239</v>
      </c>
      <c r="N84" s="19">
        <f>-(N23-'[1]Budget Summary 1'!Q181)</f>
        <v>-19555657.183559839</v>
      </c>
      <c r="O84" s="19">
        <f>-(O23-'[1]Budget Summary 1'!R181)</f>
        <v>-20016419.92688255</v>
      </c>
      <c r="P84" s="19">
        <f>-(P23-'[1]Budget Summary 1'!S181)</f>
        <v>-20485078.150801018</v>
      </c>
      <c r="Q84" s="19">
        <f>-(Q23-'[1]Budget Summary 1'!T181)</f>
        <v>-20819618.650667615</v>
      </c>
      <c r="R84" s="24" t="s">
        <v>73</v>
      </c>
      <c r="DZ84" s="22" t="s">
        <v>2</v>
      </c>
      <c r="EA84" s="23" t="s">
        <v>1</v>
      </c>
      <c r="EB84" s="23" t="s">
        <v>1</v>
      </c>
      <c r="EC84" s="23" t="s">
        <v>1</v>
      </c>
    </row>
    <row r="85" spans="2:133" s="19" customFormat="1" hidden="1" x14ac:dyDescent="0.25">
      <c r="B85" s="24" t="s">
        <v>66</v>
      </c>
      <c r="C85" s="22" t="s">
        <v>47</v>
      </c>
      <c r="E85" s="24"/>
      <c r="F85" s="19">
        <f>-F68</f>
        <v>0</v>
      </c>
      <c r="G85" s="24"/>
      <c r="H85" s="19">
        <f>-H68</f>
        <v>0</v>
      </c>
      <c r="I85" s="19">
        <f t="shared" ref="I85:Q85" si="54">-I68</f>
        <v>0</v>
      </c>
      <c r="J85" s="19">
        <f t="shared" si="54"/>
        <v>0</v>
      </c>
      <c r="K85" s="19">
        <f t="shared" si="54"/>
        <v>0</v>
      </c>
      <c r="L85" s="19">
        <f t="shared" si="54"/>
        <v>0</v>
      </c>
      <c r="M85" s="19">
        <f t="shared" si="54"/>
        <v>0</v>
      </c>
      <c r="N85" s="19">
        <f t="shared" si="54"/>
        <v>0</v>
      </c>
      <c r="O85" s="19">
        <f t="shared" si="54"/>
        <v>0</v>
      </c>
      <c r="P85" s="19">
        <f t="shared" si="54"/>
        <v>0</v>
      </c>
      <c r="Q85" s="19">
        <f t="shared" si="54"/>
        <v>0</v>
      </c>
      <c r="R85" s="24" t="s">
        <v>73</v>
      </c>
      <c r="DZ85" s="22" t="s">
        <v>2</v>
      </c>
      <c r="EA85" s="23" t="s">
        <v>1</v>
      </c>
      <c r="EB85" s="23" t="s">
        <v>1</v>
      </c>
      <c r="EC85" s="23" t="s">
        <v>1</v>
      </c>
    </row>
    <row r="86" spans="2:133" s="19" customFormat="1" hidden="1" x14ac:dyDescent="0.25">
      <c r="B86" s="24" t="s">
        <v>65</v>
      </c>
      <c r="C86" s="22" t="s">
        <v>47</v>
      </c>
      <c r="E86" s="24"/>
      <c r="F86" s="19">
        <f>-F67</f>
        <v>-194156.12</v>
      </c>
      <c r="G86" s="24"/>
      <c r="H86" s="19">
        <f>-H67</f>
        <v>-155857.18</v>
      </c>
      <c r="I86" s="19">
        <f t="shared" ref="I86:Q86" si="55">-I67</f>
        <v>-125571.66</v>
      </c>
      <c r="J86" s="19">
        <f t="shared" si="55"/>
        <v>-95371.97</v>
      </c>
      <c r="K86" s="19">
        <f t="shared" si="55"/>
        <v>-66071.42</v>
      </c>
      <c r="L86" s="19">
        <f t="shared" si="55"/>
        <v>-43132.7</v>
      </c>
      <c r="M86" s="19">
        <f t="shared" si="55"/>
        <v>-17782.88</v>
      </c>
      <c r="N86" s="19">
        <f t="shared" si="55"/>
        <v>-9710.49</v>
      </c>
      <c r="O86" s="19">
        <f t="shared" si="55"/>
        <v>-9022.2999999999993</v>
      </c>
      <c r="P86" s="19">
        <f t="shared" si="55"/>
        <v>-8329.4699999999993</v>
      </c>
      <c r="Q86" s="19">
        <f t="shared" si="55"/>
        <v>-7563.6</v>
      </c>
      <c r="R86" s="24" t="s">
        <v>73</v>
      </c>
      <c r="DZ86" s="22" t="s">
        <v>2</v>
      </c>
      <c r="EA86" s="23" t="s">
        <v>1</v>
      </c>
      <c r="EB86" s="23" t="s">
        <v>1</v>
      </c>
      <c r="EC86" s="23" t="s">
        <v>1</v>
      </c>
    </row>
    <row r="87" spans="2:133" s="19" customFormat="1" hidden="1" x14ac:dyDescent="0.25">
      <c r="B87" s="24" t="s">
        <v>75</v>
      </c>
      <c r="C87" s="22" t="s">
        <v>47</v>
      </c>
      <c r="E87" s="24"/>
      <c r="F87" s="52">
        <f>SUM(F77:F86)</f>
        <v>-7952537.3999999873</v>
      </c>
      <c r="G87" s="24"/>
      <c r="H87" s="52">
        <f ca="1">SUM(H77:H86)</f>
        <v>-26287344.658297457</v>
      </c>
      <c r="I87" s="52">
        <f t="shared" ref="I87:Q87" ca="1" si="56">SUM(I77:I86)</f>
        <v>-22688362.314608395</v>
      </c>
      <c r="J87" s="52">
        <f t="shared" ca="1" si="56"/>
        <v>-23734943.237775091</v>
      </c>
      <c r="K87" s="52">
        <f t="shared" ca="1" si="56"/>
        <v>-24977255.292024322</v>
      </c>
      <c r="L87" s="52">
        <f t="shared" ca="1" si="56"/>
        <v>-24978149.15408412</v>
      </c>
      <c r="M87" s="52">
        <f t="shared" ca="1" si="56"/>
        <v>-24906156.224067241</v>
      </c>
      <c r="N87" s="52">
        <f t="shared" ca="1" si="56"/>
        <v>-25053448.573559839</v>
      </c>
      <c r="O87" s="52">
        <f t="shared" ca="1" si="56"/>
        <v>-24886172.646882541</v>
      </c>
      <c r="P87" s="52">
        <f t="shared" ca="1" si="56"/>
        <v>-25357542.410801023</v>
      </c>
      <c r="Q87" s="52">
        <f t="shared" ca="1" si="56"/>
        <v>-26831717.45066762</v>
      </c>
      <c r="DZ87" s="22" t="s">
        <v>2</v>
      </c>
      <c r="EA87" s="23" t="s">
        <v>1</v>
      </c>
      <c r="EB87" s="23" t="s">
        <v>1</v>
      </c>
      <c r="EC87" s="23" t="s">
        <v>1</v>
      </c>
    </row>
    <row r="88" spans="2:133" s="19" customFormat="1" hidden="1" x14ac:dyDescent="0.25">
      <c r="C88" s="22" t="s">
        <v>47</v>
      </c>
      <c r="DZ88" s="22" t="s">
        <v>2</v>
      </c>
      <c r="EA88" s="23" t="s">
        <v>1</v>
      </c>
      <c r="EB88" s="23" t="s">
        <v>1</v>
      </c>
      <c r="EC88" s="23" t="s">
        <v>1</v>
      </c>
    </row>
    <row r="89" spans="2:133" s="19" customFormat="1" hidden="1" x14ac:dyDescent="0.25">
      <c r="C89" s="22" t="s">
        <v>47</v>
      </c>
      <c r="DZ89" s="22" t="s">
        <v>2</v>
      </c>
      <c r="EA89" s="23" t="s">
        <v>1</v>
      </c>
      <c r="EB89" s="23" t="s">
        <v>1</v>
      </c>
      <c r="EC89" s="23" t="s">
        <v>1</v>
      </c>
    </row>
    <row r="90" spans="2:133" s="19" customFormat="1" hidden="1" x14ac:dyDescent="0.25">
      <c r="C90" s="22" t="s">
        <v>47</v>
      </c>
      <c r="DZ90" s="22" t="s">
        <v>2</v>
      </c>
      <c r="EA90" s="23" t="s">
        <v>1</v>
      </c>
      <c r="EB90" s="23" t="s">
        <v>1</v>
      </c>
      <c r="EC90" s="23" t="s">
        <v>1</v>
      </c>
    </row>
    <row r="91" spans="2:133" s="19" customFormat="1" hidden="1" x14ac:dyDescent="0.25">
      <c r="C91" s="22" t="s">
        <v>47</v>
      </c>
      <c r="DZ91" s="22" t="s">
        <v>2</v>
      </c>
      <c r="EA91" s="23" t="s">
        <v>1</v>
      </c>
      <c r="EB91" s="23" t="s">
        <v>1</v>
      </c>
      <c r="EC91" s="23" t="s">
        <v>1</v>
      </c>
    </row>
    <row r="92" spans="2:133" s="19" customFormat="1" hidden="1" x14ac:dyDescent="0.25">
      <c r="C92" s="22" t="s">
        <v>47</v>
      </c>
      <c r="DZ92" s="22" t="s">
        <v>2</v>
      </c>
      <c r="EA92" s="23" t="s">
        <v>1</v>
      </c>
      <c r="EB92" s="23" t="s">
        <v>1</v>
      </c>
      <c r="EC92" s="23" t="s">
        <v>1</v>
      </c>
    </row>
    <row r="93" spans="2:133" s="19" customFormat="1" hidden="1" x14ac:dyDescent="0.25">
      <c r="C93" s="22" t="s">
        <v>47</v>
      </c>
      <c r="DZ93" s="22" t="s">
        <v>2</v>
      </c>
      <c r="EA93" s="23" t="s">
        <v>1</v>
      </c>
      <c r="EB93" s="23" t="s">
        <v>1</v>
      </c>
      <c r="EC93" s="23" t="s">
        <v>1</v>
      </c>
    </row>
    <row r="94" spans="2:133" s="19" customFormat="1" hidden="1" x14ac:dyDescent="0.25">
      <c r="C94" s="22" t="s">
        <v>47</v>
      </c>
      <c r="DZ94" s="22" t="s">
        <v>2</v>
      </c>
      <c r="EA94" s="23" t="s">
        <v>1</v>
      </c>
      <c r="EB94" s="23" t="s">
        <v>1</v>
      </c>
      <c r="EC94" s="23" t="s">
        <v>1</v>
      </c>
    </row>
    <row r="95" spans="2:133" hidden="1" x14ac:dyDescent="0.25">
      <c r="B95" s="60" t="s">
        <v>76</v>
      </c>
      <c r="C95" s="1" t="s">
        <v>47</v>
      </c>
      <c r="D95" s="61"/>
      <c r="E95" s="60"/>
      <c r="F95" s="62">
        <f>'[1]Target %'!G11</f>
        <v>0.03</v>
      </c>
      <c r="G95" s="60"/>
      <c r="H95" s="62">
        <f>'[1]Target %'!H11</f>
        <v>0.03</v>
      </c>
      <c r="I95" s="62">
        <f>'[1]Target %'!I11</f>
        <v>0.03</v>
      </c>
      <c r="J95" s="62">
        <f>'[1]Target %'!J11</f>
        <v>0.03</v>
      </c>
      <c r="K95" s="62">
        <f>'[1]Target %'!K11</f>
        <v>0.03</v>
      </c>
      <c r="L95" s="62">
        <f>'[1]Target %'!L11</f>
        <v>0.03</v>
      </c>
      <c r="M95" s="62">
        <f>'[1]Target %'!M11</f>
        <v>0.03</v>
      </c>
      <c r="N95" s="62">
        <f>'[1]Target %'!N11</f>
        <v>0.03</v>
      </c>
      <c r="O95" s="62">
        <f>'[1]Target %'!O11</f>
        <v>0.03</v>
      </c>
      <c r="P95" s="62">
        <f>'[1]Target %'!P11</f>
        <v>0.03</v>
      </c>
      <c r="Q95" s="62">
        <f>'[1]Target %'!Q11</f>
        <v>0.03</v>
      </c>
      <c r="AG95" s="62">
        <f>AVERAGE(F95:Q95)</f>
        <v>3.0000000000000006E-2</v>
      </c>
      <c r="AH95" s="62">
        <f>AG95</f>
        <v>3.0000000000000006E-2</v>
      </c>
      <c r="AI95" s="62">
        <f t="shared" ref="AI95:AP96" si="57">AH95</f>
        <v>3.0000000000000006E-2</v>
      </c>
      <c r="AJ95" s="62">
        <f t="shared" si="57"/>
        <v>3.0000000000000006E-2</v>
      </c>
      <c r="AK95" s="62">
        <f t="shared" si="57"/>
        <v>3.0000000000000006E-2</v>
      </c>
      <c r="AL95" s="62">
        <f t="shared" si="57"/>
        <v>3.0000000000000006E-2</v>
      </c>
      <c r="AM95" s="62">
        <f t="shared" si="57"/>
        <v>3.0000000000000006E-2</v>
      </c>
      <c r="AN95" s="62">
        <f t="shared" si="57"/>
        <v>3.0000000000000006E-2</v>
      </c>
      <c r="AO95" s="62">
        <f t="shared" si="57"/>
        <v>3.0000000000000006E-2</v>
      </c>
      <c r="AP95" s="62">
        <f t="shared" si="57"/>
        <v>3.0000000000000006E-2</v>
      </c>
      <c r="AQ95" s="60" t="s">
        <v>77</v>
      </c>
      <c r="DZ95" s="1" t="s">
        <v>2</v>
      </c>
      <c r="EA95" s="63" t="s">
        <v>1</v>
      </c>
      <c r="EB95" s="63" t="s">
        <v>1</v>
      </c>
      <c r="EC95" s="63" t="s">
        <v>1</v>
      </c>
    </row>
    <row r="96" spans="2:133" hidden="1" x14ac:dyDescent="0.25">
      <c r="B96" s="60" t="s">
        <v>78</v>
      </c>
      <c r="C96" s="1" t="s">
        <v>47</v>
      </c>
      <c r="D96" s="61"/>
      <c r="E96" s="60"/>
      <c r="F96" s="62">
        <f>'[1]Target %'!G12</f>
        <v>0</v>
      </c>
      <c r="G96" s="60"/>
      <c r="H96" s="62">
        <f>'[1]Target %'!H12</f>
        <v>0</v>
      </c>
      <c r="I96" s="62">
        <f>'[1]Target %'!I12</f>
        <v>0</v>
      </c>
      <c r="J96" s="62">
        <f>'[1]Target %'!J12</f>
        <v>0</v>
      </c>
      <c r="K96" s="62">
        <f>'[1]Target %'!K12</f>
        <v>0</v>
      </c>
      <c r="L96" s="62">
        <f>'[1]Target %'!L12</f>
        <v>0</v>
      </c>
      <c r="M96" s="62">
        <f>'[1]Target %'!M12</f>
        <v>0</v>
      </c>
      <c r="N96" s="62">
        <f>'[1]Target %'!N12</f>
        <v>0</v>
      </c>
      <c r="O96" s="62">
        <f>'[1]Target %'!O12</f>
        <v>0</v>
      </c>
      <c r="P96" s="62">
        <f>'[1]Target %'!P12</f>
        <v>0</v>
      </c>
      <c r="Q96" s="62">
        <f>'[1]Target %'!Q12</f>
        <v>0</v>
      </c>
      <c r="AG96" s="62">
        <f>AVERAGE(F96:Q96)</f>
        <v>0</v>
      </c>
      <c r="AH96" s="62">
        <f>AG96</f>
        <v>0</v>
      </c>
      <c r="AI96" s="62">
        <f t="shared" si="57"/>
        <v>0</v>
      </c>
      <c r="AJ96" s="62">
        <f t="shared" si="57"/>
        <v>0</v>
      </c>
      <c r="AK96" s="62">
        <f t="shared" si="57"/>
        <v>0</v>
      </c>
      <c r="AL96" s="62">
        <f t="shared" si="57"/>
        <v>0</v>
      </c>
      <c r="AM96" s="62">
        <f t="shared" si="57"/>
        <v>0</v>
      </c>
      <c r="AN96" s="62">
        <f t="shared" si="57"/>
        <v>0</v>
      </c>
      <c r="AO96" s="62">
        <f t="shared" si="57"/>
        <v>0</v>
      </c>
      <c r="AP96" s="62">
        <f t="shared" si="57"/>
        <v>0</v>
      </c>
      <c r="AQ96" s="60" t="s">
        <v>77</v>
      </c>
      <c r="DZ96" s="1" t="s">
        <v>2</v>
      </c>
      <c r="EA96" s="63" t="s">
        <v>1</v>
      </c>
      <c r="EB96" s="63" t="s">
        <v>1</v>
      </c>
      <c r="EC96" s="63" t="s">
        <v>1</v>
      </c>
    </row>
    <row r="97" spans="2:133" hidden="1" x14ac:dyDescent="0.25">
      <c r="C97" s="1" t="s">
        <v>47</v>
      </c>
      <c r="D97" s="61"/>
      <c r="F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DZ97" s="1" t="s">
        <v>2</v>
      </c>
      <c r="EA97" s="63" t="s">
        <v>1</v>
      </c>
      <c r="EB97" s="63" t="s">
        <v>1</v>
      </c>
      <c r="EC97" s="63" t="s">
        <v>1</v>
      </c>
    </row>
    <row r="98" spans="2:133" hidden="1" x14ac:dyDescent="0.25">
      <c r="B98" s="64" t="s">
        <v>79</v>
      </c>
      <c r="C98" s="1" t="s">
        <v>47</v>
      </c>
      <c r="D98" s="61"/>
      <c r="E98" s="64"/>
      <c r="F98" s="65" t="str">
        <f>IF(F95="",F4,"")</f>
        <v/>
      </c>
      <c r="G98" s="64"/>
      <c r="H98" s="65" t="str">
        <f>IF(H95="",IF(F98="",H$4,F98&amp;", "&amp;H$4),F98)</f>
        <v/>
      </c>
      <c r="I98" s="65" t="str">
        <f t="shared" ref="I98:Q99" si="58">IF(I95="",IF(H98="",I$4,H98&amp;", "&amp;I$4),H98)</f>
        <v/>
      </c>
      <c r="J98" s="65" t="str">
        <f t="shared" si="58"/>
        <v/>
      </c>
      <c r="K98" s="65" t="str">
        <f t="shared" si="58"/>
        <v/>
      </c>
      <c r="L98" s="65" t="str">
        <f t="shared" si="58"/>
        <v/>
      </c>
      <c r="M98" s="65" t="str">
        <f t="shared" si="58"/>
        <v/>
      </c>
      <c r="N98" s="65" t="str">
        <f t="shared" si="58"/>
        <v/>
      </c>
      <c r="O98" s="65" t="str">
        <f t="shared" si="58"/>
        <v/>
      </c>
      <c r="P98" s="65" t="str">
        <f t="shared" si="58"/>
        <v/>
      </c>
      <c r="Q98" s="65" t="str">
        <f t="shared" si="58"/>
        <v/>
      </c>
      <c r="DZ98" s="1" t="s">
        <v>2</v>
      </c>
      <c r="EA98" s="63" t="s">
        <v>1</v>
      </c>
      <c r="EB98" s="63" t="s">
        <v>1</v>
      </c>
      <c r="EC98" s="63" t="s">
        <v>1</v>
      </c>
    </row>
    <row r="99" spans="2:133" hidden="1" x14ac:dyDescent="0.25">
      <c r="B99" s="64" t="s">
        <v>80</v>
      </c>
      <c r="C99" s="1" t="s">
        <v>47</v>
      </c>
      <c r="D99" s="61"/>
      <c r="E99" s="64"/>
      <c r="F99" s="65" t="str">
        <f>IF(F96="",F4,"")</f>
        <v/>
      </c>
      <c r="G99" s="64"/>
      <c r="H99" s="65" t="str">
        <f>IF(H96="",IF(F99="",H$4,F99&amp;", "&amp;H$4),F99)</f>
        <v/>
      </c>
      <c r="I99" s="65" t="str">
        <f t="shared" si="58"/>
        <v/>
      </c>
      <c r="J99" s="65" t="str">
        <f t="shared" si="58"/>
        <v/>
      </c>
      <c r="K99" s="65" t="str">
        <f t="shared" si="58"/>
        <v/>
      </c>
      <c r="L99" s="65" t="str">
        <f t="shared" si="58"/>
        <v/>
      </c>
      <c r="M99" s="65" t="str">
        <f t="shared" si="58"/>
        <v/>
      </c>
      <c r="N99" s="65" t="str">
        <f t="shared" si="58"/>
        <v/>
      </c>
      <c r="O99" s="65" t="str">
        <f t="shared" si="58"/>
        <v/>
      </c>
      <c r="P99" s="65" t="str">
        <f t="shared" si="58"/>
        <v/>
      </c>
      <c r="Q99" s="65" t="str">
        <f t="shared" si="58"/>
        <v/>
      </c>
      <c r="DZ99" s="1" t="s">
        <v>2</v>
      </c>
      <c r="EA99" s="63" t="s">
        <v>1</v>
      </c>
      <c r="EB99" s="63" t="s">
        <v>1</v>
      </c>
      <c r="EC99" s="63" t="s">
        <v>1</v>
      </c>
    </row>
    <row r="100" spans="2:133" hidden="1" x14ac:dyDescent="0.25">
      <c r="B100" s="64" t="s">
        <v>81</v>
      </c>
      <c r="C100" s="1" t="s">
        <v>47</v>
      </c>
      <c r="D100" s="61"/>
      <c r="E100" s="64"/>
      <c r="F100" s="65" t="str">
        <f>IF(F96&gt;F95,F4,"")</f>
        <v/>
      </c>
      <c r="G100" s="64"/>
      <c r="H100" s="65" t="str">
        <f>IF(H96&gt;H95,IF(F100="",H$4,F100&amp;", "&amp;H$4),F100)</f>
        <v/>
      </c>
      <c r="I100" s="65" t="str">
        <f t="shared" ref="I100:Q100" si="59">IF(I96&gt;I95,IF(H100="",I$4,H100&amp;", "&amp;I$4),H100)</f>
        <v/>
      </c>
      <c r="J100" s="65" t="str">
        <f t="shared" si="59"/>
        <v/>
      </c>
      <c r="K100" s="65" t="str">
        <f t="shared" si="59"/>
        <v/>
      </c>
      <c r="L100" s="65" t="str">
        <f t="shared" si="59"/>
        <v/>
      </c>
      <c r="M100" s="65" t="str">
        <f t="shared" si="59"/>
        <v/>
      </c>
      <c r="N100" s="65" t="str">
        <f t="shared" si="59"/>
        <v/>
      </c>
      <c r="O100" s="65" t="str">
        <f t="shared" si="59"/>
        <v/>
      </c>
      <c r="P100" s="65" t="str">
        <f t="shared" si="59"/>
        <v/>
      </c>
      <c r="Q100" s="65" t="str">
        <f t="shared" si="59"/>
        <v/>
      </c>
      <c r="DZ100" s="1" t="s">
        <v>2</v>
      </c>
      <c r="EA100" s="63" t="s">
        <v>1</v>
      </c>
      <c r="EB100" s="63" t="s">
        <v>1</v>
      </c>
      <c r="EC100" s="63" t="s">
        <v>1</v>
      </c>
    </row>
    <row r="101" spans="2:133" s="19" customFormat="1" hidden="1" x14ac:dyDescent="0.25">
      <c r="C101" s="22" t="s">
        <v>47</v>
      </c>
      <c r="DZ101" s="22" t="s">
        <v>2</v>
      </c>
      <c r="EA101" s="23" t="s">
        <v>1</v>
      </c>
      <c r="EB101" s="23" t="s">
        <v>1</v>
      </c>
      <c r="EC101" s="23" t="s">
        <v>1</v>
      </c>
    </row>
    <row r="102" spans="2:133" s="19" customFormat="1" hidden="1" x14ac:dyDescent="0.25">
      <c r="C102" s="22" t="s">
        <v>47</v>
      </c>
      <c r="DZ102" s="22" t="s">
        <v>2</v>
      </c>
      <c r="EA102" s="23" t="s">
        <v>1</v>
      </c>
      <c r="EB102" s="23" t="s">
        <v>1</v>
      </c>
      <c r="EC102" s="23" t="s">
        <v>1</v>
      </c>
    </row>
    <row r="103" spans="2:133" s="19" customFormat="1" hidden="1" x14ac:dyDescent="0.25">
      <c r="C103" s="22" t="s">
        <v>47</v>
      </c>
      <c r="DZ103" s="22" t="s">
        <v>2</v>
      </c>
      <c r="EA103" s="23" t="s">
        <v>1</v>
      </c>
      <c r="EB103" s="23" t="s">
        <v>1</v>
      </c>
      <c r="EC103" s="23" t="s">
        <v>1</v>
      </c>
    </row>
    <row r="104" spans="2:133" s="19" customFormat="1" hidden="1" x14ac:dyDescent="0.25">
      <c r="C104" s="22" t="s">
        <v>47</v>
      </c>
      <c r="DZ104" s="22" t="s">
        <v>2</v>
      </c>
      <c r="EA104" s="23" t="s">
        <v>1</v>
      </c>
      <c r="EB104" s="23" t="s">
        <v>1</v>
      </c>
      <c r="EC104" s="23" t="s">
        <v>1</v>
      </c>
    </row>
    <row r="105" spans="2:133" s="19" customFormat="1" hidden="1" x14ac:dyDescent="0.25">
      <c r="B105" s="19" t="s">
        <v>25</v>
      </c>
      <c r="C105" s="22" t="s">
        <v>47</v>
      </c>
      <c r="F105" s="19">
        <f>F17</f>
        <v>32098928.550000004</v>
      </c>
      <c r="H105" s="19">
        <f>H17</f>
        <v>32114746.900000006</v>
      </c>
      <c r="I105" s="19">
        <f t="shared" ref="I105:Q105" si="60">I17</f>
        <v>34444560.019999996</v>
      </c>
      <c r="J105" s="19">
        <f t="shared" si="60"/>
        <v>35411227.599999994</v>
      </c>
      <c r="K105" s="19">
        <f t="shared" si="60"/>
        <v>36442727.330000006</v>
      </c>
      <c r="L105" s="19">
        <f t="shared" si="60"/>
        <v>37549065.389999986</v>
      </c>
      <c r="M105" s="19">
        <f t="shared" si="60"/>
        <v>38377583.979999997</v>
      </c>
      <c r="N105" s="19">
        <f t="shared" si="60"/>
        <v>39225314.710000001</v>
      </c>
      <c r="O105" s="19">
        <f t="shared" si="60"/>
        <v>40092717.420000002</v>
      </c>
      <c r="P105" s="19">
        <f t="shared" si="60"/>
        <v>40980263.20000001</v>
      </c>
      <c r="Q105" s="19">
        <f t="shared" si="60"/>
        <v>41888434.460000001</v>
      </c>
      <c r="DZ105" s="22" t="s">
        <v>2</v>
      </c>
      <c r="EA105" s="23" t="s">
        <v>1</v>
      </c>
      <c r="EB105" s="23" t="s">
        <v>1</v>
      </c>
      <c r="EC105" s="23" t="s">
        <v>1</v>
      </c>
    </row>
    <row r="106" spans="2:133" s="19" customFormat="1" hidden="1" x14ac:dyDescent="0.25">
      <c r="B106" s="24" t="s">
        <v>53</v>
      </c>
      <c r="C106" s="22" t="s">
        <v>47</v>
      </c>
      <c r="E106" s="24"/>
      <c r="G106" s="24"/>
      <c r="DZ106" s="22" t="s">
        <v>2</v>
      </c>
      <c r="EA106" s="23" t="s">
        <v>1</v>
      </c>
      <c r="EB106" s="23" t="s">
        <v>1</v>
      </c>
      <c r="EC106" s="23" t="s">
        <v>1</v>
      </c>
    </row>
    <row r="107" spans="2:133" s="19" customFormat="1" hidden="1" x14ac:dyDescent="0.25">
      <c r="B107" s="24" t="s">
        <v>61</v>
      </c>
      <c r="C107" s="22" t="s">
        <v>47</v>
      </c>
      <c r="E107" s="24"/>
      <c r="F107" s="19">
        <f>F63</f>
        <v>-335000</v>
      </c>
      <c r="G107" s="24"/>
      <c r="H107" s="19">
        <f>H63</f>
        <v>0</v>
      </c>
      <c r="I107" s="19">
        <f t="shared" ref="I107:Q107" si="61">I63</f>
        <v>0</v>
      </c>
      <c r="J107" s="19">
        <f t="shared" si="61"/>
        <v>0</v>
      </c>
      <c r="K107" s="19">
        <f t="shared" si="61"/>
        <v>0</v>
      </c>
      <c r="L107" s="19">
        <f t="shared" si="61"/>
        <v>0</v>
      </c>
      <c r="M107" s="19">
        <f t="shared" si="61"/>
        <v>0</v>
      </c>
      <c r="N107" s="19">
        <f t="shared" si="61"/>
        <v>0</v>
      </c>
      <c r="O107" s="19">
        <f t="shared" si="61"/>
        <v>0</v>
      </c>
      <c r="P107" s="19">
        <f t="shared" si="61"/>
        <v>0</v>
      </c>
      <c r="Q107" s="19">
        <f t="shared" si="61"/>
        <v>0</v>
      </c>
      <c r="DZ107" s="22" t="s">
        <v>2</v>
      </c>
      <c r="EA107" s="23" t="s">
        <v>1</v>
      </c>
      <c r="EB107" s="23" t="s">
        <v>1</v>
      </c>
      <c r="EC107" s="23" t="s">
        <v>1</v>
      </c>
    </row>
    <row r="108" spans="2:133" s="19" customFormat="1" hidden="1" x14ac:dyDescent="0.25">
      <c r="B108" s="24" t="s">
        <v>56</v>
      </c>
      <c r="C108" s="22" t="s">
        <v>47</v>
      </c>
      <c r="E108" s="24"/>
      <c r="F108" s="19">
        <f t="shared" ref="F108:Q112" si="62">F58</f>
        <v>0</v>
      </c>
      <c r="G108" s="24"/>
      <c r="H108" s="19">
        <f t="shared" si="62"/>
        <v>0</v>
      </c>
      <c r="I108" s="19">
        <f t="shared" si="62"/>
        <v>0</v>
      </c>
      <c r="J108" s="19">
        <f t="shared" si="62"/>
        <v>0</v>
      </c>
      <c r="K108" s="19">
        <f t="shared" si="62"/>
        <v>0</v>
      </c>
      <c r="L108" s="19">
        <f t="shared" si="62"/>
        <v>0</v>
      </c>
      <c r="M108" s="19">
        <f t="shared" si="62"/>
        <v>0</v>
      </c>
      <c r="N108" s="19">
        <f t="shared" si="62"/>
        <v>0</v>
      </c>
      <c r="O108" s="19">
        <f t="shared" si="62"/>
        <v>0</v>
      </c>
      <c r="P108" s="19">
        <f t="shared" si="62"/>
        <v>0</v>
      </c>
      <c r="Q108" s="19">
        <f t="shared" si="62"/>
        <v>0</v>
      </c>
      <c r="DZ108" s="22" t="s">
        <v>2</v>
      </c>
      <c r="EA108" s="23" t="s">
        <v>1</v>
      </c>
      <c r="EB108" s="23" t="s">
        <v>1</v>
      </c>
      <c r="EC108" s="23" t="s">
        <v>1</v>
      </c>
    </row>
    <row r="109" spans="2:133" s="19" customFormat="1" hidden="1" x14ac:dyDescent="0.25">
      <c r="B109" s="24" t="s">
        <v>57</v>
      </c>
      <c r="C109" s="22" t="s">
        <v>47</v>
      </c>
      <c r="E109" s="24"/>
      <c r="F109" s="19">
        <f t="shared" si="62"/>
        <v>0</v>
      </c>
      <c r="G109" s="24"/>
      <c r="H109" s="19">
        <f t="shared" si="62"/>
        <v>0</v>
      </c>
      <c r="I109" s="19">
        <f t="shared" si="62"/>
        <v>0</v>
      </c>
      <c r="J109" s="19">
        <f t="shared" si="62"/>
        <v>0</v>
      </c>
      <c r="K109" s="19">
        <f t="shared" si="62"/>
        <v>0</v>
      </c>
      <c r="L109" s="19">
        <f t="shared" si="62"/>
        <v>0</v>
      </c>
      <c r="M109" s="19">
        <f t="shared" si="62"/>
        <v>0</v>
      </c>
      <c r="N109" s="19">
        <f t="shared" si="62"/>
        <v>0</v>
      </c>
      <c r="O109" s="19">
        <f t="shared" si="62"/>
        <v>0</v>
      </c>
      <c r="P109" s="19">
        <f t="shared" si="62"/>
        <v>0</v>
      </c>
      <c r="Q109" s="19">
        <f t="shared" si="62"/>
        <v>0</v>
      </c>
      <c r="DZ109" s="22" t="s">
        <v>2</v>
      </c>
      <c r="EA109" s="23" t="s">
        <v>1</v>
      </c>
      <c r="EB109" s="23" t="s">
        <v>1</v>
      </c>
      <c r="EC109" s="23" t="s">
        <v>1</v>
      </c>
    </row>
    <row r="110" spans="2:133" s="19" customFormat="1" hidden="1" x14ac:dyDescent="0.25">
      <c r="B110" s="24" t="s">
        <v>58</v>
      </c>
      <c r="C110" s="22" t="s">
        <v>47</v>
      </c>
      <c r="E110" s="24"/>
      <c r="F110" s="19">
        <f t="shared" si="62"/>
        <v>0</v>
      </c>
      <c r="G110" s="24"/>
      <c r="H110" s="19">
        <f t="shared" si="62"/>
        <v>0</v>
      </c>
      <c r="I110" s="19">
        <f t="shared" si="62"/>
        <v>0</v>
      </c>
      <c r="J110" s="19">
        <f t="shared" si="62"/>
        <v>0</v>
      </c>
      <c r="K110" s="19">
        <f t="shared" si="62"/>
        <v>0</v>
      </c>
      <c r="L110" s="19">
        <f t="shared" si="62"/>
        <v>0</v>
      </c>
      <c r="M110" s="19">
        <f t="shared" si="62"/>
        <v>0</v>
      </c>
      <c r="N110" s="19">
        <f t="shared" si="62"/>
        <v>0</v>
      </c>
      <c r="O110" s="19">
        <f t="shared" si="62"/>
        <v>0</v>
      </c>
      <c r="P110" s="19">
        <f t="shared" si="62"/>
        <v>0</v>
      </c>
      <c r="Q110" s="19">
        <f t="shared" si="62"/>
        <v>0</v>
      </c>
      <c r="DZ110" s="22" t="s">
        <v>2</v>
      </c>
      <c r="EA110" s="23" t="s">
        <v>1</v>
      </c>
      <c r="EB110" s="23" t="s">
        <v>1</v>
      </c>
      <c r="EC110" s="23" t="s">
        <v>1</v>
      </c>
    </row>
    <row r="111" spans="2:133" s="19" customFormat="1" hidden="1" x14ac:dyDescent="0.25">
      <c r="B111" s="24" t="s">
        <v>59</v>
      </c>
      <c r="C111" s="22" t="s">
        <v>47</v>
      </c>
      <c r="E111" s="24"/>
      <c r="F111" s="19">
        <f t="shared" si="62"/>
        <v>0</v>
      </c>
      <c r="G111" s="24"/>
      <c r="H111" s="19">
        <f t="shared" si="62"/>
        <v>0</v>
      </c>
      <c r="I111" s="19">
        <f t="shared" si="62"/>
        <v>0</v>
      </c>
      <c r="J111" s="19">
        <f t="shared" si="62"/>
        <v>0</v>
      </c>
      <c r="K111" s="19">
        <f t="shared" si="62"/>
        <v>0</v>
      </c>
      <c r="L111" s="19">
        <f t="shared" si="62"/>
        <v>0</v>
      </c>
      <c r="M111" s="19">
        <f t="shared" si="62"/>
        <v>0</v>
      </c>
      <c r="N111" s="19">
        <f t="shared" si="62"/>
        <v>0</v>
      </c>
      <c r="O111" s="19">
        <f t="shared" si="62"/>
        <v>0</v>
      </c>
      <c r="P111" s="19">
        <f t="shared" si="62"/>
        <v>0</v>
      </c>
      <c r="Q111" s="19">
        <f t="shared" si="62"/>
        <v>0</v>
      </c>
      <c r="DZ111" s="22" t="s">
        <v>2</v>
      </c>
      <c r="EA111" s="23" t="s">
        <v>1</v>
      </c>
      <c r="EB111" s="23" t="s">
        <v>1</v>
      </c>
      <c r="EC111" s="23" t="s">
        <v>1</v>
      </c>
    </row>
    <row r="112" spans="2:133" s="19" customFormat="1" hidden="1" x14ac:dyDescent="0.25">
      <c r="B112" s="24" t="s">
        <v>60</v>
      </c>
      <c r="C112" s="22" t="s">
        <v>47</v>
      </c>
      <c r="E112" s="24"/>
      <c r="F112" s="19">
        <f t="shared" si="62"/>
        <v>0</v>
      </c>
      <c r="G112" s="24"/>
      <c r="H112" s="19">
        <f t="shared" si="62"/>
        <v>0</v>
      </c>
      <c r="I112" s="19">
        <f t="shared" si="62"/>
        <v>0</v>
      </c>
      <c r="J112" s="19">
        <f t="shared" si="62"/>
        <v>0</v>
      </c>
      <c r="K112" s="19">
        <f t="shared" si="62"/>
        <v>0</v>
      </c>
      <c r="L112" s="19">
        <f t="shared" si="62"/>
        <v>0</v>
      </c>
      <c r="M112" s="19">
        <f t="shared" si="62"/>
        <v>0</v>
      </c>
      <c r="N112" s="19">
        <f t="shared" si="62"/>
        <v>0</v>
      </c>
      <c r="O112" s="19">
        <f t="shared" si="62"/>
        <v>0</v>
      </c>
      <c r="P112" s="19">
        <f t="shared" si="62"/>
        <v>0</v>
      </c>
      <c r="Q112" s="19">
        <f t="shared" si="62"/>
        <v>0</v>
      </c>
      <c r="DZ112" s="22" t="s">
        <v>2</v>
      </c>
      <c r="EA112" s="23" t="s">
        <v>1</v>
      </c>
      <c r="EB112" s="23" t="s">
        <v>1</v>
      </c>
      <c r="EC112" s="23" t="s">
        <v>1</v>
      </c>
    </row>
    <row r="113" spans="2:133" s="19" customFormat="1" hidden="1" x14ac:dyDescent="0.25">
      <c r="B113" s="24" t="s">
        <v>82</v>
      </c>
      <c r="C113" s="22" t="s">
        <v>47</v>
      </c>
      <c r="E113" s="24"/>
      <c r="F113" s="19">
        <f>IF(F57&gt;0,F57,0)</f>
        <v>1274217</v>
      </c>
      <c r="G113" s="24"/>
      <c r="H113" s="19">
        <f>IF(H57&gt;0,H57,0)</f>
        <v>276191</v>
      </c>
      <c r="I113" s="19">
        <f t="shared" ref="I113:Q113" si="63">IF(I57&gt;0,I57,0)</f>
        <v>573221</v>
      </c>
      <c r="J113" s="19">
        <f t="shared" si="63"/>
        <v>0</v>
      </c>
      <c r="K113" s="19">
        <f t="shared" si="63"/>
        <v>0</v>
      </c>
      <c r="L113" s="19">
        <f t="shared" si="63"/>
        <v>0</v>
      </c>
      <c r="M113" s="19">
        <f t="shared" si="63"/>
        <v>0</v>
      </c>
      <c r="N113" s="19">
        <f t="shared" si="63"/>
        <v>0</v>
      </c>
      <c r="O113" s="19">
        <f t="shared" si="63"/>
        <v>0</v>
      </c>
      <c r="P113" s="19">
        <f t="shared" si="63"/>
        <v>0</v>
      </c>
      <c r="Q113" s="19">
        <f t="shared" si="63"/>
        <v>0</v>
      </c>
      <c r="DZ113" s="22" t="s">
        <v>2</v>
      </c>
      <c r="EA113" s="23" t="s">
        <v>1</v>
      </c>
      <c r="EB113" s="23" t="s">
        <v>1</v>
      </c>
      <c r="EC113" s="23" t="s">
        <v>1</v>
      </c>
    </row>
    <row r="114" spans="2:133" s="19" customFormat="1" hidden="1" x14ac:dyDescent="0.25">
      <c r="B114" s="24" t="s">
        <v>83</v>
      </c>
      <c r="C114" s="22" t="s">
        <v>47</v>
      </c>
      <c r="E114" s="24"/>
      <c r="F114" s="42">
        <f>SUM(F105:F113)</f>
        <v>33038145.550000004</v>
      </c>
      <c r="G114" s="24"/>
      <c r="H114" s="42">
        <f>SUM(H105:H113)</f>
        <v>32390937.900000006</v>
      </c>
      <c r="I114" s="42">
        <f t="shared" ref="I114:Q114" si="64">SUM(I105:I113)</f>
        <v>35017781.019999996</v>
      </c>
      <c r="J114" s="42">
        <f t="shared" si="64"/>
        <v>35411227.599999994</v>
      </c>
      <c r="K114" s="42">
        <f t="shared" si="64"/>
        <v>36442727.330000006</v>
      </c>
      <c r="L114" s="42">
        <f t="shared" si="64"/>
        <v>37549065.389999986</v>
      </c>
      <c r="M114" s="42">
        <f t="shared" si="64"/>
        <v>38377583.979999997</v>
      </c>
      <c r="N114" s="42">
        <f t="shared" si="64"/>
        <v>39225314.710000001</v>
      </c>
      <c r="O114" s="42">
        <f t="shared" si="64"/>
        <v>40092717.420000002</v>
      </c>
      <c r="P114" s="42">
        <f t="shared" si="64"/>
        <v>40980263.20000001</v>
      </c>
      <c r="Q114" s="42">
        <f t="shared" si="64"/>
        <v>41888434.460000001</v>
      </c>
      <c r="DZ114" s="22" t="s">
        <v>2</v>
      </c>
      <c r="EA114" s="23" t="s">
        <v>1</v>
      </c>
      <c r="EB114" s="23" t="s">
        <v>1</v>
      </c>
      <c r="EC114" s="23" t="s">
        <v>1</v>
      </c>
    </row>
    <row r="115" spans="2:133" s="19" customFormat="1" hidden="1" x14ac:dyDescent="0.25">
      <c r="B115" s="24" t="s">
        <v>84</v>
      </c>
      <c r="C115" s="22" t="s">
        <v>47</v>
      </c>
      <c r="E115" s="24"/>
      <c r="F115" s="19">
        <f>'[1]Budget Summary 1'!J34</f>
        <v>27683714.550000004</v>
      </c>
      <c r="G115" s="24"/>
      <c r="H115" s="19">
        <f>'[1]Budget Summary 1'!L34</f>
        <v>29108746.900000006</v>
      </c>
      <c r="I115" s="19">
        <f>'[1]Budget Summary 1'!M34</f>
        <v>31408500.019999988</v>
      </c>
      <c r="J115" s="19">
        <f>'[1]Budget Summary 1'!N34</f>
        <v>32329626.689999998</v>
      </c>
      <c r="K115" s="19">
        <f>'[1]Budget Summary 1'!O34</f>
        <v>33314902.410000008</v>
      </c>
      <c r="L115" s="19">
        <f>'[1]Budget Summary 1'!P34</f>
        <v>34374323.089999989</v>
      </c>
      <c r="M115" s="19">
        <f>'[1]Budget Summary 1'!Q34</f>
        <v>35152820.469999999</v>
      </c>
      <c r="N115" s="19">
        <f>'[1]Budget Summary 1'!R34</f>
        <v>35949731.68</v>
      </c>
      <c r="O115" s="19">
        <f>'[1]Budget Summary 1'!S34</f>
        <v>36765503.610000007</v>
      </c>
      <c r="P115" s="19">
        <f>'[1]Budget Summary 1'!T34</f>
        <v>37600594.210000008</v>
      </c>
      <c r="Q115" s="19">
        <f>'[1]Budget Summary 1'!U34</f>
        <v>38455472.529999994</v>
      </c>
      <c r="DZ115" s="22" t="s">
        <v>2</v>
      </c>
      <c r="EA115" s="23" t="s">
        <v>1</v>
      </c>
      <c r="EB115" s="23" t="s">
        <v>1</v>
      </c>
      <c r="EC115" s="23" t="s">
        <v>1</v>
      </c>
    </row>
    <row r="116" spans="2:133" s="19" customFormat="1" ht="15.75" hidden="1" thickBot="1" x14ac:dyDescent="0.3">
      <c r="B116" s="24" t="s">
        <v>82</v>
      </c>
      <c r="C116" s="22" t="s">
        <v>47</v>
      </c>
      <c r="E116" s="24"/>
      <c r="F116" s="59"/>
      <c r="G116" s="24"/>
      <c r="H116" s="19">
        <f>IF('[1]Budget Summary 1'!J103&gt;0,'[1]Budget Summary 1'!J103,0)</f>
        <v>4465214</v>
      </c>
      <c r="I116" s="19">
        <f>IF('[1]Budget Summary 1'!L103&gt;0,'[1]Budget Summary 1'!L103,0)</f>
        <v>4572000</v>
      </c>
      <c r="J116" s="19">
        <f>IF('[1]Budget Summary 1'!M103&gt;0,'[1]Budget Summary 1'!M103,0)</f>
        <v>4512060</v>
      </c>
      <c r="K116" s="19">
        <f>IF('[1]Budget Summary 1'!N103&gt;0,'[1]Budget Summary 1'!N103,0)</f>
        <v>3081600.91</v>
      </c>
      <c r="L116" s="19">
        <f>IF('[1]Budget Summary 1'!O103&gt;0,'[1]Budget Summary 1'!O103,0)</f>
        <v>3127824.92</v>
      </c>
      <c r="M116" s="19">
        <f>IF('[1]Budget Summary 1'!P103&gt;0,'[1]Budget Summary 1'!P103,0)</f>
        <v>3174742.3</v>
      </c>
      <c r="N116" s="19">
        <f>IF('[1]Budget Summary 1'!Q103&gt;0,'[1]Budget Summary 1'!Q103,0)</f>
        <v>3224763.51</v>
      </c>
      <c r="O116" s="19">
        <f>IF('[1]Budget Summary 1'!R103&gt;0,'[1]Budget Summary 1'!R103,0)</f>
        <v>3275583.0300000003</v>
      </c>
      <c r="P116" s="19">
        <f>IF('[1]Budget Summary 1'!S103&gt;0,'[1]Budget Summary 1'!S103,0)</f>
        <v>3327213.81</v>
      </c>
      <c r="Q116" s="19">
        <f>IF('[1]Budget Summary 1'!T103&gt;0,'[1]Budget Summary 1'!T103,0)</f>
        <v>3379668.99</v>
      </c>
      <c r="DZ116" s="22" t="s">
        <v>2</v>
      </c>
      <c r="EA116" s="23" t="s">
        <v>1</v>
      </c>
      <c r="EB116" s="23" t="s">
        <v>1</v>
      </c>
      <c r="EC116" s="23" t="s">
        <v>1</v>
      </c>
    </row>
    <row r="117" spans="2:133" s="19" customFormat="1" hidden="1" x14ac:dyDescent="0.25">
      <c r="B117" s="24" t="s">
        <v>71</v>
      </c>
      <c r="C117" s="22" t="s">
        <v>47</v>
      </c>
      <c r="E117" s="24"/>
      <c r="F117" s="52">
        <f>ROUND(F114-F115-F116,2)</f>
        <v>5354431</v>
      </c>
      <c r="G117" s="24"/>
      <c r="H117" s="52">
        <f>ROUND(H114-H115-H116,2)</f>
        <v>-1183023</v>
      </c>
      <c r="I117" s="52">
        <f t="shared" ref="I117:Q117" si="65">ROUND(I114-I115-I116,2)</f>
        <v>-962719</v>
      </c>
      <c r="J117" s="52">
        <f t="shared" si="65"/>
        <v>-1430459.09</v>
      </c>
      <c r="K117" s="52">
        <f t="shared" si="65"/>
        <v>46224.01</v>
      </c>
      <c r="L117" s="52">
        <f t="shared" si="65"/>
        <v>46917.38</v>
      </c>
      <c r="M117" s="52">
        <f t="shared" si="65"/>
        <v>50021.21</v>
      </c>
      <c r="N117" s="52">
        <f t="shared" si="65"/>
        <v>50819.519999999997</v>
      </c>
      <c r="O117" s="52">
        <f t="shared" si="65"/>
        <v>51630.78</v>
      </c>
      <c r="P117" s="52">
        <f t="shared" si="65"/>
        <v>52455.18</v>
      </c>
      <c r="Q117" s="52">
        <f t="shared" si="65"/>
        <v>53292.94</v>
      </c>
      <c r="DZ117" s="22" t="s">
        <v>2</v>
      </c>
      <c r="EA117" s="23" t="s">
        <v>1</v>
      </c>
      <c r="EB117" s="23" t="s">
        <v>1</v>
      </c>
      <c r="EC117" s="23" t="s">
        <v>1</v>
      </c>
    </row>
    <row r="118" spans="2:133" s="19" customFormat="1" hidden="1" x14ac:dyDescent="0.25">
      <c r="C118" s="22" t="s">
        <v>47</v>
      </c>
      <c r="DZ118" s="22" t="s">
        <v>2</v>
      </c>
      <c r="EA118" s="23" t="s">
        <v>1</v>
      </c>
      <c r="EB118" s="23" t="s">
        <v>1</v>
      </c>
      <c r="EC118" s="23" t="s">
        <v>1</v>
      </c>
    </row>
    <row r="119" spans="2:133" s="19" customFormat="1" hidden="1" x14ac:dyDescent="0.25">
      <c r="C119" s="22" t="s">
        <v>47</v>
      </c>
      <c r="DZ119" s="22" t="s">
        <v>2</v>
      </c>
      <c r="EA119" s="23" t="s">
        <v>1</v>
      </c>
      <c r="EB119" s="23" t="s">
        <v>1</v>
      </c>
      <c r="EC119" s="23" t="s">
        <v>1</v>
      </c>
    </row>
    <row r="120" spans="2:133" s="19" customFormat="1" hidden="1" x14ac:dyDescent="0.25">
      <c r="C120" s="22" t="s">
        <v>47</v>
      </c>
      <c r="DZ120" s="22" t="s">
        <v>2</v>
      </c>
      <c r="EA120" s="23" t="s">
        <v>1</v>
      </c>
      <c r="EB120" s="23" t="s">
        <v>1</v>
      </c>
      <c r="EC120" s="23" t="s">
        <v>1</v>
      </c>
    </row>
    <row r="121" spans="2:133" s="19" customFormat="1" hidden="1" x14ac:dyDescent="0.25">
      <c r="B121" s="19" t="s">
        <v>39</v>
      </c>
      <c r="C121" s="22" t="s">
        <v>47</v>
      </c>
      <c r="F121" s="19">
        <f>F29</f>
        <v>28507394.919999991</v>
      </c>
      <c r="H121" s="19">
        <f>H29</f>
        <v>29231768.708297465</v>
      </c>
      <c r="I121" s="19">
        <f t="shared" ref="I121:Q121" si="66">I29</f>
        <v>30971216.64460839</v>
      </c>
      <c r="J121" s="19">
        <f t="shared" si="66"/>
        <v>31357728.937775087</v>
      </c>
      <c r="K121" s="19">
        <f t="shared" si="66"/>
        <v>32122814.592024326</v>
      </c>
      <c r="L121" s="19">
        <f t="shared" si="66"/>
        <v>32839694.724084105</v>
      </c>
      <c r="M121" s="19">
        <f t="shared" si="66"/>
        <v>33775293.034067236</v>
      </c>
      <c r="N121" s="19">
        <f t="shared" si="66"/>
        <v>34446103.223559842</v>
      </c>
      <c r="O121" s="19">
        <f t="shared" si="66"/>
        <v>35255366.846882544</v>
      </c>
      <c r="P121" s="19">
        <f t="shared" si="66"/>
        <v>36101700.100801036</v>
      </c>
      <c r="Q121" s="19">
        <f t="shared" si="66"/>
        <v>36967248.95066762</v>
      </c>
      <c r="DZ121" s="22" t="s">
        <v>2</v>
      </c>
      <c r="EA121" s="23" t="s">
        <v>1</v>
      </c>
      <c r="EB121" s="23" t="s">
        <v>1</v>
      </c>
      <c r="EC121" s="23" t="s">
        <v>1</v>
      </c>
    </row>
    <row r="122" spans="2:133" s="19" customFormat="1" hidden="1" x14ac:dyDescent="0.25">
      <c r="B122" s="24" t="s">
        <v>54</v>
      </c>
      <c r="C122" s="22" t="s">
        <v>47</v>
      </c>
      <c r="E122" s="24"/>
      <c r="F122" s="19">
        <f>-F56</f>
        <v>0</v>
      </c>
      <c r="G122" s="24"/>
      <c r="H122" s="19">
        <f>-H56</f>
        <v>-102109.72829747573</v>
      </c>
      <c r="I122" s="19">
        <f t="shared" ref="I122:Q122" si="67">-I56</f>
        <v>-179174.43460837752</v>
      </c>
      <c r="J122" s="19">
        <f t="shared" si="67"/>
        <v>-197808.38777508959</v>
      </c>
      <c r="K122" s="19">
        <f t="shared" si="67"/>
        <v>-228516.38202431425</v>
      </c>
      <c r="L122" s="19">
        <f t="shared" si="67"/>
        <v>-269758.26408410817</v>
      </c>
      <c r="M122" s="19">
        <f t="shared" si="67"/>
        <v>-324899.55406723544</v>
      </c>
      <c r="N122" s="19">
        <f t="shared" si="67"/>
        <v>-360342.09355983697</v>
      </c>
      <c r="O122" s="19">
        <f t="shared" si="67"/>
        <v>-398807.89688255079</v>
      </c>
      <c r="P122" s="19">
        <f t="shared" si="67"/>
        <v>-439878.65080101788</v>
      </c>
      <c r="Q122" s="19">
        <f t="shared" si="67"/>
        <v>-481424.76066761464</v>
      </c>
      <c r="DZ122" s="22" t="s">
        <v>2</v>
      </c>
      <c r="EA122" s="23" t="s">
        <v>1</v>
      </c>
      <c r="EB122" s="23" t="s">
        <v>1</v>
      </c>
      <c r="EC122" s="23" t="s">
        <v>1</v>
      </c>
    </row>
    <row r="123" spans="2:133" s="19" customFormat="1" hidden="1" x14ac:dyDescent="0.25">
      <c r="B123" s="24" t="s">
        <v>63</v>
      </c>
      <c r="C123" s="22" t="s">
        <v>47</v>
      </c>
      <c r="E123" s="24"/>
      <c r="F123" s="19">
        <f t="shared" ref="F123:Q124" si="68">-F65</f>
        <v>0</v>
      </c>
      <c r="G123" s="24"/>
      <c r="H123" s="19">
        <f t="shared" ca="1" si="68"/>
        <v>0</v>
      </c>
      <c r="I123" s="19">
        <f t="shared" ca="1" si="68"/>
        <v>0</v>
      </c>
      <c r="J123" s="19">
        <f t="shared" ca="1" si="68"/>
        <v>0</v>
      </c>
      <c r="K123" s="19">
        <f t="shared" ca="1" si="68"/>
        <v>0</v>
      </c>
      <c r="L123" s="19">
        <f t="shared" ca="1" si="68"/>
        <v>0</v>
      </c>
      <c r="M123" s="19">
        <f t="shared" ca="1" si="68"/>
        <v>0</v>
      </c>
      <c r="N123" s="19">
        <f t="shared" ca="1" si="68"/>
        <v>0</v>
      </c>
      <c r="O123" s="19">
        <f t="shared" ca="1" si="68"/>
        <v>0</v>
      </c>
      <c r="P123" s="19">
        <f t="shared" ca="1" si="68"/>
        <v>0</v>
      </c>
      <c r="Q123" s="19">
        <f t="shared" ca="1" si="68"/>
        <v>0</v>
      </c>
      <c r="DZ123" s="22" t="s">
        <v>2</v>
      </c>
      <c r="EA123" s="23" t="s">
        <v>1</v>
      </c>
      <c r="EB123" s="23" t="s">
        <v>1</v>
      </c>
      <c r="EC123" s="23" t="s">
        <v>1</v>
      </c>
    </row>
    <row r="124" spans="2:133" s="19" customFormat="1" hidden="1" x14ac:dyDescent="0.25">
      <c r="B124" s="24" t="s">
        <v>64</v>
      </c>
      <c r="C124" s="22" t="s">
        <v>47</v>
      </c>
      <c r="E124" s="24"/>
      <c r="F124" s="19">
        <f t="shared" si="68"/>
        <v>0</v>
      </c>
      <c r="G124" s="24"/>
      <c r="H124" s="19">
        <f t="shared" si="68"/>
        <v>0</v>
      </c>
      <c r="I124" s="19">
        <f t="shared" si="68"/>
        <v>0</v>
      </c>
      <c r="J124" s="19">
        <f t="shared" si="68"/>
        <v>0</v>
      </c>
      <c r="K124" s="19">
        <f t="shared" si="68"/>
        <v>0</v>
      </c>
      <c r="L124" s="19">
        <f t="shared" si="68"/>
        <v>0</v>
      </c>
      <c r="M124" s="19">
        <f t="shared" si="68"/>
        <v>0</v>
      </c>
      <c r="N124" s="19">
        <f t="shared" si="68"/>
        <v>0</v>
      </c>
      <c r="O124" s="19">
        <f t="shared" si="68"/>
        <v>0</v>
      </c>
      <c r="P124" s="19">
        <f t="shared" si="68"/>
        <v>0</v>
      </c>
      <c r="Q124" s="19">
        <f t="shared" si="68"/>
        <v>0</v>
      </c>
      <c r="DZ124" s="22" t="s">
        <v>2</v>
      </c>
      <c r="EA124" s="23" t="s">
        <v>1</v>
      </c>
      <c r="EB124" s="23" t="s">
        <v>1</v>
      </c>
      <c r="EC124" s="23" t="s">
        <v>1</v>
      </c>
    </row>
    <row r="125" spans="2:133" s="19" customFormat="1" hidden="1" x14ac:dyDescent="0.25">
      <c r="B125" s="24" t="s">
        <v>62</v>
      </c>
      <c r="C125" s="22" t="s">
        <v>47</v>
      </c>
      <c r="E125" s="24"/>
      <c r="F125" s="19">
        <f>-F64</f>
        <v>0</v>
      </c>
      <c r="G125" s="24"/>
      <c r="H125" s="19">
        <f t="shared" ref="H125:Q125" si="69">-H64</f>
        <v>0</v>
      </c>
      <c r="I125" s="19">
        <f t="shared" si="69"/>
        <v>0</v>
      </c>
      <c r="J125" s="19">
        <f t="shared" si="69"/>
        <v>0</v>
      </c>
      <c r="K125" s="19">
        <f t="shared" si="69"/>
        <v>0</v>
      </c>
      <c r="L125" s="19">
        <f t="shared" si="69"/>
        <v>0</v>
      </c>
      <c r="M125" s="19">
        <f t="shared" si="69"/>
        <v>0</v>
      </c>
      <c r="N125" s="19">
        <f t="shared" si="69"/>
        <v>0</v>
      </c>
      <c r="O125" s="19">
        <f t="shared" si="69"/>
        <v>0</v>
      </c>
      <c r="P125" s="19">
        <f t="shared" si="69"/>
        <v>0</v>
      </c>
      <c r="Q125" s="19">
        <f t="shared" si="69"/>
        <v>0</v>
      </c>
      <c r="DZ125" s="22" t="s">
        <v>2</v>
      </c>
      <c r="EA125" s="23" t="s">
        <v>1</v>
      </c>
      <c r="EB125" s="23" t="s">
        <v>1</v>
      </c>
      <c r="EC125" s="23" t="s">
        <v>1</v>
      </c>
    </row>
    <row r="126" spans="2:133" s="19" customFormat="1" hidden="1" x14ac:dyDescent="0.25">
      <c r="B126" s="24" t="s">
        <v>65</v>
      </c>
      <c r="C126" s="22" t="s">
        <v>47</v>
      </c>
      <c r="E126" s="24"/>
      <c r="F126" s="19">
        <f>-F67</f>
        <v>-194156.12</v>
      </c>
      <c r="G126" s="24"/>
      <c r="H126" s="19">
        <f>-H67</f>
        <v>-155857.18</v>
      </c>
      <c r="I126" s="19">
        <f t="shared" ref="I126:Q126" si="70">-I67</f>
        <v>-125571.66</v>
      </c>
      <c r="J126" s="19">
        <f t="shared" si="70"/>
        <v>-95371.97</v>
      </c>
      <c r="K126" s="19">
        <f t="shared" si="70"/>
        <v>-66071.42</v>
      </c>
      <c r="L126" s="19">
        <f t="shared" si="70"/>
        <v>-43132.7</v>
      </c>
      <c r="M126" s="19">
        <f t="shared" si="70"/>
        <v>-17782.88</v>
      </c>
      <c r="N126" s="19">
        <f t="shared" si="70"/>
        <v>-9710.49</v>
      </c>
      <c r="O126" s="19">
        <f t="shared" si="70"/>
        <v>-9022.2999999999993</v>
      </c>
      <c r="P126" s="19">
        <f t="shared" si="70"/>
        <v>-8329.4699999999993</v>
      </c>
      <c r="Q126" s="19">
        <f t="shared" si="70"/>
        <v>-7563.6</v>
      </c>
      <c r="DZ126" s="22" t="s">
        <v>2</v>
      </c>
      <c r="EA126" s="23" t="s">
        <v>1</v>
      </c>
      <c r="EB126" s="23" t="s">
        <v>1</v>
      </c>
      <c r="EC126" s="23" t="s">
        <v>1</v>
      </c>
    </row>
    <row r="127" spans="2:133" s="19" customFormat="1" hidden="1" x14ac:dyDescent="0.25">
      <c r="B127" s="24" t="s">
        <v>66</v>
      </c>
      <c r="C127" s="22" t="s">
        <v>47</v>
      </c>
      <c r="E127" s="24"/>
      <c r="F127" s="19">
        <f>-F68</f>
        <v>0</v>
      </c>
      <c r="G127" s="24"/>
      <c r="H127" s="19">
        <f t="shared" ref="H127:Q129" si="71">-H68</f>
        <v>0</v>
      </c>
      <c r="I127" s="19">
        <f t="shared" si="71"/>
        <v>0</v>
      </c>
      <c r="J127" s="19">
        <f t="shared" si="71"/>
        <v>0</v>
      </c>
      <c r="K127" s="19">
        <f t="shared" si="71"/>
        <v>0</v>
      </c>
      <c r="L127" s="19">
        <f t="shared" si="71"/>
        <v>0</v>
      </c>
      <c r="M127" s="19">
        <f t="shared" si="71"/>
        <v>0</v>
      </c>
      <c r="N127" s="19">
        <f t="shared" si="71"/>
        <v>0</v>
      </c>
      <c r="O127" s="19">
        <f t="shared" si="71"/>
        <v>0</v>
      </c>
      <c r="P127" s="19">
        <f t="shared" si="71"/>
        <v>0</v>
      </c>
      <c r="Q127" s="19">
        <f t="shared" si="71"/>
        <v>0</v>
      </c>
      <c r="DZ127" s="22" t="s">
        <v>2</v>
      </c>
      <c r="EA127" s="23" t="s">
        <v>1</v>
      </c>
      <c r="EB127" s="23" t="s">
        <v>1</v>
      </c>
      <c r="EC127" s="23" t="s">
        <v>1</v>
      </c>
    </row>
    <row r="128" spans="2:133" s="19" customFormat="1" hidden="1" x14ac:dyDescent="0.25">
      <c r="B128" s="24" t="s">
        <v>67</v>
      </c>
      <c r="C128" s="22" t="s">
        <v>47</v>
      </c>
      <c r="E128" s="24"/>
      <c r="F128" s="19">
        <f>-F69</f>
        <v>0</v>
      </c>
      <c r="G128" s="24"/>
      <c r="H128" s="19">
        <f>-H69</f>
        <v>0</v>
      </c>
      <c r="I128" s="19">
        <f t="shared" si="71"/>
        <v>0</v>
      </c>
      <c r="J128" s="19">
        <f t="shared" si="71"/>
        <v>0</v>
      </c>
      <c r="K128" s="19">
        <f t="shared" si="71"/>
        <v>0</v>
      </c>
      <c r="L128" s="19">
        <f t="shared" si="71"/>
        <v>0</v>
      </c>
      <c r="M128" s="19">
        <f t="shared" si="71"/>
        <v>0</v>
      </c>
      <c r="N128" s="19">
        <f t="shared" si="71"/>
        <v>0</v>
      </c>
      <c r="O128" s="19">
        <f t="shared" si="71"/>
        <v>0</v>
      </c>
      <c r="P128" s="19">
        <f t="shared" si="71"/>
        <v>0</v>
      </c>
      <c r="Q128" s="19">
        <f t="shared" si="71"/>
        <v>0</v>
      </c>
      <c r="DZ128" s="22" t="s">
        <v>2</v>
      </c>
      <c r="EA128" s="23" t="s">
        <v>1</v>
      </c>
      <c r="EB128" s="23" t="s">
        <v>1</v>
      </c>
      <c r="EC128" s="23" t="s">
        <v>1</v>
      </c>
    </row>
    <row r="129" spans="2:133" s="19" customFormat="1" hidden="1" x14ac:dyDescent="0.25">
      <c r="B129" s="24" t="s">
        <v>68</v>
      </c>
      <c r="C129" s="22" t="s">
        <v>47</v>
      </c>
      <c r="E129" s="24"/>
      <c r="F129" s="19">
        <f>-F70</f>
        <v>12483288.030000001</v>
      </c>
      <c r="G129" s="24"/>
      <c r="H129" s="19">
        <f>-H70</f>
        <v>12568046.890000001</v>
      </c>
      <c r="I129" s="19">
        <f t="shared" si="71"/>
        <v>9518589.3000000007</v>
      </c>
      <c r="J129" s="19">
        <f t="shared" si="71"/>
        <v>10072063.09</v>
      </c>
      <c r="K129" s="19">
        <f t="shared" si="71"/>
        <v>10741529.08</v>
      </c>
      <c r="L129" s="19">
        <f t="shared" si="71"/>
        <v>10712350.699999999</v>
      </c>
      <c r="M129" s="19">
        <f t="shared" si="71"/>
        <v>10264445.49</v>
      </c>
      <c r="N129" s="19">
        <f t="shared" si="71"/>
        <v>10379716.969999999</v>
      </c>
      <c r="O129" s="19">
        <f t="shared" si="71"/>
        <v>9526774.1899999995</v>
      </c>
      <c r="P129" s="19">
        <f t="shared" si="71"/>
        <v>9738012.0099999998</v>
      </c>
      <c r="Q129" s="19">
        <f t="shared" si="71"/>
        <v>10782485.07</v>
      </c>
      <c r="DZ129" s="22" t="s">
        <v>2</v>
      </c>
      <c r="EA129" s="23" t="s">
        <v>1</v>
      </c>
      <c r="EB129" s="23" t="s">
        <v>1</v>
      </c>
      <c r="EC129" s="23" t="s">
        <v>1</v>
      </c>
    </row>
    <row r="130" spans="2:133" s="19" customFormat="1" hidden="1" x14ac:dyDescent="0.25">
      <c r="B130" s="24" t="s">
        <v>82</v>
      </c>
      <c r="C130" s="22" t="s">
        <v>47</v>
      </c>
      <c r="E130" s="24"/>
      <c r="F130" s="19">
        <f>IF(F57&lt;0,-F57,0)</f>
        <v>0</v>
      </c>
      <c r="G130" s="24"/>
      <c r="H130" s="19">
        <f>IF(H57&lt;0,-H57,0)</f>
        <v>0</v>
      </c>
      <c r="I130" s="19">
        <f t="shared" ref="I130:Q130" si="72">IF(I57&lt;0,-I57,0)</f>
        <v>0</v>
      </c>
      <c r="J130" s="19">
        <f t="shared" si="72"/>
        <v>121282</v>
      </c>
      <c r="K130" s="19">
        <f t="shared" si="72"/>
        <v>573450</v>
      </c>
      <c r="L130" s="19">
        <f t="shared" si="72"/>
        <v>597372</v>
      </c>
      <c r="M130" s="19">
        <f t="shared" si="72"/>
        <v>461893</v>
      </c>
      <c r="N130" s="19">
        <f t="shared" si="72"/>
        <v>257628</v>
      </c>
      <c r="O130" s="19">
        <f t="shared" si="72"/>
        <v>579137</v>
      </c>
      <c r="P130" s="19">
        <f t="shared" si="72"/>
        <v>452894</v>
      </c>
      <c r="Q130" s="19">
        <f t="shared" si="72"/>
        <v>632224</v>
      </c>
      <c r="DZ130" s="22" t="s">
        <v>2</v>
      </c>
      <c r="EA130" s="23" t="s">
        <v>1</v>
      </c>
      <c r="EB130" s="23" t="s">
        <v>1</v>
      </c>
      <c r="EC130" s="23" t="s">
        <v>1</v>
      </c>
    </row>
    <row r="131" spans="2:133" s="19" customFormat="1" hidden="1" x14ac:dyDescent="0.25">
      <c r="B131" s="24" t="s">
        <v>85</v>
      </c>
      <c r="C131" s="22" t="s">
        <v>47</v>
      </c>
      <c r="E131" s="24"/>
      <c r="F131" s="42">
        <f>SUM(F121:F130)</f>
        <v>40796526.829999991</v>
      </c>
      <c r="G131" s="24"/>
      <c r="H131" s="42">
        <f ca="1">SUM(H121:H130)</f>
        <v>41541848.68999999</v>
      </c>
      <c r="I131" s="42">
        <f t="shared" ref="I131:Q131" ca="1" si="73">SUM(I121:I130)</f>
        <v>40185059.850000009</v>
      </c>
      <c r="J131" s="42">
        <f t="shared" ca="1" si="73"/>
        <v>41257893.670000002</v>
      </c>
      <c r="K131" s="42">
        <f t="shared" ca="1" si="73"/>
        <v>43143205.870000012</v>
      </c>
      <c r="L131" s="42">
        <f t="shared" ca="1" si="73"/>
        <v>43836526.459999993</v>
      </c>
      <c r="M131" s="42">
        <f t="shared" ca="1" si="73"/>
        <v>44158949.090000004</v>
      </c>
      <c r="N131" s="42">
        <f t="shared" ca="1" si="73"/>
        <v>44713395.609999999</v>
      </c>
      <c r="O131" s="42">
        <f t="shared" ca="1" si="73"/>
        <v>44953447.839999996</v>
      </c>
      <c r="P131" s="42">
        <f t="shared" ca="1" si="73"/>
        <v>45844397.990000017</v>
      </c>
      <c r="Q131" s="42">
        <f t="shared" ca="1" si="73"/>
        <v>47892969.660000004</v>
      </c>
      <c r="DZ131" s="22" t="s">
        <v>2</v>
      </c>
      <c r="EA131" s="23" t="s">
        <v>1</v>
      </c>
      <c r="EB131" s="23" t="s">
        <v>1</v>
      </c>
      <c r="EC131" s="23" t="s">
        <v>1</v>
      </c>
    </row>
    <row r="132" spans="2:133" s="19" customFormat="1" hidden="1" x14ac:dyDescent="0.25">
      <c r="B132" s="24" t="s">
        <v>86</v>
      </c>
      <c r="C132" s="22" t="s">
        <v>47</v>
      </c>
      <c r="E132" s="24"/>
      <c r="F132" s="19">
        <f>'[1]Budget Summary 1'!J74</f>
        <v>30224176.499999996</v>
      </c>
      <c r="G132" s="24"/>
      <c r="H132" s="19">
        <f>'[1]Budget Summary 1'!L74</f>
        <v>30826442.459999993</v>
      </c>
      <c r="I132" s="19">
        <f>'[1]Budget Summary 1'!M74</f>
        <v>32522761.950000003</v>
      </c>
      <c r="J132" s="19">
        <f>'[1]Budget Summary 1'!N74</f>
        <v>32928715.879999988</v>
      </c>
      <c r="K132" s="19">
        <f>'[1]Budget Summary 1'!O74</f>
        <v>33702006.600000009</v>
      </c>
      <c r="L132" s="19">
        <f>'[1]Budget Summary 1'!P74</f>
        <v>34417415.219999991</v>
      </c>
      <c r="M132" s="19">
        <f>'[1]Budget Summary 1'!Q74</f>
        <v>35338516.599999994</v>
      </c>
      <c r="N132" s="19">
        <f>'[1]Budget Summary 1'!R74</f>
        <v>36015422.300000012</v>
      </c>
      <c r="O132" s="19">
        <f>'[1]Budget Summary 1'!S74</f>
        <v>36828672.949999988</v>
      </c>
      <c r="P132" s="19">
        <f>'[1]Budget Summary 1'!T74</f>
        <v>37677321.650000013</v>
      </c>
      <c r="Q132" s="19">
        <f>'[1]Budget Summary 1'!U74</f>
        <v>38545666.380000003</v>
      </c>
      <c r="DZ132" s="22" t="s">
        <v>2</v>
      </c>
      <c r="EA132" s="23" t="s">
        <v>1</v>
      </c>
      <c r="EB132" s="23" t="s">
        <v>1</v>
      </c>
      <c r="EC132" s="23" t="s">
        <v>1</v>
      </c>
    </row>
    <row r="133" spans="2:133" s="19" customFormat="1" hidden="1" x14ac:dyDescent="0.25">
      <c r="B133" s="24" t="s">
        <v>87</v>
      </c>
      <c r="C133" s="22" t="s">
        <v>47</v>
      </c>
      <c r="E133" s="24"/>
      <c r="F133" s="19">
        <f>-'[1]Budget Summary 1'!J174</f>
        <v>-1666781.5900000033</v>
      </c>
      <c r="G133" s="24"/>
      <c r="H133" s="19">
        <f>-'[1]Budget Summary 1'!L174</f>
        <v>-1696783.5500000017</v>
      </c>
      <c r="I133" s="19">
        <f>-'[1]Budget Summary 1'!M174</f>
        <v>-1730719.2899999926</v>
      </c>
      <c r="J133" s="19">
        <f>-'[1]Budget Summary 1'!N174</f>
        <v>-1768795.1899999981</v>
      </c>
      <c r="K133" s="19">
        <f>-'[1]Budget Summary 1'!O174</f>
        <v>-1807708.6999999986</v>
      </c>
      <c r="L133" s="19">
        <f>-'[1]Budget Summary 1'!P174</f>
        <v>-1847478.3499999957</v>
      </c>
      <c r="M133" s="19">
        <f>-'[1]Budget Summary 1'!Q174</f>
        <v>-1888122.8899999983</v>
      </c>
      <c r="N133" s="19">
        <f>-'[1]Budget Summary 1'!R174</f>
        <v>-1929661.5499999975</v>
      </c>
      <c r="O133" s="19">
        <f>-'[1]Budget Summary 1'!S174</f>
        <v>-1972114.190000002</v>
      </c>
      <c r="P133" s="19">
        <f>-'[1]Budget Summary 1'!T174</f>
        <v>-2015500.560000004</v>
      </c>
      <c r="Q133" s="19">
        <f>-'[1]Budget Summary 1'!U174</f>
        <v>-2059841.6800000009</v>
      </c>
      <c r="DZ133" s="22" t="s">
        <v>2</v>
      </c>
      <c r="EA133" s="23" t="s">
        <v>1</v>
      </c>
      <c r="EB133" s="23" t="s">
        <v>1</v>
      </c>
      <c r="EC133" s="23" t="s">
        <v>1</v>
      </c>
    </row>
    <row r="134" spans="2:133" s="19" customFormat="1" hidden="1" x14ac:dyDescent="0.25">
      <c r="B134" s="24" t="s">
        <v>82</v>
      </c>
      <c r="C134" s="22" t="s">
        <v>47</v>
      </c>
      <c r="E134" s="24"/>
      <c r="F134" s="19">
        <f>F130</f>
        <v>0</v>
      </c>
      <c r="G134" s="24"/>
      <c r="H134" s="19">
        <f>H130</f>
        <v>0</v>
      </c>
      <c r="I134" s="19">
        <f t="shared" ref="I134:Q134" si="74">I130</f>
        <v>0</v>
      </c>
      <c r="J134" s="19">
        <f t="shared" si="74"/>
        <v>121282</v>
      </c>
      <c r="K134" s="19">
        <f t="shared" si="74"/>
        <v>573450</v>
      </c>
      <c r="L134" s="19">
        <f t="shared" si="74"/>
        <v>597372</v>
      </c>
      <c r="M134" s="19">
        <f t="shared" si="74"/>
        <v>461893</v>
      </c>
      <c r="N134" s="19">
        <f t="shared" si="74"/>
        <v>257628</v>
      </c>
      <c r="O134" s="19">
        <f t="shared" si="74"/>
        <v>579137</v>
      </c>
      <c r="P134" s="19">
        <f t="shared" si="74"/>
        <v>452894</v>
      </c>
      <c r="Q134" s="19">
        <f t="shared" si="74"/>
        <v>632224</v>
      </c>
      <c r="DZ134" s="22" t="s">
        <v>2</v>
      </c>
      <c r="EA134" s="23" t="s">
        <v>1</v>
      </c>
      <c r="EB134" s="23" t="s">
        <v>1</v>
      </c>
      <c r="EC134" s="23" t="s">
        <v>1</v>
      </c>
    </row>
    <row r="135" spans="2:133" s="19" customFormat="1" hidden="1" x14ac:dyDescent="0.25">
      <c r="B135" s="24" t="s">
        <v>68</v>
      </c>
      <c r="C135" s="22" t="s">
        <v>47</v>
      </c>
      <c r="E135" s="24"/>
      <c r="F135" s="19">
        <f>F129</f>
        <v>12483288.030000001</v>
      </c>
      <c r="G135" s="24"/>
      <c r="H135" s="19">
        <f>H129</f>
        <v>12568046.890000001</v>
      </c>
      <c r="I135" s="19">
        <f t="shared" ref="I135:Q135" si="75">I129</f>
        <v>9518589.3000000007</v>
      </c>
      <c r="J135" s="19">
        <f t="shared" si="75"/>
        <v>10072063.09</v>
      </c>
      <c r="K135" s="19">
        <f t="shared" si="75"/>
        <v>10741529.08</v>
      </c>
      <c r="L135" s="19">
        <f t="shared" si="75"/>
        <v>10712350.699999999</v>
      </c>
      <c r="M135" s="19">
        <f t="shared" si="75"/>
        <v>10264445.49</v>
      </c>
      <c r="N135" s="19">
        <f t="shared" si="75"/>
        <v>10379716.969999999</v>
      </c>
      <c r="O135" s="19">
        <f t="shared" si="75"/>
        <v>9526774.1899999995</v>
      </c>
      <c r="P135" s="19">
        <f t="shared" si="75"/>
        <v>9738012.0099999998</v>
      </c>
      <c r="Q135" s="19">
        <f t="shared" si="75"/>
        <v>10782485.07</v>
      </c>
      <c r="DZ135" s="22" t="s">
        <v>2</v>
      </c>
      <c r="EA135" s="23" t="s">
        <v>1</v>
      </c>
      <c r="EB135" s="23" t="s">
        <v>1</v>
      </c>
      <c r="EC135" s="23" t="s">
        <v>1</v>
      </c>
    </row>
    <row r="136" spans="2:133" s="19" customFormat="1" hidden="1" x14ac:dyDescent="0.25">
      <c r="B136" s="24" t="s">
        <v>71</v>
      </c>
      <c r="C136" s="22" t="s">
        <v>47</v>
      </c>
      <c r="E136" s="24"/>
      <c r="F136" s="52">
        <f>ROUND(F131-F132-F134-F135-F133,2)</f>
        <v>-244156.11</v>
      </c>
      <c r="G136" s="24"/>
      <c r="H136" s="52">
        <f t="shared" ref="H136:Q136" ca="1" si="76">ROUND(H131-H132-H134-H135-H133,2)</f>
        <v>-155857.10999999999</v>
      </c>
      <c r="I136" s="52">
        <f t="shared" ca="1" si="76"/>
        <v>-125572.11</v>
      </c>
      <c r="J136" s="52">
        <f t="shared" ca="1" si="76"/>
        <v>-95372.11</v>
      </c>
      <c r="K136" s="52">
        <f t="shared" ca="1" si="76"/>
        <v>-66071.11</v>
      </c>
      <c r="L136" s="52">
        <f t="shared" ca="1" si="76"/>
        <v>-43133.11</v>
      </c>
      <c r="M136" s="52">
        <f t="shared" ca="1" si="76"/>
        <v>-17783.11</v>
      </c>
      <c r="N136" s="52">
        <f t="shared" ca="1" si="76"/>
        <v>-9710.11</v>
      </c>
      <c r="O136" s="52">
        <f t="shared" ca="1" si="76"/>
        <v>-9022.11</v>
      </c>
      <c r="P136" s="52">
        <f t="shared" ca="1" si="76"/>
        <v>-8329.11</v>
      </c>
      <c r="Q136" s="52">
        <f t="shared" ca="1" si="76"/>
        <v>-7564.11</v>
      </c>
      <c r="DZ136" s="22" t="s">
        <v>2</v>
      </c>
      <c r="EA136" s="23" t="s">
        <v>1</v>
      </c>
      <c r="EB136" s="23" t="s">
        <v>1</v>
      </c>
      <c r="EC136" s="23" t="s">
        <v>1</v>
      </c>
    </row>
    <row r="137" spans="2:133" s="19" customFormat="1" hidden="1" x14ac:dyDescent="0.25">
      <c r="C137" s="22" t="s">
        <v>47</v>
      </c>
      <c r="DZ137" s="22" t="s">
        <v>2</v>
      </c>
      <c r="EA137" s="23" t="s">
        <v>1</v>
      </c>
      <c r="EB137" s="23" t="s">
        <v>1</v>
      </c>
      <c r="EC137" s="23" t="s">
        <v>1</v>
      </c>
    </row>
    <row r="138" spans="2:133" s="19" customFormat="1" hidden="1" x14ac:dyDescent="0.25">
      <c r="C138" s="22" t="s">
        <v>47</v>
      </c>
      <c r="DZ138" s="22" t="s">
        <v>2</v>
      </c>
      <c r="EA138" s="23" t="s">
        <v>1</v>
      </c>
      <c r="EB138" s="23" t="s">
        <v>1</v>
      </c>
      <c r="EC138" s="23" t="s">
        <v>1</v>
      </c>
    </row>
    <row r="139" spans="2:133" s="19" customFormat="1" hidden="1" x14ac:dyDescent="0.25">
      <c r="B139" s="25" t="s">
        <v>88</v>
      </c>
      <c r="C139" s="22" t="s">
        <v>47</v>
      </c>
      <c r="E139" s="25"/>
      <c r="G139" s="25"/>
      <c r="DZ139" s="22" t="s">
        <v>2</v>
      </c>
      <c r="EA139" s="23" t="s">
        <v>1</v>
      </c>
      <c r="EB139" s="23" t="s">
        <v>1</v>
      </c>
      <c r="EC139" s="23" t="s">
        <v>1</v>
      </c>
    </row>
    <row r="140" spans="2:133" s="19" customFormat="1" hidden="1" x14ac:dyDescent="0.25">
      <c r="B140" s="24" t="s">
        <v>89</v>
      </c>
      <c r="C140" s="22" t="s">
        <v>47</v>
      </c>
      <c r="E140" s="24"/>
      <c r="F140" s="19">
        <f>F114</f>
        <v>33038145.550000004</v>
      </c>
      <c r="G140" s="24"/>
      <c r="H140" s="19">
        <f>H114</f>
        <v>32390937.900000006</v>
      </c>
      <c r="I140" s="19">
        <f t="shared" ref="I140:Q140" si="77">I114</f>
        <v>35017781.019999996</v>
      </c>
      <c r="J140" s="19">
        <f t="shared" si="77"/>
        <v>35411227.599999994</v>
      </c>
      <c r="K140" s="19">
        <f t="shared" si="77"/>
        <v>36442727.330000006</v>
      </c>
      <c r="L140" s="19">
        <f t="shared" si="77"/>
        <v>37549065.389999986</v>
      </c>
      <c r="M140" s="19">
        <f t="shared" si="77"/>
        <v>38377583.979999997</v>
      </c>
      <c r="N140" s="19">
        <f t="shared" si="77"/>
        <v>39225314.710000001</v>
      </c>
      <c r="O140" s="19">
        <f t="shared" si="77"/>
        <v>40092717.420000002</v>
      </c>
      <c r="P140" s="19">
        <f t="shared" si="77"/>
        <v>40980263.20000001</v>
      </c>
      <c r="Q140" s="19">
        <f t="shared" si="77"/>
        <v>41888434.460000001</v>
      </c>
      <c r="DZ140" s="22" t="s">
        <v>2</v>
      </c>
      <c r="EA140" s="23" t="s">
        <v>1</v>
      </c>
      <c r="EB140" s="23" t="s">
        <v>1</v>
      </c>
      <c r="EC140" s="23" t="s">
        <v>1</v>
      </c>
    </row>
    <row r="141" spans="2:133" s="19" customFormat="1" hidden="1" x14ac:dyDescent="0.25">
      <c r="B141" s="24" t="s">
        <v>56</v>
      </c>
      <c r="C141" s="22" t="s">
        <v>47</v>
      </c>
      <c r="E141" s="24"/>
      <c r="F141" s="19">
        <f>-F108</f>
        <v>0</v>
      </c>
      <c r="G141" s="24"/>
      <c r="H141" s="19">
        <f>-H108</f>
        <v>0</v>
      </c>
      <c r="I141" s="19">
        <f t="shared" ref="I141:Q141" si="78">-I108</f>
        <v>0</v>
      </c>
      <c r="J141" s="19">
        <f t="shared" si="78"/>
        <v>0</v>
      </c>
      <c r="K141" s="19">
        <f t="shared" si="78"/>
        <v>0</v>
      </c>
      <c r="L141" s="19">
        <f t="shared" si="78"/>
        <v>0</v>
      </c>
      <c r="M141" s="19">
        <f t="shared" si="78"/>
        <v>0</v>
      </c>
      <c r="N141" s="19">
        <f t="shared" si="78"/>
        <v>0</v>
      </c>
      <c r="O141" s="19">
        <f t="shared" si="78"/>
        <v>0</v>
      </c>
      <c r="P141" s="19">
        <f t="shared" si="78"/>
        <v>0</v>
      </c>
      <c r="Q141" s="19">
        <f t="shared" si="78"/>
        <v>0</v>
      </c>
      <c r="DZ141" s="22" t="s">
        <v>2</v>
      </c>
      <c r="EA141" s="23" t="s">
        <v>1</v>
      </c>
      <c r="EB141" s="23" t="s">
        <v>1</v>
      </c>
      <c r="EC141" s="23" t="s">
        <v>1</v>
      </c>
    </row>
    <row r="142" spans="2:133" s="19" customFormat="1" hidden="1" x14ac:dyDescent="0.25">
      <c r="B142" s="24" t="s">
        <v>58</v>
      </c>
      <c r="C142" s="22" t="s">
        <v>47</v>
      </c>
      <c r="E142" s="24"/>
      <c r="F142" s="19">
        <f>F60</f>
        <v>0</v>
      </c>
      <c r="G142" s="24"/>
      <c r="H142" s="19">
        <f t="shared" ref="H142:Q142" si="79">H60</f>
        <v>0</v>
      </c>
      <c r="I142" s="19">
        <f t="shared" si="79"/>
        <v>0</v>
      </c>
      <c r="J142" s="19">
        <f t="shared" si="79"/>
        <v>0</v>
      </c>
      <c r="K142" s="19">
        <f t="shared" si="79"/>
        <v>0</v>
      </c>
      <c r="L142" s="19">
        <f t="shared" si="79"/>
        <v>0</v>
      </c>
      <c r="M142" s="19">
        <f t="shared" si="79"/>
        <v>0</v>
      </c>
      <c r="N142" s="19">
        <f t="shared" si="79"/>
        <v>0</v>
      </c>
      <c r="O142" s="19">
        <f t="shared" si="79"/>
        <v>0</v>
      </c>
      <c r="P142" s="19">
        <f t="shared" si="79"/>
        <v>0</v>
      </c>
      <c r="Q142" s="19">
        <f t="shared" si="79"/>
        <v>0</v>
      </c>
      <c r="DZ142" s="22" t="s">
        <v>2</v>
      </c>
      <c r="EA142" s="23" t="s">
        <v>1</v>
      </c>
      <c r="EB142" s="23" t="s">
        <v>1</v>
      </c>
      <c r="EC142" s="23" t="s">
        <v>1</v>
      </c>
    </row>
    <row r="143" spans="2:133" s="19" customFormat="1" hidden="1" x14ac:dyDescent="0.25">
      <c r="B143" s="24" t="s">
        <v>59</v>
      </c>
      <c r="C143" s="22" t="s">
        <v>47</v>
      </c>
      <c r="E143" s="24"/>
      <c r="F143" s="19">
        <f t="shared" ref="F143:Q144" si="80">F61</f>
        <v>0</v>
      </c>
      <c r="G143" s="24"/>
      <c r="H143" s="19">
        <f t="shared" si="80"/>
        <v>0</v>
      </c>
      <c r="I143" s="19">
        <f t="shared" si="80"/>
        <v>0</v>
      </c>
      <c r="J143" s="19">
        <f t="shared" si="80"/>
        <v>0</v>
      </c>
      <c r="K143" s="19">
        <f t="shared" si="80"/>
        <v>0</v>
      </c>
      <c r="L143" s="19">
        <f t="shared" si="80"/>
        <v>0</v>
      </c>
      <c r="M143" s="19">
        <f t="shared" si="80"/>
        <v>0</v>
      </c>
      <c r="N143" s="19">
        <f t="shared" si="80"/>
        <v>0</v>
      </c>
      <c r="O143" s="19">
        <f t="shared" si="80"/>
        <v>0</v>
      </c>
      <c r="P143" s="19">
        <f t="shared" si="80"/>
        <v>0</v>
      </c>
      <c r="Q143" s="19">
        <f t="shared" si="80"/>
        <v>0</v>
      </c>
      <c r="DZ143" s="22" t="s">
        <v>2</v>
      </c>
      <c r="EA143" s="23" t="s">
        <v>1</v>
      </c>
      <c r="EB143" s="23" t="s">
        <v>1</v>
      </c>
      <c r="EC143" s="23" t="s">
        <v>1</v>
      </c>
    </row>
    <row r="144" spans="2:133" s="19" customFormat="1" hidden="1" x14ac:dyDescent="0.25">
      <c r="B144" s="24" t="s">
        <v>60</v>
      </c>
      <c r="C144" s="22" t="s">
        <v>47</v>
      </c>
      <c r="E144" s="24"/>
      <c r="F144" s="19">
        <f t="shared" si="80"/>
        <v>0</v>
      </c>
      <c r="G144" s="24"/>
      <c r="H144" s="19">
        <f t="shared" si="80"/>
        <v>0</v>
      </c>
      <c r="I144" s="19">
        <f t="shared" si="80"/>
        <v>0</v>
      </c>
      <c r="J144" s="19">
        <f t="shared" si="80"/>
        <v>0</v>
      </c>
      <c r="K144" s="19">
        <f t="shared" si="80"/>
        <v>0</v>
      </c>
      <c r="L144" s="19">
        <f t="shared" si="80"/>
        <v>0</v>
      </c>
      <c r="M144" s="19">
        <f t="shared" si="80"/>
        <v>0</v>
      </c>
      <c r="N144" s="19">
        <f t="shared" si="80"/>
        <v>0</v>
      </c>
      <c r="O144" s="19">
        <f t="shared" si="80"/>
        <v>0</v>
      </c>
      <c r="P144" s="19">
        <f t="shared" si="80"/>
        <v>0</v>
      </c>
      <c r="Q144" s="19">
        <f t="shared" si="80"/>
        <v>0</v>
      </c>
      <c r="DZ144" s="22" t="s">
        <v>2</v>
      </c>
      <c r="EA144" s="23" t="s">
        <v>1</v>
      </c>
      <c r="EB144" s="23" t="s">
        <v>1</v>
      </c>
      <c r="EC144" s="23" t="s">
        <v>1</v>
      </c>
    </row>
    <row r="145" spans="2:133" s="19" customFormat="1" hidden="1" x14ac:dyDescent="0.25">
      <c r="B145" s="24" t="s">
        <v>90</v>
      </c>
      <c r="C145" s="22" t="s">
        <v>47</v>
      </c>
      <c r="E145" s="24"/>
      <c r="F145" s="42">
        <f>SUM(F140:F144)</f>
        <v>33038145.550000004</v>
      </c>
      <c r="G145" s="24"/>
      <c r="H145" s="42">
        <f t="shared" ref="H145:Q145" si="81">SUM(H140:H144)</f>
        <v>32390937.900000006</v>
      </c>
      <c r="I145" s="42">
        <f t="shared" si="81"/>
        <v>35017781.019999996</v>
      </c>
      <c r="J145" s="42">
        <f t="shared" si="81"/>
        <v>35411227.599999994</v>
      </c>
      <c r="K145" s="42">
        <f t="shared" si="81"/>
        <v>36442727.330000006</v>
      </c>
      <c r="L145" s="42">
        <f t="shared" si="81"/>
        <v>37549065.389999986</v>
      </c>
      <c r="M145" s="42">
        <f t="shared" si="81"/>
        <v>38377583.979999997</v>
      </c>
      <c r="N145" s="42">
        <f t="shared" si="81"/>
        <v>39225314.710000001</v>
      </c>
      <c r="O145" s="42">
        <f t="shared" si="81"/>
        <v>40092717.420000002</v>
      </c>
      <c r="P145" s="42">
        <f t="shared" si="81"/>
        <v>40980263.20000001</v>
      </c>
      <c r="Q145" s="42">
        <f t="shared" si="81"/>
        <v>41888434.460000001</v>
      </c>
      <c r="DZ145" s="22" t="s">
        <v>2</v>
      </c>
      <c r="EA145" s="23" t="s">
        <v>1</v>
      </c>
      <c r="EB145" s="23" t="s">
        <v>1</v>
      </c>
      <c r="EC145" s="23" t="s">
        <v>1</v>
      </c>
    </row>
    <row r="146" spans="2:133" s="19" customFormat="1" hidden="1" x14ac:dyDescent="0.25">
      <c r="C146" s="22" t="s">
        <v>47</v>
      </c>
      <c r="DZ146" s="22" t="s">
        <v>2</v>
      </c>
      <c r="EA146" s="23" t="s">
        <v>1</v>
      </c>
      <c r="EB146" s="23" t="s">
        <v>1</v>
      </c>
      <c r="EC146" s="23" t="s">
        <v>1</v>
      </c>
    </row>
    <row r="147" spans="2:133" s="19" customFormat="1" hidden="1" x14ac:dyDescent="0.25">
      <c r="C147" s="22" t="s">
        <v>47</v>
      </c>
      <c r="DZ147" s="22" t="s">
        <v>2</v>
      </c>
      <c r="EA147" s="23" t="s">
        <v>1</v>
      </c>
      <c r="EB147" s="23" t="s">
        <v>1</v>
      </c>
      <c r="EC147" s="23" t="s">
        <v>1</v>
      </c>
    </row>
    <row r="148" spans="2:133" s="19" customFormat="1" hidden="1" x14ac:dyDescent="0.25">
      <c r="C148" s="22" t="s">
        <v>47</v>
      </c>
      <c r="DZ148" s="22" t="s">
        <v>2</v>
      </c>
      <c r="EA148" s="23" t="s">
        <v>1</v>
      </c>
      <c r="EB148" s="23" t="s">
        <v>1</v>
      </c>
      <c r="EC148" s="23" t="s">
        <v>1</v>
      </c>
    </row>
    <row r="149" spans="2:133" s="19" customFormat="1" hidden="1" x14ac:dyDescent="0.25">
      <c r="B149" s="24" t="s">
        <v>91</v>
      </c>
      <c r="C149" s="22" t="s">
        <v>47</v>
      </c>
      <c r="E149" s="24"/>
      <c r="F149" s="19">
        <f>F131</f>
        <v>40796526.829999991</v>
      </c>
      <c r="G149" s="24"/>
      <c r="H149" s="19">
        <f ca="1">H131</f>
        <v>41541848.68999999</v>
      </c>
      <c r="I149" s="19">
        <f t="shared" ref="I149:Q149" ca="1" si="82">I131</f>
        <v>40185059.850000009</v>
      </c>
      <c r="J149" s="19">
        <f t="shared" ca="1" si="82"/>
        <v>41257893.670000002</v>
      </c>
      <c r="K149" s="19">
        <f t="shared" ca="1" si="82"/>
        <v>43143205.870000012</v>
      </c>
      <c r="L149" s="19">
        <f t="shared" ca="1" si="82"/>
        <v>43836526.459999993</v>
      </c>
      <c r="M149" s="19">
        <f t="shared" ca="1" si="82"/>
        <v>44158949.090000004</v>
      </c>
      <c r="N149" s="19">
        <f t="shared" ca="1" si="82"/>
        <v>44713395.609999999</v>
      </c>
      <c r="O149" s="19">
        <f t="shared" ca="1" si="82"/>
        <v>44953447.839999996</v>
      </c>
      <c r="P149" s="19">
        <f t="shared" ca="1" si="82"/>
        <v>45844397.990000017</v>
      </c>
      <c r="Q149" s="19">
        <f t="shared" ca="1" si="82"/>
        <v>47892969.660000004</v>
      </c>
      <c r="DZ149" s="22" t="s">
        <v>2</v>
      </c>
      <c r="EA149" s="23" t="s">
        <v>1</v>
      </c>
      <c r="EB149" s="23" t="s">
        <v>1</v>
      </c>
      <c r="EC149" s="23" t="s">
        <v>1</v>
      </c>
    </row>
    <row r="150" spans="2:133" s="19" customFormat="1" hidden="1" x14ac:dyDescent="0.25">
      <c r="B150" s="24" t="s">
        <v>62</v>
      </c>
      <c r="C150" s="22" t="s">
        <v>47</v>
      </c>
      <c r="E150" s="24"/>
      <c r="F150" s="19">
        <f>-F82</f>
        <v>0</v>
      </c>
      <c r="G150" s="24"/>
      <c r="H150" s="19">
        <f t="shared" ref="H150:Q154" si="83">-H82</f>
        <v>0</v>
      </c>
      <c r="I150" s="19">
        <f t="shared" si="83"/>
        <v>0</v>
      </c>
      <c r="J150" s="19">
        <f t="shared" si="83"/>
        <v>0</v>
      </c>
      <c r="K150" s="19">
        <f t="shared" si="83"/>
        <v>0</v>
      </c>
      <c r="L150" s="19">
        <f t="shared" si="83"/>
        <v>0</v>
      </c>
      <c r="M150" s="19">
        <f t="shared" si="83"/>
        <v>0</v>
      </c>
      <c r="N150" s="19">
        <f t="shared" si="83"/>
        <v>0</v>
      </c>
      <c r="O150" s="19">
        <f t="shared" si="83"/>
        <v>0</v>
      </c>
      <c r="P150" s="19">
        <f t="shared" si="83"/>
        <v>0</v>
      </c>
      <c r="Q150" s="19">
        <f t="shared" si="83"/>
        <v>0</v>
      </c>
      <c r="DZ150" s="22" t="s">
        <v>2</v>
      </c>
      <c r="EA150" s="23" t="s">
        <v>1</v>
      </c>
      <c r="EB150" s="23" t="s">
        <v>1</v>
      </c>
      <c r="EC150" s="23" t="s">
        <v>1</v>
      </c>
    </row>
    <row r="151" spans="2:133" s="19" customFormat="1" hidden="1" x14ac:dyDescent="0.25">
      <c r="B151" s="24" t="s">
        <v>63</v>
      </c>
      <c r="C151" s="22" t="s">
        <v>47</v>
      </c>
      <c r="E151" s="24"/>
      <c r="F151" s="19">
        <f t="shared" ref="F151:H153" si="84">-F83</f>
        <v>0</v>
      </c>
      <c r="G151" s="24"/>
      <c r="H151" s="19">
        <f t="shared" ca="1" si="84"/>
        <v>0</v>
      </c>
      <c r="I151" s="19">
        <f t="shared" ca="1" si="83"/>
        <v>0</v>
      </c>
      <c r="J151" s="19">
        <f t="shared" ca="1" si="83"/>
        <v>0</v>
      </c>
      <c r="K151" s="19">
        <f t="shared" ca="1" si="83"/>
        <v>0</v>
      </c>
      <c r="L151" s="19">
        <f t="shared" ca="1" si="83"/>
        <v>0</v>
      </c>
      <c r="M151" s="19">
        <f t="shared" ca="1" si="83"/>
        <v>0</v>
      </c>
      <c r="N151" s="19">
        <f t="shared" ca="1" si="83"/>
        <v>0</v>
      </c>
      <c r="O151" s="19">
        <f t="shared" ca="1" si="83"/>
        <v>0</v>
      </c>
      <c r="P151" s="19">
        <f t="shared" ca="1" si="83"/>
        <v>0</v>
      </c>
      <c r="Q151" s="19">
        <f t="shared" ca="1" si="83"/>
        <v>0</v>
      </c>
      <c r="DZ151" s="22" t="s">
        <v>2</v>
      </c>
      <c r="EA151" s="23" t="s">
        <v>1</v>
      </c>
      <c r="EB151" s="23" t="s">
        <v>1</v>
      </c>
      <c r="EC151" s="23" t="s">
        <v>1</v>
      </c>
    </row>
    <row r="152" spans="2:133" s="19" customFormat="1" hidden="1" x14ac:dyDescent="0.25">
      <c r="B152" s="24" t="s">
        <v>74</v>
      </c>
      <c r="C152" s="22" t="s">
        <v>47</v>
      </c>
      <c r="E152" s="24"/>
      <c r="F152" s="19">
        <f t="shared" si="84"/>
        <v>0</v>
      </c>
      <c r="G152" s="24"/>
      <c r="H152" s="19">
        <f t="shared" si="84"/>
        <v>16980576.688297473</v>
      </c>
      <c r="I152" s="19">
        <f t="shared" si="83"/>
        <v>17395511.824608378</v>
      </c>
      <c r="J152" s="19">
        <f t="shared" si="83"/>
        <v>17792905.197775088</v>
      </c>
      <c r="K152" s="19">
        <f t="shared" si="83"/>
        <v>18210705.332024314</v>
      </c>
      <c r="L152" s="19">
        <f t="shared" si="83"/>
        <v>18647555.384084109</v>
      </c>
      <c r="M152" s="19">
        <f t="shared" si="83"/>
        <v>19107008.234067239</v>
      </c>
      <c r="N152" s="19">
        <f t="shared" si="83"/>
        <v>19555657.183559839</v>
      </c>
      <c r="O152" s="19">
        <f t="shared" si="83"/>
        <v>20016419.92688255</v>
      </c>
      <c r="P152" s="19">
        <f t="shared" si="83"/>
        <v>20485078.150801018</v>
      </c>
      <c r="Q152" s="19">
        <f t="shared" si="83"/>
        <v>20819618.650667615</v>
      </c>
      <c r="DZ152" s="22" t="s">
        <v>2</v>
      </c>
      <c r="EA152" s="23" t="s">
        <v>1</v>
      </c>
      <c r="EB152" s="23" t="s">
        <v>1</v>
      </c>
      <c r="EC152" s="23" t="s">
        <v>1</v>
      </c>
    </row>
    <row r="153" spans="2:133" s="19" customFormat="1" hidden="1" x14ac:dyDescent="0.25">
      <c r="B153" s="24" t="s">
        <v>66</v>
      </c>
      <c r="C153" s="22" t="s">
        <v>47</v>
      </c>
      <c r="E153" s="24"/>
      <c r="F153" s="19">
        <f t="shared" si="84"/>
        <v>0</v>
      </c>
      <c r="G153" s="24"/>
      <c r="H153" s="19">
        <f t="shared" si="84"/>
        <v>0</v>
      </c>
      <c r="I153" s="19">
        <f t="shared" si="83"/>
        <v>0</v>
      </c>
      <c r="J153" s="19">
        <f t="shared" si="83"/>
        <v>0</v>
      </c>
      <c r="K153" s="19">
        <f t="shared" si="83"/>
        <v>0</v>
      </c>
      <c r="L153" s="19">
        <f t="shared" si="83"/>
        <v>0</v>
      </c>
      <c r="M153" s="19">
        <f t="shared" si="83"/>
        <v>0</v>
      </c>
      <c r="N153" s="19">
        <f t="shared" si="83"/>
        <v>0</v>
      </c>
      <c r="O153" s="19">
        <f t="shared" si="83"/>
        <v>0</v>
      </c>
      <c r="P153" s="19">
        <f t="shared" si="83"/>
        <v>0</v>
      </c>
      <c r="Q153" s="19">
        <f t="shared" si="83"/>
        <v>0</v>
      </c>
      <c r="DZ153" s="22" t="s">
        <v>2</v>
      </c>
      <c r="EA153" s="23" t="s">
        <v>1</v>
      </c>
      <c r="EB153" s="23" t="s">
        <v>1</v>
      </c>
      <c r="EC153" s="23" t="s">
        <v>1</v>
      </c>
    </row>
    <row r="154" spans="2:133" s="19" customFormat="1" hidden="1" x14ac:dyDescent="0.25">
      <c r="B154" s="24" t="s">
        <v>65</v>
      </c>
      <c r="C154" s="22" t="s">
        <v>47</v>
      </c>
      <c r="E154" s="24"/>
      <c r="F154" s="19">
        <f>-F86</f>
        <v>194156.12</v>
      </c>
      <c r="G154" s="24"/>
      <c r="H154" s="19">
        <f>-H86</f>
        <v>155857.18</v>
      </c>
      <c r="I154" s="19">
        <f t="shared" si="83"/>
        <v>125571.66</v>
      </c>
      <c r="J154" s="19">
        <f t="shared" si="83"/>
        <v>95371.97</v>
      </c>
      <c r="K154" s="19">
        <f t="shared" si="83"/>
        <v>66071.42</v>
      </c>
      <c r="L154" s="19">
        <f t="shared" si="83"/>
        <v>43132.7</v>
      </c>
      <c r="M154" s="19">
        <f t="shared" si="83"/>
        <v>17782.88</v>
      </c>
      <c r="N154" s="19">
        <f t="shared" si="83"/>
        <v>9710.49</v>
      </c>
      <c r="O154" s="19">
        <f t="shared" si="83"/>
        <v>9022.2999999999993</v>
      </c>
      <c r="P154" s="19">
        <f t="shared" si="83"/>
        <v>8329.4699999999993</v>
      </c>
      <c r="Q154" s="19">
        <f t="shared" si="83"/>
        <v>7563.6</v>
      </c>
      <c r="DZ154" s="22" t="s">
        <v>2</v>
      </c>
      <c r="EA154" s="23" t="s">
        <v>1</v>
      </c>
      <c r="EB154" s="23" t="s">
        <v>1</v>
      </c>
      <c r="EC154" s="23" t="s">
        <v>1</v>
      </c>
    </row>
    <row r="155" spans="2:133" s="19" customFormat="1" hidden="1" x14ac:dyDescent="0.25">
      <c r="B155" s="24" t="s">
        <v>92</v>
      </c>
      <c r="C155" s="22" t="s">
        <v>47</v>
      </c>
      <c r="E155" s="24"/>
      <c r="F155" s="42">
        <f>SUM(F149:F154)</f>
        <v>40990682.949999988</v>
      </c>
      <c r="G155" s="24"/>
      <c r="H155" s="42">
        <f t="shared" ref="H155:Q155" ca="1" si="85">SUM(H149:H154)</f>
        <v>58678282.558297463</v>
      </c>
      <c r="I155" s="42">
        <f t="shared" ca="1" si="85"/>
        <v>57706143.334608383</v>
      </c>
      <c r="J155" s="42">
        <f t="shared" ca="1" si="85"/>
        <v>59146170.837775089</v>
      </c>
      <c r="K155" s="42">
        <f t="shared" ca="1" si="85"/>
        <v>61419982.622024328</v>
      </c>
      <c r="L155" s="42">
        <f t="shared" ca="1" si="85"/>
        <v>62527214.544084102</v>
      </c>
      <c r="M155" s="42">
        <f t="shared" ca="1" si="85"/>
        <v>63283740.204067245</v>
      </c>
      <c r="N155" s="42">
        <f t="shared" ca="1" si="85"/>
        <v>64278763.283559836</v>
      </c>
      <c r="O155" s="42">
        <f t="shared" ca="1" si="85"/>
        <v>64978890.066882543</v>
      </c>
      <c r="P155" s="42">
        <f t="shared" ca="1" si="85"/>
        <v>66337805.610801034</v>
      </c>
      <c r="Q155" s="42">
        <f t="shared" ca="1" si="85"/>
        <v>68720151.910667613</v>
      </c>
      <c r="DZ155" s="22" t="s">
        <v>2</v>
      </c>
      <c r="EA155" s="23" t="s">
        <v>1</v>
      </c>
      <c r="EB155" s="23" t="s">
        <v>1</v>
      </c>
      <c r="EC155" s="23" t="s">
        <v>1</v>
      </c>
    </row>
    <row r="156" spans="2:133" s="19" customFormat="1" hidden="1" x14ac:dyDescent="0.25">
      <c r="C156" s="22" t="s">
        <v>47</v>
      </c>
      <c r="DZ156" s="22" t="s">
        <v>2</v>
      </c>
      <c r="EA156" s="23" t="s">
        <v>1</v>
      </c>
      <c r="EB156" s="23" t="s">
        <v>1</v>
      </c>
      <c r="EC156" s="23" t="s">
        <v>1</v>
      </c>
    </row>
    <row r="157" spans="2:133" s="19" customFormat="1" hidden="1" x14ac:dyDescent="0.25">
      <c r="C157" s="22" t="s">
        <v>47</v>
      </c>
      <c r="DZ157" s="22" t="s">
        <v>2</v>
      </c>
      <c r="EA157" s="23" t="s">
        <v>1</v>
      </c>
      <c r="EB157" s="23" t="s">
        <v>1</v>
      </c>
      <c r="EC157" s="23" t="s">
        <v>1</v>
      </c>
    </row>
    <row r="158" spans="2:133" s="19" customFormat="1" hidden="1" x14ac:dyDescent="0.25">
      <c r="B158" s="24" t="s">
        <v>93</v>
      </c>
      <c r="C158" s="22" t="s">
        <v>47</v>
      </c>
      <c r="E158" s="24"/>
      <c r="F158" s="19">
        <f>F145</f>
        <v>33038145.550000004</v>
      </c>
      <c r="G158" s="24"/>
      <c r="H158" s="19">
        <f>H145</f>
        <v>32390937.900000006</v>
      </c>
      <c r="I158" s="19">
        <f t="shared" ref="I158:Q158" si="86">I145</f>
        <v>35017781.019999996</v>
      </c>
      <c r="J158" s="19">
        <f t="shared" si="86"/>
        <v>35411227.599999994</v>
      </c>
      <c r="K158" s="19">
        <f t="shared" si="86"/>
        <v>36442727.330000006</v>
      </c>
      <c r="L158" s="19">
        <f t="shared" si="86"/>
        <v>37549065.389999986</v>
      </c>
      <c r="M158" s="19">
        <f t="shared" si="86"/>
        <v>38377583.979999997</v>
      </c>
      <c r="N158" s="19">
        <f t="shared" si="86"/>
        <v>39225314.710000001</v>
      </c>
      <c r="O158" s="19">
        <f t="shared" si="86"/>
        <v>40092717.420000002</v>
      </c>
      <c r="P158" s="19">
        <f t="shared" si="86"/>
        <v>40980263.20000001</v>
      </c>
      <c r="Q158" s="19">
        <f t="shared" si="86"/>
        <v>41888434.460000001</v>
      </c>
      <c r="DZ158" s="22" t="s">
        <v>2</v>
      </c>
      <c r="EA158" s="23" t="s">
        <v>1</v>
      </c>
      <c r="EB158" s="23" t="s">
        <v>1</v>
      </c>
      <c r="EC158" s="23" t="s">
        <v>1</v>
      </c>
    </row>
    <row r="159" spans="2:133" s="19" customFormat="1" hidden="1" x14ac:dyDescent="0.25">
      <c r="B159" s="24" t="s">
        <v>94</v>
      </c>
      <c r="C159" s="22" t="s">
        <v>47</v>
      </c>
      <c r="E159" s="24"/>
      <c r="F159" s="19">
        <f>F155</f>
        <v>40990682.949999988</v>
      </c>
      <c r="G159" s="24"/>
      <c r="H159" s="19">
        <f ca="1">H155</f>
        <v>58678282.558297463</v>
      </c>
      <c r="I159" s="19">
        <f t="shared" ref="I159:Q159" ca="1" si="87">I155</f>
        <v>57706143.334608383</v>
      </c>
      <c r="J159" s="19">
        <f t="shared" ca="1" si="87"/>
        <v>59146170.837775089</v>
      </c>
      <c r="K159" s="19">
        <f t="shared" ca="1" si="87"/>
        <v>61419982.622024328</v>
      </c>
      <c r="L159" s="19">
        <f t="shared" ca="1" si="87"/>
        <v>62527214.544084102</v>
      </c>
      <c r="M159" s="19">
        <f t="shared" ca="1" si="87"/>
        <v>63283740.204067245</v>
      </c>
      <c r="N159" s="19">
        <f t="shared" ca="1" si="87"/>
        <v>64278763.283559836</v>
      </c>
      <c r="O159" s="19">
        <f t="shared" ca="1" si="87"/>
        <v>64978890.066882543</v>
      </c>
      <c r="P159" s="19">
        <f t="shared" ca="1" si="87"/>
        <v>66337805.610801034</v>
      </c>
      <c r="Q159" s="19">
        <f t="shared" ca="1" si="87"/>
        <v>68720151.910667613</v>
      </c>
      <c r="DZ159" s="22" t="s">
        <v>2</v>
      </c>
      <c r="EA159" s="23" t="s">
        <v>1</v>
      </c>
      <c r="EB159" s="23" t="s">
        <v>1</v>
      </c>
      <c r="EC159" s="23" t="s">
        <v>1</v>
      </c>
    </row>
    <row r="160" spans="2:133" s="19" customFormat="1" hidden="1" x14ac:dyDescent="0.25">
      <c r="B160" s="24" t="s">
        <v>95</v>
      </c>
      <c r="C160" s="22" t="s">
        <v>47</v>
      </c>
      <c r="E160" s="24"/>
      <c r="F160" s="42">
        <f>F158-F159</f>
        <v>-7952537.3999999836</v>
      </c>
      <c r="G160" s="24"/>
      <c r="H160" s="42">
        <f ca="1">H158-H159</f>
        <v>-26287344.658297457</v>
      </c>
      <c r="I160" s="42">
        <f t="shared" ref="I160:Q160" ca="1" si="88">I158-I159</f>
        <v>-22688362.314608388</v>
      </c>
      <c r="J160" s="42">
        <f t="shared" ca="1" si="88"/>
        <v>-23734943.237775095</v>
      </c>
      <c r="K160" s="42">
        <f t="shared" ca="1" si="88"/>
        <v>-24977255.292024322</v>
      </c>
      <c r="L160" s="42">
        <f t="shared" ca="1" si="88"/>
        <v>-24978149.154084116</v>
      </c>
      <c r="M160" s="42">
        <f t="shared" ca="1" si="88"/>
        <v>-24906156.224067248</v>
      </c>
      <c r="N160" s="42">
        <f t="shared" ca="1" si="88"/>
        <v>-25053448.573559836</v>
      </c>
      <c r="O160" s="42">
        <f t="shared" ca="1" si="88"/>
        <v>-24886172.646882541</v>
      </c>
      <c r="P160" s="42">
        <f t="shared" ca="1" si="88"/>
        <v>-25357542.410801023</v>
      </c>
      <c r="Q160" s="42">
        <f t="shared" ca="1" si="88"/>
        <v>-26831717.450667612</v>
      </c>
      <c r="DZ160" s="22" t="s">
        <v>2</v>
      </c>
      <c r="EA160" s="23" t="s">
        <v>1</v>
      </c>
      <c r="EB160" s="23" t="s">
        <v>1</v>
      </c>
      <c r="EC160" s="23" t="s">
        <v>1</v>
      </c>
    </row>
    <row r="161" spans="2:133" s="19" customFormat="1" hidden="1" x14ac:dyDescent="0.25">
      <c r="B161" s="24" t="s">
        <v>96</v>
      </c>
      <c r="C161" s="22" t="s">
        <v>47</v>
      </c>
      <c r="E161" s="24"/>
      <c r="F161" s="19">
        <f>F87</f>
        <v>-7952537.3999999873</v>
      </c>
      <c r="G161" s="24"/>
      <c r="H161" s="19">
        <f ca="1">H87</f>
        <v>-26287344.658297457</v>
      </c>
      <c r="I161" s="19">
        <f t="shared" ref="I161:Q161" ca="1" si="89">I87</f>
        <v>-22688362.314608395</v>
      </c>
      <c r="J161" s="19">
        <f t="shared" ca="1" si="89"/>
        <v>-23734943.237775091</v>
      </c>
      <c r="K161" s="19">
        <f t="shared" ca="1" si="89"/>
        <v>-24977255.292024322</v>
      </c>
      <c r="L161" s="19">
        <f t="shared" ca="1" si="89"/>
        <v>-24978149.15408412</v>
      </c>
      <c r="M161" s="19">
        <f t="shared" ca="1" si="89"/>
        <v>-24906156.224067241</v>
      </c>
      <c r="N161" s="19">
        <f t="shared" ca="1" si="89"/>
        <v>-25053448.573559839</v>
      </c>
      <c r="O161" s="19">
        <f t="shared" ca="1" si="89"/>
        <v>-24886172.646882541</v>
      </c>
      <c r="P161" s="19">
        <f t="shared" ca="1" si="89"/>
        <v>-25357542.410801023</v>
      </c>
      <c r="Q161" s="19">
        <f t="shared" ca="1" si="89"/>
        <v>-26831717.45066762</v>
      </c>
      <c r="DZ161" s="22" t="s">
        <v>2</v>
      </c>
      <c r="EA161" s="23" t="s">
        <v>1</v>
      </c>
      <c r="EB161" s="23" t="s">
        <v>1</v>
      </c>
      <c r="EC161" s="23" t="s">
        <v>1</v>
      </c>
    </row>
    <row r="162" spans="2:133" s="19" customFormat="1" hidden="1" x14ac:dyDescent="0.25">
      <c r="B162" s="24" t="s">
        <v>97</v>
      </c>
      <c r="C162" s="22" t="s">
        <v>47</v>
      </c>
      <c r="E162" s="24"/>
      <c r="F162" s="52">
        <f>ROUND(F160-F161,2)</f>
        <v>0</v>
      </c>
      <c r="G162" s="24"/>
      <c r="H162" s="52">
        <f ca="1">ROUND(H160-H161,2)</f>
        <v>0</v>
      </c>
      <c r="I162" s="52">
        <f t="shared" ref="I162:Q162" ca="1" si="90">ROUND(I160-I161,2)</f>
        <v>0</v>
      </c>
      <c r="J162" s="52">
        <f t="shared" ca="1" si="90"/>
        <v>0</v>
      </c>
      <c r="K162" s="52">
        <f t="shared" ca="1" si="90"/>
        <v>0</v>
      </c>
      <c r="L162" s="52">
        <f t="shared" ca="1" si="90"/>
        <v>0</v>
      </c>
      <c r="M162" s="52">
        <f t="shared" ca="1" si="90"/>
        <v>0</v>
      </c>
      <c r="N162" s="52">
        <f t="shared" ca="1" si="90"/>
        <v>0</v>
      </c>
      <c r="O162" s="52">
        <f t="shared" ca="1" si="90"/>
        <v>0</v>
      </c>
      <c r="P162" s="52">
        <f t="shared" ca="1" si="90"/>
        <v>0</v>
      </c>
      <c r="Q162" s="52">
        <f t="shared" ca="1" si="90"/>
        <v>0</v>
      </c>
      <c r="DZ162" s="22" t="s">
        <v>2</v>
      </c>
      <c r="EA162" s="23" t="s">
        <v>1</v>
      </c>
      <c r="EB162" s="23" t="s">
        <v>1</v>
      </c>
      <c r="EC162" s="23" t="s">
        <v>1</v>
      </c>
    </row>
    <row r="163" spans="2:133" s="19" customFormat="1" hidden="1" x14ac:dyDescent="0.25">
      <c r="C163" s="22" t="s">
        <v>47</v>
      </c>
      <c r="DZ163" s="22" t="s">
        <v>2</v>
      </c>
      <c r="EA163" s="23" t="s">
        <v>1</v>
      </c>
      <c r="EB163" s="23" t="s">
        <v>1</v>
      </c>
      <c r="EC163" s="23" t="s">
        <v>1</v>
      </c>
    </row>
    <row r="164" spans="2:133" s="19" customFormat="1" hidden="1" x14ac:dyDescent="0.25">
      <c r="C164" s="22" t="s">
        <v>47</v>
      </c>
      <c r="DZ164" s="22" t="s">
        <v>2</v>
      </c>
      <c r="EA164" s="23" t="s">
        <v>1</v>
      </c>
      <c r="EB164" s="23" t="s">
        <v>1</v>
      </c>
      <c r="EC164" s="23" t="s">
        <v>1</v>
      </c>
    </row>
    <row r="165" spans="2:133" s="19" customFormat="1" hidden="1" x14ac:dyDescent="0.25">
      <c r="B165" s="24" t="s">
        <v>98</v>
      </c>
      <c r="C165" s="22" t="s">
        <v>47</v>
      </c>
      <c r="E165" s="24"/>
      <c r="G165" s="24"/>
      <c r="DZ165" s="22" t="s">
        <v>2</v>
      </c>
      <c r="EA165" s="23" t="s">
        <v>1</v>
      </c>
      <c r="EB165" s="23" t="s">
        <v>1</v>
      </c>
      <c r="EC165" s="23" t="s">
        <v>1</v>
      </c>
    </row>
    <row r="166" spans="2:133" s="19" customFormat="1" hidden="1" x14ac:dyDescent="0.25">
      <c r="B166" s="66" t="str">
        <f>B8</f>
        <v>Rates &amp; Annual Charges</v>
      </c>
      <c r="C166" s="22" t="s">
        <v>47</v>
      </c>
      <c r="E166" s="66"/>
      <c r="G166" s="66"/>
      <c r="DZ166" s="22" t="s">
        <v>2</v>
      </c>
      <c r="EA166" s="23" t="s">
        <v>1</v>
      </c>
      <c r="EB166" s="23" t="s">
        <v>1</v>
      </c>
      <c r="EC166" s="23" t="s">
        <v>1</v>
      </c>
    </row>
    <row r="167" spans="2:133" s="19" customFormat="1" hidden="1" x14ac:dyDescent="0.25">
      <c r="B167" s="67" t="s">
        <v>99</v>
      </c>
      <c r="C167" s="22" t="s">
        <v>47</v>
      </c>
      <c r="E167" s="67"/>
      <c r="F167" s="19">
        <f>F8</f>
        <v>16679328.160000002</v>
      </c>
      <c r="G167" s="67"/>
      <c r="H167" s="19">
        <f t="shared" ref="H167:Q167" si="91">H8</f>
        <v>17728420.750000007</v>
      </c>
      <c r="I167" s="19">
        <f t="shared" si="91"/>
        <v>18175774.329999994</v>
      </c>
      <c r="J167" s="19">
        <f t="shared" si="91"/>
        <v>18624061.859999992</v>
      </c>
      <c r="K167" s="19">
        <f t="shared" si="91"/>
        <v>19083556.580000009</v>
      </c>
      <c r="L167" s="19">
        <f t="shared" si="91"/>
        <v>19554538.599999987</v>
      </c>
      <c r="M167" s="19">
        <f t="shared" si="91"/>
        <v>20037295.219999999</v>
      </c>
      <c r="N167" s="19">
        <f t="shared" si="91"/>
        <v>20532120.68</v>
      </c>
      <c r="O167" s="19">
        <f t="shared" si="91"/>
        <v>21039316.770000003</v>
      </c>
      <c r="P167" s="19">
        <f t="shared" si="91"/>
        <v>21559192.830000009</v>
      </c>
      <c r="Q167" s="19">
        <f t="shared" si="91"/>
        <v>22092065.719999999</v>
      </c>
      <c r="DZ167" s="22" t="s">
        <v>2</v>
      </c>
      <c r="EA167" s="23" t="s">
        <v>1</v>
      </c>
      <c r="EB167" s="23" t="s">
        <v>1</v>
      </c>
      <c r="EC167" s="23" t="s">
        <v>1</v>
      </c>
    </row>
    <row r="168" spans="2:133" s="19" customFormat="1" hidden="1" x14ac:dyDescent="0.25">
      <c r="B168" s="67" t="s">
        <v>100</v>
      </c>
      <c r="C168" s="22" t="s">
        <v>47</v>
      </c>
      <c r="E168" s="67"/>
      <c r="F168" s="19">
        <f>SUMIF('[1]Budget Summary 1'!$C:$C,$A8,'[1]Budget Summary 1'!J:J)+'[1]Budget Summary 1'!J149</f>
        <v>16679328.160000002</v>
      </c>
      <c r="G168" s="67"/>
      <c r="H168" s="19">
        <f>SUMIF('[1]Budget Summary 1'!$C:$C,$A8,'[1]Budget Summary 1'!L:L)+'[1]Budget Summary 1'!L149</f>
        <v>17728420.750000007</v>
      </c>
      <c r="I168" s="19">
        <f>SUMIF('[1]Budget Summary 1'!$C:$C,$A8,'[1]Budget Summary 1'!M:M)+'[1]Budget Summary 1'!M149</f>
        <v>18175774.329999994</v>
      </c>
      <c r="J168" s="19">
        <f>SUMIF('[1]Budget Summary 1'!$C:$C,$A8,'[1]Budget Summary 1'!N:N)+'[1]Budget Summary 1'!N149</f>
        <v>18624061.859999992</v>
      </c>
      <c r="K168" s="19">
        <f>SUMIF('[1]Budget Summary 1'!$C:$C,$A8,'[1]Budget Summary 1'!O:O)+'[1]Budget Summary 1'!O149</f>
        <v>19083556.580000009</v>
      </c>
      <c r="L168" s="19">
        <f>SUMIF('[1]Budget Summary 1'!$C:$C,$A8,'[1]Budget Summary 1'!P:P)+'[1]Budget Summary 1'!P149</f>
        <v>19554538.599999987</v>
      </c>
      <c r="M168" s="19">
        <f>SUMIF('[1]Budget Summary 1'!$C:$C,$A8,'[1]Budget Summary 1'!Q:Q)+'[1]Budget Summary 1'!Q149</f>
        <v>20037295.219999999</v>
      </c>
      <c r="N168" s="19">
        <f>SUMIF('[1]Budget Summary 1'!$C:$C,$A8,'[1]Budget Summary 1'!R:R)+'[1]Budget Summary 1'!R149</f>
        <v>20532120.68</v>
      </c>
      <c r="O168" s="19">
        <f>SUMIF('[1]Budget Summary 1'!$C:$C,$A8,'[1]Budget Summary 1'!S:S)+'[1]Budget Summary 1'!S149</f>
        <v>21039316.770000003</v>
      </c>
      <c r="P168" s="19">
        <f>SUMIF('[1]Budget Summary 1'!$C:$C,$A8,'[1]Budget Summary 1'!T:T)+'[1]Budget Summary 1'!T149</f>
        <v>21559192.830000009</v>
      </c>
      <c r="Q168" s="19">
        <f>SUMIF('[1]Budget Summary 1'!$C:$C,$A8,'[1]Budget Summary 1'!U:U)+'[1]Budget Summary 1'!U149</f>
        <v>22092065.719999999</v>
      </c>
      <c r="DZ168" s="22" t="s">
        <v>2</v>
      </c>
      <c r="EA168" s="23" t="s">
        <v>1</v>
      </c>
      <c r="EB168" s="23" t="s">
        <v>1</v>
      </c>
      <c r="EC168" s="23" t="s">
        <v>1</v>
      </c>
    </row>
    <row r="169" spans="2:133" s="19" customFormat="1" hidden="1" x14ac:dyDescent="0.25">
      <c r="B169" s="67" t="s">
        <v>71</v>
      </c>
      <c r="C169" s="22" t="s">
        <v>47</v>
      </c>
      <c r="E169" s="67"/>
      <c r="F169" s="42">
        <f>ROUND(F167-F168,0)</f>
        <v>0</v>
      </c>
      <c r="G169" s="67"/>
      <c r="H169" s="42">
        <f t="shared" ref="H169:Q169" si="92">ROUND(H167-H168,0)</f>
        <v>0</v>
      </c>
      <c r="I169" s="42">
        <f t="shared" si="92"/>
        <v>0</v>
      </c>
      <c r="J169" s="42">
        <f t="shared" si="92"/>
        <v>0</v>
      </c>
      <c r="K169" s="42">
        <f t="shared" si="92"/>
        <v>0</v>
      </c>
      <c r="L169" s="42">
        <f t="shared" si="92"/>
        <v>0</v>
      </c>
      <c r="M169" s="42">
        <f t="shared" si="92"/>
        <v>0</v>
      </c>
      <c r="N169" s="42">
        <f t="shared" si="92"/>
        <v>0</v>
      </c>
      <c r="O169" s="42">
        <f t="shared" si="92"/>
        <v>0</v>
      </c>
      <c r="P169" s="42">
        <f t="shared" si="92"/>
        <v>0</v>
      </c>
      <c r="Q169" s="42">
        <f t="shared" si="92"/>
        <v>0</v>
      </c>
      <c r="DZ169" s="22" t="s">
        <v>2</v>
      </c>
      <c r="EA169" s="23" t="s">
        <v>1</v>
      </c>
      <c r="EB169" s="23" t="s">
        <v>1</v>
      </c>
      <c r="EC169" s="23" t="s">
        <v>1</v>
      </c>
    </row>
    <row r="170" spans="2:133" s="19" customFormat="1" hidden="1" x14ac:dyDescent="0.25">
      <c r="C170" s="22" t="s">
        <v>47</v>
      </c>
      <c r="DZ170" s="22" t="s">
        <v>2</v>
      </c>
      <c r="EA170" s="23" t="s">
        <v>1</v>
      </c>
      <c r="EB170" s="23" t="s">
        <v>1</v>
      </c>
      <c r="EC170" s="23" t="s">
        <v>1</v>
      </c>
    </row>
    <row r="171" spans="2:133" s="19" customFormat="1" hidden="1" x14ac:dyDescent="0.25">
      <c r="B171" s="19" t="str">
        <f>B9</f>
        <v>User Charges &amp; Fees</v>
      </c>
      <c r="C171" s="22" t="s">
        <v>47</v>
      </c>
      <c r="DZ171" s="22" t="s">
        <v>2</v>
      </c>
      <c r="EA171" s="23" t="s">
        <v>1</v>
      </c>
      <c r="EB171" s="23" t="s">
        <v>1</v>
      </c>
      <c r="EC171" s="23" t="s">
        <v>1</v>
      </c>
    </row>
    <row r="172" spans="2:133" s="19" customFormat="1" hidden="1" x14ac:dyDescent="0.25">
      <c r="B172" s="67" t="s">
        <v>99</v>
      </c>
      <c r="C172" s="22" t="s">
        <v>47</v>
      </c>
      <c r="E172" s="67"/>
      <c r="F172" s="19">
        <f>F9</f>
        <v>1560172.5</v>
      </c>
      <c r="G172" s="67"/>
      <c r="H172" s="19">
        <f t="shared" ref="H172:Q172" si="93">H9</f>
        <v>1630176.8199999998</v>
      </c>
      <c r="I172" s="19">
        <f t="shared" si="93"/>
        <v>3305931.32</v>
      </c>
      <c r="J172" s="19">
        <f t="shared" si="93"/>
        <v>3598579.6099999994</v>
      </c>
      <c r="K172" s="19">
        <f t="shared" si="93"/>
        <v>3940544.0899999994</v>
      </c>
      <c r="L172" s="19">
        <f t="shared" si="93"/>
        <v>4341457.7300000004</v>
      </c>
      <c r="M172" s="19">
        <f t="shared" si="93"/>
        <v>4449994.17</v>
      </c>
      <c r="N172" s="19">
        <f t="shared" si="93"/>
        <v>4561244.05</v>
      </c>
      <c r="O172" s="19">
        <f t="shared" si="93"/>
        <v>4675275.1399999997</v>
      </c>
      <c r="P172" s="19">
        <f t="shared" si="93"/>
        <v>4792156.99</v>
      </c>
      <c r="Q172" s="19">
        <f t="shared" si="93"/>
        <v>4911960.92</v>
      </c>
      <c r="DZ172" s="22" t="s">
        <v>2</v>
      </c>
      <c r="EA172" s="23" t="s">
        <v>1</v>
      </c>
      <c r="EB172" s="23" t="s">
        <v>1</v>
      </c>
      <c r="EC172" s="23" t="s">
        <v>1</v>
      </c>
    </row>
    <row r="173" spans="2:133" s="19" customFormat="1" hidden="1" x14ac:dyDescent="0.25">
      <c r="B173" s="67" t="s">
        <v>100</v>
      </c>
      <c r="C173" s="22" t="s">
        <v>47</v>
      </c>
      <c r="E173" s="67"/>
      <c r="F173" s="19">
        <f>SUMIF('[1]Budget Summary 1'!$C:$C,$A9,'[1]Budget Summary 1'!J:J)+'[1]Budget Summary 1'!J150</f>
        <v>1560172.5</v>
      </c>
      <c r="G173" s="67"/>
      <c r="H173" s="19">
        <f>SUMIF('[1]Budget Summary 1'!$C:$C,$A9,'[1]Budget Summary 1'!L:L)+'[1]Budget Summary 1'!L150</f>
        <v>1630176.8199999998</v>
      </c>
      <c r="I173" s="19">
        <f>SUMIF('[1]Budget Summary 1'!$C:$C,$A9,'[1]Budget Summary 1'!M:M)+'[1]Budget Summary 1'!M150</f>
        <v>3305931.32</v>
      </c>
      <c r="J173" s="19">
        <f>SUMIF('[1]Budget Summary 1'!$C:$C,$A9,'[1]Budget Summary 1'!N:N)+'[1]Budget Summary 1'!N150</f>
        <v>3598579.6099999994</v>
      </c>
      <c r="K173" s="19">
        <f>SUMIF('[1]Budget Summary 1'!$C:$C,$A9,'[1]Budget Summary 1'!O:O)+'[1]Budget Summary 1'!O150</f>
        <v>3940544.0899999994</v>
      </c>
      <c r="L173" s="19">
        <f>SUMIF('[1]Budget Summary 1'!$C:$C,$A9,'[1]Budget Summary 1'!P:P)+'[1]Budget Summary 1'!P150</f>
        <v>4341457.7300000004</v>
      </c>
      <c r="M173" s="19">
        <f>SUMIF('[1]Budget Summary 1'!$C:$C,$A9,'[1]Budget Summary 1'!Q:Q)+'[1]Budget Summary 1'!Q150</f>
        <v>4449994.17</v>
      </c>
      <c r="N173" s="19">
        <f>SUMIF('[1]Budget Summary 1'!$C:$C,$A9,'[1]Budget Summary 1'!R:R)+'[1]Budget Summary 1'!R150</f>
        <v>4561244.05</v>
      </c>
      <c r="O173" s="19">
        <f>SUMIF('[1]Budget Summary 1'!$C:$C,$A9,'[1]Budget Summary 1'!S:S)+'[1]Budget Summary 1'!S150</f>
        <v>4675275.1399999997</v>
      </c>
      <c r="P173" s="19">
        <f>SUMIF('[1]Budget Summary 1'!$C:$C,$A9,'[1]Budget Summary 1'!T:T)+'[1]Budget Summary 1'!T150</f>
        <v>4792156.99</v>
      </c>
      <c r="Q173" s="19">
        <f>SUMIF('[1]Budget Summary 1'!$C:$C,$A9,'[1]Budget Summary 1'!U:U)+'[1]Budget Summary 1'!U150</f>
        <v>4911960.92</v>
      </c>
      <c r="DZ173" s="22" t="s">
        <v>2</v>
      </c>
      <c r="EA173" s="23" t="s">
        <v>1</v>
      </c>
      <c r="EB173" s="23" t="s">
        <v>1</v>
      </c>
      <c r="EC173" s="23" t="s">
        <v>1</v>
      </c>
    </row>
    <row r="174" spans="2:133" s="19" customFormat="1" hidden="1" x14ac:dyDescent="0.25">
      <c r="B174" s="67" t="s">
        <v>71</v>
      </c>
      <c r="C174" s="22" t="s">
        <v>47</v>
      </c>
      <c r="E174" s="67"/>
      <c r="F174" s="42">
        <f>ROUND(F172-F173,0)</f>
        <v>0</v>
      </c>
      <c r="G174" s="67"/>
      <c r="H174" s="42">
        <f t="shared" ref="H174:Q174" si="94">ROUND(H172-H173,0)</f>
        <v>0</v>
      </c>
      <c r="I174" s="42">
        <f t="shared" si="94"/>
        <v>0</v>
      </c>
      <c r="J174" s="42">
        <f t="shared" si="94"/>
        <v>0</v>
      </c>
      <c r="K174" s="42">
        <f t="shared" si="94"/>
        <v>0</v>
      </c>
      <c r="L174" s="42">
        <f t="shared" si="94"/>
        <v>0</v>
      </c>
      <c r="M174" s="42">
        <f t="shared" si="94"/>
        <v>0</v>
      </c>
      <c r="N174" s="42">
        <f t="shared" si="94"/>
        <v>0</v>
      </c>
      <c r="O174" s="42">
        <f t="shared" si="94"/>
        <v>0</v>
      </c>
      <c r="P174" s="42">
        <f t="shared" si="94"/>
        <v>0</v>
      </c>
      <c r="Q174" s="42">
        <f t="shared" si="94"/>
        <v>0</v>
      </c>
      <c r="DZ174" s="22" t="s">
        <v>2</v>
      </c>
      <c r="EA174" s="23" t="s">
        <v>1</v>
      </c>
      <c r="EB174" s="23" t="s">
        <v>1</v>
      </c>
      <c r="EC174" s="23" t="s">
        <v>1</v>
      </c>
    </row>
    <row r="175" spans="2:133" s="19" customFormat="1" hidden="1" x14ac:dyDescent="0.25">
      <c r="B175" s="67" t="s">
        <v>101</v>
      </c>
      <c r="C175" s="22" t="s">
        <v>47</v>
      </c>
      <c r="E175" s="67"/>
      <c r="F175" s="19">
        <f>'[1]RE Dev Summary'!E43</f>
        <v>0</v>
      </c>
      <c r="G175" s="67"/>
      <c r="H175" s="19">
        <f>'[1]RE Dev Summary'!G43</f>
        <v>0</v>
      </c>
      <c r="I175" s="19">
        <f>'[1]RE Dev Summary'!H43</f>
        <v>0</v>
      </c>
      <c r="J175" s="19">
        <f>'[1]RE Dev Summary'!I43</f>
        <v>0</v>
      </c>
      <c r="K175" s="19">
        <f>'[1]RE Dev Summary'!J43</f>
        <v>0</v>
      </c>
      <c r="L175" s="19">
        <f>'[1]RE Dev Summary'!K43</f>
        <v>0</v>
      </c>
      <c r="M175" s="19">
        <f>'[1]RE Dev Summary'!L43</f>
        <v>0</v>
      </c>
      <c r="N175" s="19">
        <f>'[1]RE Dev Summary'!M43</f>
        <v>0</v>
      </c>
      <c r="O175" s="19">
        <f>'[1]RE Dev Summary'!N43</f>
        <v>0</v>
      </c>
      <c r="P175" s="19">
        <f>'[1]RE Dev Summary'!O43</f>
        <v>0</v>
      </c>
      <c r="Q175" s="19">
        <f>'[1]RE Dev Summary'!P43</f>
        <v>0</v>
      </c>
      <c r="DZ175" s="22" t="s">
        <v>2</v>
      </c>
      <c r="EA175" s="23" t="s">
        <v>1</v>
      </c>
      <c r="EB175" s="23" t="s">
        <v>1</v>
      </c>
      <c r="EC175" s="23" t="s">
        <v>1</v>
      </c>
    </row>
    <row r="176" spans="2:133" s="19" customFormat="1" hidden="1" x14ac:dyDescent="0.25">
      <c r="B176" s="67" t="s">
        <v>102</v>
      </c>
      <c r="C176" s="22" t="s">
        <v>47</v>
      </c>
      <c r="E176" s="67"/>
      <c r="F176" s="19">
        <f>'[1]RE Dev Summary'!E48</f>
        <v>0</v>
      </c>
      <c r="G176" s="67"/>
      <c r="H176" s="19">
        <f>'[1]RE Dev Summary'!G48</f>
        <v>0</v>
      </c>
      <c r="I176" s="19">
        <f>'[1]RE Dev Summary'!H48</f>
        <v>0</v>
      </c>
      <c r="J176" s="19">
        <f>'[1]RE Dev Summary'!I48</f>
        <v>0</v>
      </c>
      <c r="K176" s="19">
        <f>'[1]RE Dev Summary'!J48</f>
        <v>0</v>
      </c>
      <c r="L176" s="19">
        <f>'[1]RE Dev Summary'!K48</f>
        <v>0</v>
      </c>
      <c r="M176" s="19">
        <f>'[1]RE Dev Summary'!L48</f>
        <v>0</v>
      </c>
      <c r="N176" s="19">
        <f>'[1]RE Dev Summary'!M48</f>
        <v>0</v>
      </c>
      <c r="O176" s="19">
        <f>'[1]RE Dev Summary'!N48</f>
        <v>0</v>
      </c>
      <c r="P176" s="19">
        <f>'[1]RE Dev Summary'!O48</f>
        <v>0</v>
      </c>
      <c r="Q176" s="19">
        <f>'[1]RE Dev Summary'!P48</f>
        <v>0</v>
      </c>
      <c r="DZ176" s="22" t="s">
        <v>2</v>
      </c>
      <c r="EA176" s="23" t="s">
        <v>1</v>
      </c>
      <c r="EB176" s="23" t="s">
        <v>1</v>
      </c>
      <c r="EC176" s="23" t="s">
        <v>1</v>
      </c>
    </row>
    <row r="177" spans="1:133" s="19" customFormat="1" hidden="1" x14ac:dyDescent="0.25">
      <c r="B177" s="67" t="s">
        <v>103</v>
      </c>
      <c r="C177" s="22" t="s">
        <v>47</v>
      </c>
      <c r="E177" s="67"/>
      <c r="F177" s="19">
        <f>'[1]Major Projects summary'!E84</f>
        <v>0</v>
      </c>
      <c r="G177" s="67"/>
      <c r="H177" s="19">
        <f>'[1]Major Projects summary'!G84</f>
        <v>0</v>
      </c>
      <c r="I177" s="19">
        <f>'[1]Major Projects summary'!H84</f>
        <v>0</v>
      </c>
      <c r="J177" s="19">
        <f>'[1]Major Projects summary'!I84</f>
        <v>0</v>
      </c>
      <c r="K177" s="19">
        <f>'[1]Major Projects summary'!J84</f>
        <v>0</v>
      </c>
      <c r="L177" s="19">
        <f>'[1]Major Projects summary'!K84</f>
        <v>0</v>
      </c>
      <c r="M177" s="19">
        <f>'[1]Major Projects summary'!L84</f>
        <v>0</v>
      </c>
      <c r="N177" s="19">
        <f>'[1]Major Projects summary'!M84</f>
        <v>0</v>
      </c>
      <c r="O177" s="19">
        <f>'[1]Major Projects summary'!N84</f>
        <v>0</v>
      </c>
      <c r="P177" s="19">
        <f>'[1]Major Projects summary'!O84</f>
        <v>0</v>
      </c>
      <c r="Q177" s="19">
        <f>'[1]Major Projects summary'!P84</f>
        <v>0</v>
      </c>
      <c r="DZ177" s="22" t="s">
        <v>2</v>
      </c>
      <c r="EA177" s="23" t="s">
        <v>1</v>
      </c>
      <c r="EB177" s="23" t="s">
        <v>1</v>
      </c>
      <c r="EC177" s="23" t="s">
        <v>1</v>
      </c>
    </row>
    <row r="178" spans="1:133" s="19" customFormat="1" hidden="1" x14ac:dyDescent="0.25">
      <c r="B178" s="67" t="s">
        <v>104</v>
      </c>
      <c r="C178" s="22" t="s">
        <v>47</v>
      </c>
      <c r="E178" s="67"/>
      <c r="F178" s="19">
        <f>'[1]Major Projects summary'!E89</f>
        <v>0</v>
      </c>
      <c r="G178" s="67"/>
      <c r="H178" s="19">
        <f>'[1]Major Projects summary'!G89</f>
        <v>0</v>
      </c>
      <c r="I178" s="19">
        <f>'[1]Major Projects summary'!H89</f>
        <v>0</v>
      </c>
      <c r="J178" s="19">
        <f>'[1]Major Projects summary'!I89</f>
        <v>0</v>
      </c>
      <c r="K178" s="19">
        <f>'[1]Major Projects summary'!J89</f>
        <v>0</v>
      </c>
      <c r="L178" s="19">
        <f>'[1]Major Projects summary'!K89</f>
        <v>0</v>
      </c>
      <c r="M178" s="19">
        <f>'[1]Major Projects summary'!L89</f>
        <v>0</v>
      </c>
      <c r="N178" s="19">
        <f>'[1]Major Projects summary'!M89</f>
        <v>0</v>
      </c>
      <c r="O178" s="19">
        <f>'[1]Major Projects summary'!N89</f>
        <v>0</v>
      </c>
      <c r="P178" s="19">
        <f>'[1]Major Projects summary'!O89</f>
        <v>0</v>
      </c>
      <c r="Q178" s="19">
        <f>'[1]Major Projects summary'!P89</f>
        <v>0</v>
      </c>
      <c r="DZ178" s="22" t="s">
        <v>2</v>
      </c>
      <c r="EA178" s="23" t="s">
        <v>1</v>
      </c>
      <c r="EB178" s="23" t="s">
        <v>1</v>
      </c>
      <c r="EC178" s="23" t="s">
        <v>1</v>
      </c>
    </row>
    <row r="179" spans="1:133" s="19" customFormat="1" hidden="1" x14ac:dyDescent="0.25">
      <c r="B179" s="67" t="s">
        <v>105</v>
      </c>
      <c r="C179" s="22" t="s">
        <v>47</v>
      </c>
      <c r="E179" s="67"/>
      <c r="F179" s="52">
        <f>ROUND(F174-SUM(F175:F178),0)</f>
        <v>0</v>
      </c>
      <c r="G179" s="67"/>
      <c r="H179" s="52">
        <f t="shared" ref="H179:Q179" si="95">ROUND(H174-SUM(H175:H178),0)</f>
        <v>0</v>
      </c>
      <c r="I179" s="52">
        <f t="shared" si="95"/>
        <v>0</v>
      </c>
      <c r="J179" s="52">
        <f t="shared" si="95"/>
        <v>0</v>
      </c>
      <c r="K179" s="52">
        <f t="shared" si="95"/>
        <v>0</v>
      </c>
      <c r="L179" s="52">
        <f t="shared" si="95"/>
        <v>0</v>
      </c>
      <c r="M179" s="52">
        <f t="shared" si="95"/>
        <v>0</v>
      </c>
      <c r="N179" s="52">
        <f t="shared" si="95"/>
        <v>0</v>
      </c>
      <c r="O179" s="52">
        <f t="shared" si="95"/>
        <v>0</v>
      </c>
      <c r="P179" s="52">
        <f t="shared" si="95"/>
        <v>0</v>
      </c>
      <c r="Q179" s="52">
        <f t="shared" si="95"/>
        <v>0</v>
      </c>
      <c r="DZ179" s="22" t="s">
        <v>2</v>
      </c>
      <c r="EA179" s="23" t="s">
        <v>1</v>
      </c>
      <c r="EB179" s="23" t="s">
        <v>1</v>
      </c>
      <c r="EC179" s="23" t="s">
        <v>1</v>
      </c>
    </row>
    <row r="180" spans="1:133" s="19" customFormat="1" hidden="1" x14ac:dyDescent="0.25">
      <c r="C180" s="22" t="s">
        <v>47</v>
      </c>
      <c r="DZ180" s="22" t="s">
        <v>2</v>
      </c>
      <c r="EA180" s="23" t="s">
        <v>1</v>
      </c>
      <c r="EB180" s="23" t="s">
        <v>1</v>
      </c>
      <c r="EC180" s="23" t="s">
        <v>1</v>
      </c>
    </row>
    <row r="181" spans="1:133" s="19" customFormat="1" hidden="1" x14ac:dyDescent="0.25">
      <c r="B181" s="19" t="str">
        <f>B10</f>
        <v>Interest &amp; Investment Revenue</v>
      </c>
      <c r="C181" s="22" t="s">
        <v>47</v>
      </c>
      <c r="DZ181" s="22" t="s">
        <v>2</v>
      </c>
      <c r="EA181" s="23" t="s">
        <v>1</v>
      </c>
      <c r="EB181" s="23" t="s">
        <v>1</v>
      </c>
      <c r="EC181" s="23" t="s">
        <v>1</v>
      </c>
    </row>
    <row r="182" spans="1:133" s="19" customFormat="1" hidden="1" x14ac:dyDescent="0.25">
      <c r="B182" s="67" t="s">
        <v>99</v>
      </c>
      <c r="C182" s="22" t="s">
        <v>47</v>
      </c>
      <c r="E182" s="67"/>
      <c r="F182" s="19">
        <f>F10</f>
        <v>837764.3</v>
      </c>
      <c r="G182" s="67"/>
      <c r="H182" s="19">
        <f t="shared" ref="H182:Q182" si="96">H10</f>
        <v>862897.23</v>
      </c>
      <c r="I182" s="19">
        <f t="shared" si="96"/>
        <v>888784.14999999991</v>
      </c>
      <c r="J182" s="19">
        <f t="shared" si="96"/>
        <v>915447.68</v>
      </c>
      <c r="K182" s="19">
        <f t="shared" si="96"/>
        <v>942911.1100000001</v>
      </c>
      <c r="L182" s="19">
        <f t="shared" si="96"/>
        <v>971198.44000000006</v>
      </c>
      <c r="M182" s="19">
        <f t="shared" si="96"/>
        <v>1000334.3999999999</v>
      </c>
      <c r="N182" s="19">
        <f t="shared" si="96"/>
        <v>1030344.43</v>
      </c>
      <c r="O182" s="19">
        <f t="shared" si="96"/>
        <v>1061254.77</v>
      </c>
      <c r="P182" s="19">
        <f t="shared" si="96"/>
        <v>1093092.4099999999</v>
      </c>
      <c r="Q182" s="19">
        <f t="shared" si="96"/>
        <v>1125885.19</v>
      </c>
      <c r="DZ182" s="22" t="s">
        <v>2</v>
      </c>
      <c r="EA182" s="23" t="s">
        <v>1</v>
      </c>
      <c r="EB182" s="23" t="s">
        <v>1</v>
      </c>
      <c r="EC182" s="23" t="s">
        <v>1</v>
      </c>
    </row>
    <row r="183" spans="1:133" s="19" customFormat="1" hidden="1" x14ac:dyDescent="0.25">
      <c r="A183" s="19" t="str">
        <f>B10</f>
        <v>Interest &amp; Investment Revenue</v>
      </c>
      <c r="B183" s="67" t="s">
        <v>100</v>
      </c>
      <c r="C183" s="22" t="s">
        <v>47</v>
      </c>
      <c r="E183" s="67"/>
      <c r="F183" s="19">
        <f>SUMIF('[1]Budget Summary 1'!$C:$C,$A183,'[1]Budget Summary 1'!J:J)+'[1]Budget Summary 1'!J145+'[1]Budget Summary 1'!J151</f>
        <v>837764.3</v>
      </c>
      <c r="G183" s="67"/>
      <c r="H183" s="19">
        <f>SUMIF('[1]Budget Summary 1'!$C:$C,$A183,'[1]Budget Summary 1'!L:L)+'[1]Budget Summary 1'!L145+'[1]Budget Summary 1'!L151</f>
        <v>862897.23</v>
      </c>
      <c r="I183" s="19">
        <f>SUMIF('[1]Budget Summary 1'!$C:$C,$A183,'[1]Budget Summary 1'!M:M)+'[1]Budget Summary 1'!M145+'[1]Budget Summary 1'!M151</f>
        <v>888784.14999999991</v>
      </c>
      <c r="J183" s="19">
        <f>SUMIF('[1]Budget Summary 1'!$C:$C,$A183,'[1]Budget Summary 1'!N:N)+'[1]Budget Summary 1'!N145+'[1]Budget Summary 1'!N151</f>
        <v>915447.68</v>
      </c>
      <c r="K183" s="19">
        <f>SUMIF('[1]Budget Summary 1'!$C:$C,$A183,'[1]Budget Summary 1'!O:O)+'[1]Budget Summary 1'!O145+'[1]Budget Summary 1'!O151</f>
        <v>942911.1100000001</v>
      </c>
      <c r="L183" s="19">
        <f>SUMIF('[1]Budget Summary 1'!$C:$C,$A183,'[1]Budget Summary 1'!P:P)+'[1]Budget Summary 1'!P145+'[1]Budget Summary 1'!P151</f>
        <v>971198.44000000006</v>
      </c>
      <c r="M183" s="19">
        <f>SUMIF('[1]Budget Summary 1'!$C:$C,$A183,'[1]Budget Summary 1'!Q:Q)+'[1]Budget Summary 1'!Q145+'[1]Budget Summary 1'!Q151</f>
        <v>1000334.3999999999</v>
      </c>
      <c r="N183" s="19">
        <f>SUMIF('[1]Budget Summary 1'!$C:$C,$A183,'[1]Budget Summary 1'!R:R)+'[1]Budget Summary 1'!R145+'[1]Budget Summary 1'!R151</f>
        <v>1030344.43</v>
      </c>
      <c r="O183" s="19">
        <f>SUMIF('[1]Budget Summary 1'!$C:$C,$A183,'[1]Budget Summary 1'!S:S)+'[1]Budget Summary 1'!S145+'[1]Budget Summary 1'!S151</f>
        <v>1061254.77</v>
      </c>
      <c r="P183" s="19">
        <f>SUMIF('[1]Budget Summary 1'!$C:$C,$A183,'[1]Budget Summary 1'!T:T)+'[1]Budget Summary 1'!T145+'[1]Budget Summary 1'!T151</f>
        <v>1093092.4099999999</v>
      </c>
      <c r="Q183" s="19">
        <f>SUMIF('[1]Budget Summary 1'!$C:$C,$A183,'[1]Budget Summary 1'!U:U)+'[1]Budget Summary 1'!U145+'[1]Budget Summary 1'!U151</f>
        <v>1125885.19</v>
      </c>
      <c r="DZ183" s="22" t="s">
        <v>2</v>
      </c>
      <c r="EA183" s="23" t="s">
        <v>1</v>
      </c>
      <c r="EB183" s="23" t="s">
        <v>1</v>
      </c>
      <c r="EC183" s="23" t="s">
        <v>1</v>
      </c>
    </row>
    <row r="184" spans="1:133" s="19" customFormat="1" hidden="1" x14ac:dyDescent="0.25">
      <c r="B184" s="67" t="s">
        <v>71</v>
      </c>
      <c r="C184" s="22" t="s">
        <v>47</v>
      </c>
      <c r="E184" s="67"/>
      <c r="F184" s="42">
        <f>ROUND(F182-F183,0)</f>
        <v>0</v>
      </c>
      <c r="G184" s="67"/>
      <c r="H184" s="42">
        <f t="shared" ref="H184:Q184" si="97">ROUND(H182-H183,0)</f>
        <v>0</v>
      </c>
      <c r="I184" s="42">
        <f t="shared" si="97"/>
        <v>0</v>
      </c>
      <c r="J184" s="42">
        <f t="shared" si="97"/>
        <v>0</v>
      </c>
      <c r="K184" s="42">
        <f t="shared" si="97"/>
        <v>0</v>
      </c>
      <c r="L184" s="42">
        <f t="shared" si="97"/>
        <v>0</v>
      </c>
      <c r="M184" s="42">
        <f t="shared" si="97"/>
        <v>0</v>
      </c>
      <c r="N184" s="42">
        <f t="shared" si="97"/>
        <v>0</v>
      </c>
      <c r="O184" s="42">
        <f t="shared" si="97"/>
        <v>0</v>
      </c>
      <c r="P184" s="42">
        <f t="shared" si="97"/>
        <v>0</v>
      </c>
      <c r="Q184" s="42">
        <f t="shared" si="97"/>
        <v>0</v>
      </c>
      <c r="DZ184" s="22" t="s">
        <v>2</v>
      </c>
      <c r="EA184" s="23" t="s">
        <v>1</v>
      </c>
      <c r="EB184" s="23" t="s">
        <v>1</v>
      </c>
      <c r="EC184" s="23" t="s">
        <v>1</v>
      </c>
    </row>
    <row r="185" spans="1:133" s="19" customFormat="1" hidden="1" x14ac:dyDescent="0.25">
      <c r="B185" s="67" t="s">
        <v>106</v>
      </c>
      <c r="C185" s="22" t="s">
        <v>47</v>
      </c>
      <c r="E185" s="67"/>
      <c r="F185" s="37">
        <f>'[1]IS Workings'!E52</f>
        <v>0</v>
      </c>
      <c r="G185" s="67"/>
      <c r="H185" s="37">
        <f>'[1]IS Workings'!G52</f>
        <v>0</v>
      </c>
      <c r="I185" s="37">
        <f>'[1]IS Workings'!H52</f>
        <v>0</v>
      </c>
      <c r="J185" s="37">
        <f>'[1]IS Workings'!I52</f>
        <v>0</v>
      </c>
      <c r="K185" s="37">
        <f>'[1]IS Workings'!J52</f>
        <v>0</v>
      </c>
      <c r="L185" s="37">
        <f>'[1]IS Workings'!K52</f>
        <v>0</v>
      </c>
      <c r="M185" s="37">
        <f>'[1]IS Workings'!L52</f>
        <v>0</v>
      </c>
      <c r="N185" s="37">
        <f>'[1]IS Workings'!M52</f>
        <v>0</v>
      </c>
      <c r="O185" s="37">
        <f>'[1]IS Workings'!N52</f>
        <v>0</v>
      </c>
      <c r="P185" s="37">
        <f>'[1]IS Workings'!O52</f>
        <v>0</v>
      </c>
      <c r="Q185" s="37">
        <f>'[1]IS Workings'!P52</f>
        <v>0</v>
      </c>
      <c r="DZ185" s="22" t="s">
        <v>2</v>
      </c>
      <c r="EA185" s="23" t="s">
        <v>1</v>
      </c>
      <c r="EB185" s="23" t="s">
        <v>1</v>
      </c>
      <c r="EC185" s="23" t="s">
        <v>1</v>
      </c>
    </row>
    <row r="186" spans="1:133" s="19" customFormat="1" hidden="1" x14ac:dyDescent="0.25">
      <c r="A186" s="19" t="str">
        <f>'[1]Budget Summary 1'!D17</f>
        <v>Interest &amp; Investment Revenues - Investments</v>
      </c>
      <c r="B186" s="67" t="s">
        <v>107</v>
      </c>
      <c r="C186" s="22" t="s">
        <v>47</v>
      </c>
      <c r="E186" s="67"/>
      <c r="F186" s="37">
        <f>'[1]IS Workings'!E53</f>
        <v>0</v>
      </c>
      <c r="G186" s="67"/>
      <c r="H186" s="37">
        <f>'[1]IS Workings'!G53</f>
        <v>0</v>
      </c>
      <c r="I186" s="37">
        <f>'[1]IS Workings'!H53</f>
        <v>0</v>
      </c>
      <c r="J186" s="37">
        <f>'[1]IS Workings'!I53</f>
        <v>0</v>
      </c>
      <c r="K186" s="37">
        <f>'[1]IS Workings'!J53</f>
        <v>0</v>
      </c>
      <c r="L186" s="37">
        <f>'[1]IS Workings'!K53</f>
        <v>0</v>
      </c>
      <c r="M186" s="37">
        <f>'[1]IS Workings'!L53</f>
        <v>0</v>
      </c>
      <c r="N186" s="37">
        <f>'[1]IS Workings'!M53</f>
        <v>0</v>
      </c>
      <c r="O186" s="37">
        <f>'[1]IS Workings'!N53</f>
        <v>0</v>
      </c>
      <c r="P186" s="37">
        <f>'[1]IS Workings'!O53</f>
        <v>0</v>
      </c>
      <c r="Q186" s="37">
        <f>'[1]IS Workings'!P53</f>
        <v>0</v>
      </c>
      <c r="DZ186" s="22" t="s">
        <v>2</v>
      </c>
      <c r="EA186" s="23" t="s">
        <v>1</v>
      </c>
      <c r="EB186" s="23" t="s">
        <v>1</v>
      </c>
      <c r="EC186" s="23" t="s">
        <v>1</v>
      </c>
    </row>
    <row r="187" spans="1:133" s="19" customFormat="1" hidden="1" x14ac:dyDescent="0.25">
      <c r="B187" s="67" t="s">
        <v>105</v>
      </c>
      <c r="C187" s="22" t="s">
        <v>47</v>
      </c>
      <c r="E187" s="67"/>
      <c r="F187" s="52">
        <f>ROUND(F184-SUM(F185:F186),0)</f>
        <v>0</v>
      </c>
      <c r="G187" s="67"/>
      <c r="H187" s="52">
        <f>ROUND(H184-SUM(H185:H186),0)</f>
        <v>0</v>
      </c>
      <c r="I187" s="52">
        <f t="shared" ref="I187:Q187" si="98">ROUND(I184-SUM(I185:I186),0)</f>
        <v>0</v>
      </c>
      <c r="J187" s="52">
        <f t="shared" si="98"/>
        <v>0</v>
      </c>
      <c r="K187" s="52">
        <f t="shared" si="98"/>
        <v>0</v>
      </c>
      <c r="L187" s="52">
        <f t="shared" si="98"/>
        <v>0</v>
      </c>
      <c r="M187" s="52">
        <f t="shared" si="98"/>
        <v>0</v>
      </c>
      <c r="N187" s="52">
        <f t="shared" si="98"/>
        <v>0</v>
      </c>
      <c r="O187" s="52">
        <f t="shared" si="98"/>
        <v>0</v>
      </c>
      <c r="P187" s="52">
        <f t="shared" si="98"/>
        <v>0</v>
      </c>
      <c r="Q187" s="52">
        <f t="shared" si="98"/>
        <v>0</v>
      </c>
      <c r="DZ187" s="22" t="s">
        <v>2</v>
      </c>
      <c r="EA187" s="23" t="s">
        <v>1</v>
      </c>
      <c r="EB187" s="23" t="s">
        <v>1</v>
      </c>
      <c r="EC187" s="23" t="s">
        <v>1</v>
      </c>
    </row>
    <row r="188" spans="1:133" s="19" customFormat="1" hidden="1" x14ac:dyDescent="0.25">
      <c r="C188" s="22" t="s">
        <v>47</v>
      </c>
      <c r="DZ188" s="22" t="s">
        <v>2</v>
      </c>
      <c r="EA188" s="23" t="s">
        <v>1</v>
      </c>
      <c r="EB188" s="23" t="s">
        <v>1</v>
      </c>
      <c r="EC188" s="23" t="s">
        <v>1</v>
      </c>
    </row>
    <row r="189" spans="1:133" s="19" customFormat="1" hidden="1" x14ac:dyDescent="0.25">
      <c r="B189" s="19" t="str">
        <f>B11</f>
        <v>Other Revenues</v>
      </c>
      <c r="C189" s="22" t="s">
        <v>47</v>
      </c>
      <c r="DZ189" s="22" t="s">
        <v>2</v>
      </c>
      <c r="EA189" s="23" t="s">
        <v>1</v>
      </c>
      <c r="EB189" s="23" t="s">
        <v>1</v>
      </c>
      <c r="EC189" s="23" t="s">
        <v>1</v>
      </c>
    </row>
    <row r="190" spans="1:133" s="19" customFormat="1" hidden="1" x14ac:dyDescent="0.25">
      <c r="B190" s="67" t="s">
        <v>99</v>
      </c>
      <c r="C190" s="22" t="s">
        <v>47</v>
      </c>
      <c r="E190" s="67"/>
      <c r="F190" s="19">
        <f>F11</f>
        <v>1290042.1499999999</v>
      </c>
      <c r="G190" s="67"/>
      <c r="H190" s="19">
        <f t="shared" ref="H190:Q190" si="99">H11</f>
        <v>1386530.5899999999</v>
      </c>
      <c r="I190" s="19">
        <f t="shared" si="99"/>
        <v>1424777.8699999994</v>
      </c>
      <c r="J190" s="19">
        <f t="shared" si="99"/>
        <v>1464106.6799999997</v>
      </c>
      <c r="K190" s="19">
        <f t="shared" si="99"/>
        <v>1504548.3099999998</v>
      </c>
      <c r="L190" s="19">
        <f t="shared" si="99"/>
        <v>1546135.87</v>
      </c>
      <c r="M190" s="19">
        <f t="shared" si="99"/>
        <v>1584789.3399999996</v>
      </c>
      <c r="N190" s="19">
        <f t="shared" si="99"/>
        <v>1624409.0799999998</v>
      </c>
      <c r="O190" s="19">
        <f t="shared" si="99"/>
        <v>1665019.31</v>
      </c>
      <c r="P190" s="19">
        <f t="shared" si="99"/>
        <v>1706644.7999999998</v>
      </c>
      <c r="Q190" s="19">
        <f t="shared" si="99"/>
        <v>1749310.9200000004</v>
      </c>
      <c r="DZ190" s="22" t="s">
        <v>2</v>
      </c>
      <c r="EA190" s="23" t="s">
        <v>1</v>
      </c>
      <c r="EB190" s="23" t="s">
        <v>1</v>
      </c>
      <c r="EC190" s="23" t="s">
        <v>1</v>
      </c>
    </row>
    <row r="191" spans="1:133" s="19" customFormat="1" hidden="1" x14ac:dyDescent="0.25">
      <c r="B191" s="67" t="s">
        <v>100</v>
      </c>
      <c r="C191" s="22" t="s">
        <v>47</v>
      </c>
      <c r="E191" s="67"/>
      <c r="F191" s="24">
        <f>SUMIF('[1]Budget Summary 1'!$C:$C,$A11,'[1]Budget Summary 1'!J:J)+'[1]Budget Summary 1'!J152</f>
        <v>1290042.1499999999</v>
      </c>
      <c r="G191" s="67"/>
      <c r="H191" s="24">
        <f>SUMIF('[1]Budget Summary 1'!$C:$C,$A11,'[1]Budget Summary 1'!L:L)+'[1]Budget Summary 1'!L152</f>
        <v>1386530.5899999999</v>
      </c>
      <c r="I191" s="24">
        <f>SUMIF('[1]Budget Summary 1'!$C:$C,$A11,'[1]Budget Summary 1'!M:M)+'[1]Budget Summary 1'!M152</f>
        <v>1424777.8699999994</v>
      </c>
      <c r="J191" s="24">
        <f>SUMIF('[1]Budget Summary 1'!$C:$C,$A11,'[1]Budget Summary 1'!N:N)+'[1]Budget Summary 1'!N152</f>
        <v>1464106.6799999997</v>
      </c>
      <c r="K191" s="24">
        <f>SUMIF('[1]Budget Summary 1'!$C:$C,$A11,'[1]Budget Summary 1'!O:O)+'[1]Budget Summary 1'!O152</f>
        <v>1504548.3099999998</v>
      </c>
      <c r="L191" s="24">
        <f>SUMIF('[1]Budget Summary 1'!$C:$C,$A11,'[1]Budget Summary 1'!P:P)+'[1]Budget Summary 1'!P152</f>
        <v>1546135.87</v>
      </c>
      <c r="M191" s="24">
        <f>SUMIF('[1]Budget Summary 1'!$C:$C,$A11,'[1]Budget Summary 1'!Q:Q)+'[1]Budget Summary 1'!Q152</f>
        <v>1584789.3399999996</v>
      </c>
      <c r="N191" s="24">
        <f>SUMIF('[1]Budget Summary 1'!$C:$C,$A11,'[1]Budget Summary 1'!R:R)+'[1]Budget Summary 1'!R152</f>
        <v>1624409.0799999998</v>
      </c>
      <c r="O191" s="24">
        <f>SUMIF('[1]Budget Summary 1'!$C:$C,$A11,'[1]Budget Summary 1'!S:S)+'[1]Budget Summary 1'!S152</f>
        <v>1665019.31</v>
      </c>
      <c r="P191" s="24">
        <f>SUMIF('[1]Budget Summary 1'!$C:$C,$A11,'[1]Budget Summary 1'!T:T)+'[1]Budget Summary 1'!T152</f>
        <v>1706644.7999999998</v>
      </c>
      <c r="Q191" s="24">
        <f>SUMIF('[1]Budget Summary 1'!$C:$C,$A11,'[1]Budget Summary 1'!U:U)+'[1]Budget Summary 1'!U152</f>
        <v>1749310.9200000004</v>
      </c>
      <c r="DZ191" s="22" t="s">
        <v>2</v>
      </c>
      <c r="EA191" s="23" t="s">
        <v>1</v>
      </c>
      <c r="EB191" s="23" t="s">
        <v>1</v>
      </c>
      <c r="EC191" s="23" t="s">
        <v>1</v>
      </c>
    </row>
    <row r="192" spans="1:133" s="19" customFormat="1" hidden="1" x14ac:dyDescent="0.25">
      <c r="B192" s="67" t="s">
        <v>71</v>
      </c>
      <c r="C192" s="22" t="s">
        <v>47</v>
      </c>
      <c r="E192" s="67"/>
      <c r="F192" s="42">
        <f>ROUND(F190-F191,0)</f>
        <v>0</v>
      </c>
      <c r="G192" s="67"/>
      <c r="H192" s="42">
        <f t="shared" ref="H192:Q192" si="100">ROUND(H190-H191,0)</f>
        <v>0</v>
      </c>
      <c r="I192" s="42">
        <f t="shared" si="100"/>
        <v>0</v>
      </c>
      <c r="J192" s="42">
        <f t="shared" si="100"/>
        <v>0</v>
      </c>
      <c r="K192" s="42">
        <f t="shared" si="100"/>
        <v>0</v>
      </c>
      <c r="L192" s="42">
        <f t="shared" si="100"/>
        <v>0</v>
      </c>
      <c r="M192" s="42">
        <f t="shared" si="100"/>
        <v>0</v>
      </c>
      <c r="N192" s="42">
        <f t="shared" si="100"/>
        <v>0</v>
      </c>
      <c r="O192" s="42">
        <f t="shared" si="100"/>
        <v>0</v>
      </c>
      <c r="P192" s="42">
        <f t="shared" si="100"/>
        <v>0</v>
      </c>
      <c r="Q192" s="42">
        <f t="shared" si="100"/>
        <v>0</v>
      </c>
      <c r="DZ192" s="22" t="s">
        <v>2</v>
      </c>
      <c r="EA192" s="23" t="s">
        <v>1</v>
      </c>
      <c r="EB192" s="23" t="s">
        <v>1</v>
      </c>
      <c r="EC192" s="23" t="s">
        <v>1</v>
      </c>
    </row>
    <row r="193" spans="2:133" s="19" customFormat="1" hidden="1" x14ac:dyDescent="0.25">
      <c r="B193" s="67" t="s">
        <v>101</v>
      </c>
      <c r="C193" s="22" t="s">
        <v>47</v>
      </c>
      <c r="E193" s="67"/>
      <c r="F193" s="37">
        <f>'[1]RE Dev Summary'!E44</f>
        <v>0</v>
      </c>
      <c r="G193" s="67"/>
      <c r="H193" s="37">
        <f>'[1]RE Dev Summary'!G44</f>
        <v>0</v>
      </c>
      <c r="I193" s="37">
        <f>'[1]RE Dev Summary'!H44</f>
        <v>0</v>
      </c>
      <c r="J193" s="37">
        <f>'[1]RE Dev Summary'!I44</f>
        <v>0</v>
      </c>
      <c r="K193" s="37">
        <f>'[1]RE Dev Summary'!J44</f>
        <v>0</v>
      </c>
      <c r="L193" s="37">
        <f>'[1]RE Dev Summary'!K44</f>
        <v>0</v>
      </c>
      <c r="M193" s="37">
        <f>'[1]RE Dev Summary'!L44</f>
        <v>0</v>
      </c>
      <c r="N193" s="37">
        <f>'[1]RE Dev Summary'!M44</f>
        <v>0</v>
      </c>
      <c r="O193" s="37">
        <f>'[1]RE Dev Summary'!N44</f>
        <v>0</v>
      </c>
      <c r="P193" s="37">
        <f>'[1]RE Dev Summary'!O44</f>
        <v>0</v>
      </c>
      <c r="Q193" s="37">
        <f>'[1]RE Dev Summary'!P44</f>
        <v>0</v>
      </c>
      <c r="DZ193" s="22" t="s">
        <v>2</v>
      </c>
      <c r="EA193" s="23" t="s">
        <v>1</v>
      </c>
      <c r="EB193" s="23" t="s">
        <v>1</v>
      </c>
      <c r="EC193" s="23" t="s">
        <v>1</v>
      </c>
    </row>
    <row r="194" spans="2:133" s="19" customFormat="1" hidden="1" x14ac:dyDescent="0.25">
      <c r="B194" s="67" t="s">
        <v>102</v>
      </c>
      <c r="C194" s="22" t="s">
        <v>47</v>
      </c>
      <c r="E194" s="67"/>
      <c r="F194" s="37">
        <f>'[1]RE Dev Summary'!E49</f>
        <v>0</v>
      </c>
      <c r="G194" s="67"/>
      <c r="H194" s="37">
        <f>'[1]RE Dev Summary'!G49</f>
        <v>0</v>
      </c>
      <c r="I194" s="37">
        <f>'[1]RE Dev Summary'!H49</f>
        <v>0</v>
      </c>
      <c r="J194" s="37">
        <f>'[1]RE Dev Summary'!I49</f>
        <v>0</v>
      </c>
      <c r="K194" s="37">
        <f>'[1]RE Dev Summary'!J49</f>
        <v>0</v>
      </c>
      <c r="L194" s="37">
        <f>'[1]RE Dev Summary'!K49</f>
        <v>0</v>
      </c>
      <c r="M194" s="37">
        <f>'[1]RE Dev Summary'!L49</f>
        <v>0</v>
      </c>
      <c r="N194" s="37">
        <f>'[1]RE Dev Summary'!M49</f>
        <v>0</v>
      </c>
      <c r="O194" s="37">
        <f>'[1]RE Dev Summary'!N49</f>
        <v>0</v>
      </c>
      <c r="P194" s="37">
        <f>'[1]RE Dev Summary'!O49</f>
        <v>0</v>
      </c>
      <c r="Q194" s="37">
        <f>'[1]RE Dev Summary'!P49</f>
        <v>0</v>
      </c>
      <c r="DZ194" s="22" t="s">
        <v>2</v>
      </c>
      <c r="EA194" s="23" t="s">
        <v>1</v>
      </c>
      <c r="EB194" s="23" t="s">
        <v>1</v>
      </c>
      <c r="EC194" s="23" t="s">
        <v>1</v>
      </c>
    </row>
    <row r="195" spans="2:133" s="19" customFormat="1" hidden="1" x14ac:dyDescent="0.25">
      <c r="B195" s="67" t="s">
        <v>103</v>
      </c>
      <c r="C195" s="22" t="s">
        <v>47</v>
      </c>
      <c r="E195" s="67"/>
      <c r="F195" s="37">
        <f>'[1]Major Projects summary'!E85</f>
        <v>0</v>
      </c>
      <c r="G195" s="67"/>
      <c r="H195" s="37">
        <f>'[1]Major Projects summary'!G85</f>
        <v>0</v>
      </c>
      <c r="I195" s="37">
        <f>'[1]Major Projects summary'!H85</f>
        <v>0</v>
      </c>
      <c r="J195" s="37">
        <f>'[1]Major Projects summary'!I85</f>
        <v>0</v>
      </c>
      <c r="K195" s="37">
        <f>'[1]Major Projects summary'!J85</f>
        <v>0</v>
      </c>
      <c r="L195" s="37">
        <f>'[1]Major Projects summary'!K85</f>
        <v>0</v>
      </c>
      <c r="M195" s="37">
        <f>'[1]Major Projects summary'!L85</f>
        <v>0</v>
      </c>
      <c r="N195" s="37">
        <f>'[1]Major Projects summary'!M85</f>
        <v>0</v>
      </c>
      <c r="O195" s="37">
        <f>'[1]Major Projects summary'!N85</f>
        <v>0</v>
      </c>
      <c r="P195" s="37">
        <f>'[1]Major Projects summary'!O85</f>
        <v>0</v>
      </c>
      <c r="Q195" s="37">
        <f>'[1]Major Projects summary'!P85</f>
        <v>0</v>
      </c>
      <c r="DZ195" s="22" t="s">
        <v>2</v>
      </c>
      <c r="EA195" s="23" t="s">
        <v>1</v>
      </c>
      <c r="EB195" s="23" t="s">
        <v>1</v>
      </c>
      <c r="EC195" s="23" t="s">
        <v>1</v>
      </c>
    </row>
    <row r="196" spans="2:133" s="19" customFormat="1" hidden="1" x14ac:dyDescent="0.25">
      <c r="B196" s="67" t="s">
        <v>104</v>
      </c>
      <c r="C196" s="22" t="s">
        <v>47</v>
      </c>
      <c r="E196" s="67"/>
      <c r="F196" s="37">
        <f>'[1]Major Projects summary'!E90</f>
        <v>0</v>
      </c>
      <c r="G196" s="67"/>
      <c r="H196" s="37">
        <f>'[1]Major Projects summary'!G90</f>
        <v>0</v>
      </c>
      <c r="I196" s="37">
        <f>'[1]Major Projects summary'!H90</f>
        <v>0</v>
      </c>
      <c r="J196" s="37">
        <f>'[1]Major Projects summary'!I90</f>
        <v>0</v>
      </c>
      <c r="K196" s="37">
        <f>'[1]Major Projects summary'!J90</f>
        <v>0</v>
      </c>
      <c r="L196" s="37">
        <f>'[1]Major Projects summary'!K90</f>
        <v>0</v>
      </c>
      <c r="M196" s="37">
        <f>'[1]Major Projects summary'!L90</f>
        <v>0</v>
      </c>
      <c r="N196" s="37">
        <f>'[1]Major Projects summary'!M90</f>
        <v>0</v>
      </c>
      <c r="O196" s="37">
        <f>'[1]Major Projects summary'!N90</f>
        <v>0</v>
      </c>
      <c r="P196" s="37">
        <f>'[1]Major Projects summary'!O90</f>
        <v>0</v>
      </c>
      <c r="Q196" s="37">
        <f>'[1]Major Projects summary'!P90</f>
        <v>0</v>
      </c>
      <c r="DZ196" s="22" t="s">
        <v>2</v>
      </c>
      <c r="EA196" s="23" t="s">
        <v>1</v>
      </c>
      <c r="EB196" s="23" t="s">
        <v>1</v>
      </c>
      <c r="EC196" s="23" t="s">
        <v>1</v>
      </c>
    </row>
    <row r="197" spans="2:133" s="19" customFormat="1" hidden="1" x14ac:dyDescent="0.25">
      <c r="B197" s="67" t="s">
        <v>105</v>
      </c>
      <c r="C197" s="22" t="s">
        <v>47</v>
      </c>
      <c r="E197" s="67"/>
      <c r="F197" s="52">
        <f>ROUND(F192-SUM(F193:F196),0)</f>
        <v>0</v>
      </c>
      <c r="G197" s="67"/>
      <c r="H197" s="52">
        <f t="shared" ref="H197:Q197" si="101">ROUND(H192-SUM(H193:H196),0)</f>
        <v>0</v>
      </c>
      <c r="I197" s="52">
        <f t="shared" si="101"/>
        <v>0</v>
      </c>
      <c r="J197" s="52">
        <f t="shared" si="101"/>
        <v>0</v>
      </c>
      <c r="K197" s="52">
        <f t="shared" si="101"/>
        <v>0</v>
      </c>
      <c r="L197" s="52">
        <f t="shared" si="101"/>
        <v>0</v>
      </c>
      <c r="M197" s="52">
        <f t="shared" si="101"/>
        <v>0</v>
      </c>
      <c r="N197" s="52">
        <f t="shared" si="101"/>
        <v>0</v>
      </c>
      <c r="O197" s="52">
        <f t="shared" si="101"/>
        <v>0</v>
      </c>
      <c r="P197" s="52">
        <f t="shared" si="101"/>
        <v>0</v>
      </c>
      <c r="Q197" s="52">
        <f t="shared" si="101"/>
        <v>0</v>
      </c>
      <c r="DZ197" s="22" t="s">
        <v>2</v>
      </c>
      <c r="EA197" s="23" t="s">
        <v>1</v>
      </c>
      <c r="EB197" s="23" t="s">
        <v>1</v>
      </c>
      <c r="EC197" s="23" t="s">
        <v>1</v>
      </c>
    </row>
    <row r="198" spans="2:133" s="19" customFormat="1" hidden="1" x14ac:dyDescent="0.25">
      <c r="C198" s="22" t="s">
        <v>47</v>
      </c>
      <c r="DZ198" s="22" t="s">
        <v>2</v>
      </c>
      <c r="EA198" s="23" t="s">
        <v>1</v>
      </c>
      <c r="EB198" s="23" t="s">
        <v>1</v>
      </c>
      <c r="EC198" s="23" t="s">
        <v>1</v>
      </c>
    </row>
    <row r="199" spans="2:133" s="19" customFormat="1" hidden="1" x14ac:dyDescent="0.25">
      <c r="B199" s="19" t="str">
        <f>B12</f>
        <v>Grants &amp; Contributions provided for Operating Purposes</v>
      </c>
      <c r="C199" s="22" t="s">
        <v>47</v>
      </c>
      <c r="DZ199" s="22" t="s">
        <v>2</v>
      </c>
      <c r="EA199" s="23" t="s">
        <v>1</v>
      </c>
      <c r="EB199" s="23" t="s">
        <v>1</v>
      </c>
      <c r="EC199" s="23" t="s">
        <v>1</v>
      </c>
    </row>
    <row r="200" spans="2:133" s="19" customFormat="1" hidden="1" x14ac:dyDescent="0.25">
      <c r="B200" s="67" t="s">
        <v>99</v>
      </c>
      <c r="C200" s="22" t="s">
        <v>47</v>
      </c>
      <c r="E200" s="67"/>
      <c r="F200" s="19">
        <f>F12</f>
        <v>6931407.4399999995</v>
      </c>
      <c r="G200" s="67"/>
      <c r="H200" s="19">
        <f t="shared" ref="H200:Q200" si="102">H12</f>
        <v>7500721.5099999998</v>
      </c>
      <c r="I200" s="19">
        <f t="shared" si="102"/>
        <v>7613232.3499999996</v>
      </c>
      <c r="J200" s="19">
        <f t="shared" si="102"/>
        <v>7727430.8599999994</v>
      </c>
      <c r="K200" s="19">
        <f t="shared" si="102"/>
        <v>7843342.3199999994</v>
      </c>
      <c r="L200" s="19">
        <f t="shared" si="102"/>
        <v>7960992.4500000002</v>
      </c>
      <c r="M200" s="19">
        <f t="shared" si="102"/>
        <v>8080407.3399999999</v>
      </c>
      <c r="N200" s="19">
        <f t="shared" si="102"/>
        <v>8201613.4399999995</v>
      </c>
      <c r="O200" s="19">
        <f t="shared" si="102"/>
        <v>8324637.6200000001</v>
      </c>
      <c r="P200" s="19">
        <f t="shared" si="102"/>
        <v>8449507.1799999997</v>
      </c>
      <c r="Q200" s="19">
        <f t="shared" si="102"/>
        <v>8576249.7799999993</v>
      </c>
      <c r="DZ200" s="22" t="s">
        <v>2</v>
      </c>
      <c r="EA200" s="23" t="s">
        <v>1</v>
      </c>
      <c r="EB200" s="23" t="s">
        <v>1</v>
      </c>
      <c r="EC200" s="23" t="s">
        <v>1</v>
      </c>
    </row>
    <row r="201" spans="2:133" s="19" customFormat="1" hidden="1" x14ac:dyDescent="0.25">
      <c r="B201" s="67" t="s">
        <v>100</v>
      </c>
      <c r="C201" s="22" t="s">
        <v>47</v>
      </c>
      <c r="E201" s="67"/>
      <c r="F201" s="19">
        <f>SUMIF('[1]Budget Summary 1'!$C:$C,$A12,'[1]Budget Summary 1'!J:J)+'[1]Budget Summary 1'!J153</f>
        <v>6931407.4399999995</v>
      </c>
      <c r="G201" s="67"/>
      <c r="H201" s="19">
        <f>SUMIF('[1]Budget Summary 1'!$C:$C,$A12,'[1]Budget Summary 1'!L:L)+'[1]Budget Summary 1'!L153</f>
        <v>7500721.5099999998</v>
      </c>
      <c r="I201" s="19">
        <f>SUMIF('[1]Budget Summary 1'!$C:$C,$A12,'[1]Budget Summary 1'!M:M)+'[1]Budget Summary 1'!M153</f>
        <v>7613232.3499999996</v>
      </c>
      <c r="J201" s="19">
        <f>SUMIF('[1]Budget Summary 1'!$C:$C,$A12,'[1]Budget Summary 1'!N:N)+'[1]Budget Summary 1'!N153</f>
        <v>7727430.8599999994</v>
      </c>
      <c r="K201" s="19">
        <f>SUMIF('[1]Budget Summary 1'!$C:$C,$A12,'[1]Budget Summary 1'!O:O)+'[1]Budget Summary 1'!O153</f>
        <v>7843342.3199999994</v>
      </c>
      <c r="L201" s="19">
        <f>SUMIF('[1]Budget Summary 1'!$C:$C,$A12,'[1]Budget Summary 1'!P:P)+'[1]Budget Summary 1'!P153</f>
        <v>7960992.4500000002</v>
      </c>
      <c r="M201" s="19">
        <f>SUMIF('[1]Budget Summary 1'!$C:$C,$A12,'[1]Budget Summary 1'!Q:Q)+'[1]Budget Summary 1'!Q153</f>
        <v>8080407.3399999999</v>
      </c>
      <c r="N201" s="19">
        <f>SUMIF('[1]Budget Summary 1'!$C:$C,$A12,'[1]Budget Summary 1'!R:R)+'[1]Budget Summary 1'!R153</f>
        <v>8201613.4399999995</v>
      </c>
      <c r="O201" s="19">
        <f>SUMIF('[1]Budget Summary 1'!$C:$C,$A12,'[1]Budget Summary 1'!S:S)+'[1]Budget Summary 1'!S153</f>
        <v>8324637.6200000001</v>
      </c>
      <c r="P201" s="19">
        <f>SUMIF('[1]Budget Summary 1'!$C:$C,$A12,'[1]Budget Summary 1'!T:T)+'[1]Budget Summary 1'!T153</f>
        <v>8449507.1799999997</v>
      </c>
      <c r="Q201" s="19">
        <f>SUMIF('[1]Budget Summary 1'!$C:$C,$A12,'[1]Budget Summary 1'!U:U)+'[1]Budget Summary 1'!U153</f>
        <v>8576249.7799999993</v>
      </c>
      <c r="DZ201" s="22" t="s">
        <v>2</v>
      </c>
      <c r="EA201" s="23" t="s">
        <v>1</v>
      </c>
      <c r="EB201" s="23" t="s">
        <v>1</v>
      </c>
      <c r="EC201" s="23" t="s">
        <v>1</v>
      </c>
    </row>
    <row r="202" spans="2:133" s="19" customFormat="1" hidden="1" x14ac:dyDescent="0.25">
      <c r="B202" s="67" t="s">
        <v>71</v>
      </c>
      <c r="C202" s="22" t="s">
        <v>47</v>
      </c>
      <c r="E202" s="67"/>
      <c r="F202" s="42">
        <f>ROUND(F200-F201,0)</f>
        <v>0</v>
      </c>
      <c r="G202" s="67"/>
      <c r="H202" s="42">
        <f t="shared" ref="H202:Q202" si="103">ROUND(H200-H201,0)</f>
        <v>0</v>
      </c>
      <c r="I202" s="42">
        <f t="shared" si="103"/>
        <v>0</v>
      </c>
      <c r="J202" s="42">
        <f t="shared" si="103"/>
        <v>0</v>
      </c>
      <c r="K202" s="42">
        <f t="shared" si="103"/>
        <v>0</v>
      </c>
      <c r="L202" s="42">
        <f t="shared" si="103"/>
        <v>0</v>
      </c>
      <c r="M202" s="42">
        <f t="shared" si="103"/>
        <v>0</v>
      </c>
      <c r="N202" s="42">
        <f t="shared" si="103"/>
        <v>0</v>
      </c>
      <c r="O202" s="42">
        <f t="shared" si="103"/>
        <v>0</v>
      </c>
      <c r="P202" s="42">
        <f t="shared" si="103"/>
        <v>0</v>
      </c>
      <c r="Q202" s="42">
        <f t="shared" si="103"/>
        <v>0</v>
      </c>
      <c r="DZ202" s="22" t="s">
        <v>2</v>
      </c>
      <c r="EA202" s="23" t="s">
        <v>1</v>
      </c>
      <c r="EB202" s="23" t="s">
        <v>1</v>
      </c>
      <c r="EC202" s="23" t="s">
        <v>1</v>
      </c>
    </row>
    <row r="203" spans="2:133" s="19" customFormat="1" hidden="1" x14ac:dyDescent="0.25">
      <c r="B203" s="67" t="s">
        <v>101</v>
      </c>
      <c r="C203" s="22" t="s">
        <v>47</v>
      </c>
      <c r="E203" s="67"/>
      <c r="F203" s="37">
        <f>'[1]S94 - Plan Summary'!D9</f>
        <v>0</v>
      </c>
      <c r="G203" s="67"/>
      <c r="H203" s="37">
        <f>'[1]S94 - Plan Summary'!F9</f>
        <v>0</v>
      </c>
      <c r="I203" s="37">
        <f>'[1]S94 - Plan Summary'!G9</f>
        <v>0</v>
      </c>
      <c r="J203" s="37">
        <f>'[1]S94 - Plan Summary'!H9</f>
        <v>0</v>
      </c>
      <c r="K203" s="37">
        <f>'[1]S94 - Plan Summary'!I9</f>
        <v>0</v>
      </c>
      <c r="L203" s="37">
        <f>'[1]S94 - Plan Summary'!J9</f>
        <v>0</v>
      </c>
      <c r="M203" s="37">
        <f>'[1]S94 - Plan Summary'!K9</f>
        <v>0</v>
      </c>
      <c r="N203" s="37">
        <f>'[1]S94 - Plan Summary'!L9</f>
        <v>0</v>
      </c>
      <c r="O203" s="37">
        <f>'[1]S94 - Plan Summary'!M9</f>
        <v>0</v>
      </c>
      <c r="P203" s="37">
        <f>'[1]S94 - Plan Summary'!N9</f>
        <v>0</v>
      </c>
      <c r="Q203" s="37">
        <f>'[1]S94 - Plan Summary'!O9</f>
        <v>0</v>
      </c>
      <c r="DZ203" s="22" t="s">
        <v>2</v>
      </c>
      <c r="EA203" s="23" t="s">
        <v>1</v>
      </c>
      <c r="EB203" s="23" t="s">
        <v>1</v>
      </c>
      <c r="EC203" s="23" t="s">
        <v>1</v>
      </c>
    </row>
    <row r="204" spans="2:133" s="19" customFormat="1" hidden="1" x14ac:dyDescent="0.25">
      <c r="B204" s="67" t="s">
        <v>105</v>
      </c>
      <c r="C204" s="22" t="s">
        <v>47</v>
      </c>
      <c r="E204" s="67"/>
      <c r="F204" s="52">
        <f>ROUND(F202-SUM(F203),0)</f>
        <v>0</v>
      </c>
      <c r="G204" s="67"/>
      <c r="H204" s="52">
        <f>ROUND(H202-SUM(H203),0)</f>
        <v>0</v>
      </c>
      <c r="I204" s="52">
        <f t="shared" ref="I204:Q204" si="104">ROUND(I202-SUM(I203),0)</f>
        <v>0</v>
      </c>
      <c r="J204" s="52">
        <f t="shared" si="104"/>
        <v>0</v>
      </c>
      <c r="K204" s="52">
        <f t="shared" si="104"/>
        <v>0</v>
      </c>
      <c r="L204" s="52">
        <f t="shared" si="104"/>
        <v>0</v>
      </c>
      <c r="M204" s="52">
        <f t="shared" si="104"/>
        <v>0</v>
      </c>
      <c r="N204" s="52">
        <f t="shared" si="104"/>
        <v>0</v>
      </c>
      <c r="O204" s="52">
        <f t="shared" si="104"/>
        <v>0</v>
      </c>
      <c r="P204" s="52">
        <f t="shared" si="104"/>
        <v>0</v>
      </c>
      <c r="Q204" s="52">
        <f t="shared" si="104"/>
        <v>0</v>
      </c>
      <c r="DZ204" s="22" t="s">
        <v>2</v>
      </c>
      <c r="EA204" s="23" t="s">
        <v>1</v>
      </c>
      <c r="EB204" s="23" t="s">
        <v>1</v>
      </c>
      <c r="EC204" s="23" t="s">
        <v>1</v>
      </c>
    </row>
    <row r="205" spans="2:133" s="19" customFormat="1" hidden="1" x14ac:dyDescent="0.25">
      <c r="C205" s="22" t="s">
        <v>47</v>
      </c>
      <c r="DZ205" s="22" t="s">
        <v>2</v>
      </c>
      <c r="EA205" s="23" t="s">
        <v>1</v>
      </c>
      <c r="EB205" s="23" t="s">
        <v>1</v>
      </c>
      <c r="EC205" s="23" t="s">
        <v>1</v>
      </c>
    </row>
    <row r="206" spans="2:133" s="19" customFormat="1" hidden="1" x14ac:dyDescent="0.25">
      <c r="B206" s="19" t="str">
        <f>B13</f>
        <v>Grants &amp; Contributions provided for Capital Purposes</v>
      </c>
      <c r="C206" s="22" t="s">
        <v>47</v>
      </c>
      <c r="DZ206" s="22" t="s">
        <v>2</v>
      </c>
      <c r="EA206" s="23" t="s">
        <v>1</v>
      </c>
      <c r="EB206" s="23" t="s">
        <v>1</v>
      </c>
      <c r="EC206" s="23" t="s">
        <v>1</v>
      </c>
    </row>
    <row r="207" spans="2:133" s="19" customFormat="1" hidden="1" x14ac:dyDescent="0.25">
      <c r="B207" s="67" t="s">
        <v>99</v>
      </c>
      <c r="C207" s="22" t="s">
        <v>47</v>
      </c>
      <c r="E207" s="67"/>
      <c r="F207" s="19">
        <f>F13</f>
        <v>4465214</v>
      </c>
      <c r="G207" s="67"/>
      <c r="H207" s="19">
        <f t="shared" ref="H207:Q207" si="105">H13</f>
        <v>3006000</v>
      </c>
      <c r="I207" s="19">
        <f t="shared" si="105"/>
        <v>3036060</v>
      </c>
      <c r="J207" s="19">
        <f t="shared" si="105"/>
        <v>3081600.91</v>
      </c>
      <c r="K207" s="19">
        <f t="shared" si="105"/>
        <v>3127824.92</v>
      </c>
      <c r="L207" s="19">
        <f t="shared" si="105"/>
        <v>3174742.3</v>
      </c>
      <c r="M207" s="19">
        <f t="shared" si="105"/>
        <v>3224763.51</v>
      </c>
      <c r="N207" s="19">
        <f t="shared" si="105"/>
        <v>3275583.0300000003</v>
      </c>
      <c r="O207" s="19">
        <f t="shared" si="105"/>
        <v>3327213.81</v>
      </c>
      <c r="P207" s="19">
        <f t="shared" si="105"/>
        <v>3379668.99</v>
      </c>
      <c r="Q207" s="19">
        <f t="shared" si="105"/>
        <v>3432961.93</v>
      </c>
      <c r="DZ207" s="22" t="s">
        <v>2</v>
      </c>
      <c r="EA207" s="23" t="s">
        <v>1</v>
      </c>
      <c r="EB207" s="23" t="s">
        <v>1</v>
      </c>
      <c r="EC207" s="23" t="s">
        <v>1</v>
      </c>
    </row>
    <row r="208" spans="2:133" s="19" customFormat="1" hidden="1" x14ac:dyDescent="0.25">
      <c r="B208" s="67" t="s">
        <v>100</v>
      </c>
      <c r="C208" s="22" t="s">
        <v>47</v>
      </c>
      <c r="E208" s="67"/>
      <c r="F208" s="19">
        <f>SUMIF('[1]Budget Summary 1'!$C:$C,$A13,'[1]Budget Summary 1'!J:J)+'[1]Budget Summary 1'!J154</f>
        <v>4465214</v>
      </c>
      <c r="G208" s="67"/>
      <c r="H208" s="19">
        <f>SUMIF('[1]Budget Summary 1'!$C:$C,$A13,'[1]Budget Summary 1'!L:L)+'[1]Budget Summary 1'!L154</f>
        <v>3006000</v>
      </c>
      <c r="I208" s="19">
        <f>SUMIF('[1]Budget Summary 1'!$C:$C,$A13,'[1]Budget Summary 1'!M:M)+'[1]Budget Summary 1'!M154</f>
        <v>3036060</v>
      </c>
      <c r="J208" s="19">
        <f>SUMIF('[1]Budget Summary 1'!$C:$C,$A13,'[1]Budget Summary 1'!N:N)+'[1]Budget Summary 1'!N154</f>
        <v>3081600.91</v>
      </c>
      <c r="K208" s="19">
        <f>SUMIF('[1]Budget Summary 1'!$C:$C,$A13,'[1]Budget Summary 1'!O:O)+'[1]Budget Summary 1'!O154</f>
        <v>3127824.92</v>
      </c>
      <c r="L208" s="19">
        <f>SUMIF('[1]Budget Summary 1'!$C:$C,$A13,'[1]Budget Summary 1'!P:P)+'[1]Budget Summary 1'!P154</f>
        <v>3174742.3</v>
      </c>
      <c r="M208" s="19">
        <f>SUMIF('[1]Budget Summary 1'!$C:$C,$A13,'[1]Budget Summary 1'!Q:Q)+'[1]Budget Summary 1'!Q154</f>
        <v>3224763.51</v>
      </c>
      <c r="N208" s="19">
        <f>SUMIF('[1]Budget Summary 1'!$C:$C,$A13,'[1]Budget Summary 1'!R:R)+'[1]Budget Summary 1'!R154</f>
        <v>3275583.0300000003</v>
      </c>
      <c r="O208" s="19">
        <f>SUMIF('[1]Budget Summary 1'!$C:$C,$A13,'[1]Budget Summary 1'!S:S)+'[1]Budget Summary 1'!S154</f>
        <v>3327213.81</v>
      </c>
      <c r="P208" s="19">
        <f>SUMIF('[1]Budget Summary 1'!$C:$C,$A13,'[1]Budget Summary 1'!T:T)+'[1]Budget Summary 1'!T154</f>
        <v>3379668.99</v>
      </c>
      <c r="Q208" s="19">
        <f>SUMIF('[1]Budget Summary 1'!$C:$C,$A13,'[1]Budget Summary 1'!U:U)+'[1]Budget Summary 1'!U154</f>
        <v>3432961.93</v>
      </c>
      <c r="DZ208" s="22" t="s">
        <v>2</v>
      </c>
      <c r="EA208" s="23" t="s">
        <v>1</v>
      </c>
      <c r="EB208" s="23" t="s">
        <v>1</v>
      </c>
      <c r="EC208" s="23" t="s">
        <v>1</v>
      </c>
    </row>
    <row r="209" spans="2:133" s="19" customFormat="1" hidden="1" x14ac:dyDescent="0.25">
      <c r="B209" s="67" t="s">
        <v>71</v>
      </c>
      <c r="C209" s="22" t="s">
        <v>47</v>
      </c>
      <c r="E209" s="67"/>
      <c r="F209" s="42">
        <f>ROUND(F207-F208,0)</f>
        <v>0</v>
      </c>
      <c r="G209" s="67"/>
      <c r="H209" s="42">
        <f t="shared" ref="H209:Q209" si="106">ROUND(H207-H208,0)</f>
        <v>0</v>
      </c>
      <c r="I209" s="42">
        <f t="shared" si="106"/>
        <v>0</v>
      </c>
      <c r="J209" s="42">
        <f t="shared" si="106"/>
        <v>0</v>
      </c>
      <c r="K209" s="42">
        <f t="shared" si="106"/>
        <v>0</v>
      </c>
      <c r="L209" s="42">
        <f t="shared" si="106"/>
        <v>0</v>
      </c>
      <c r="M209" s="42">
        <f t="shared" si="106"/>
        <v>0</v>
      </c>
      <c r="N209" s="42">
        <f t="shared" si="106"/>
        <v>0</v>
      </c>
      <c r="O209" s="42">
        <f t="shared" si="106"/>
        <v>0</v>
      </c>
      <c r="P209" s="42">
        <f t="shared" si="106"/>
        <v>0</v>
      </c>
      <c r="Q209" s="42">
        <f t="shared" si="106"/>
        <v>0</v>
      </c>
      <c r="DZ209" s="22" t="s">
        <v>2</v>
      </c>
      <c r="EA209" s="23" t="s">
        <v>1</v>
      </c>
      <c r="EB209" s="23" t="s">
        <v>1</v>
      </c>
      <c r="EC209" s="23" t="s">
        <v>1</v>
      </c>
    </row>
    <row r="210" spans="2:133" s="19" customFormat="1" hidden="1" x14ac:dyDescent="0.25">
      <c r="B210" s="67" t="s">
        <v>101</v>
      </c>
      <c r="C210" s="22" t="s">
        <v>47</v>
      </c>
      <c r="E210" s="67"/>
      <c r="F210" s="37">
        <f>IF(F209=0,0,'[1]S94 - Plan Summary'!D14+'[1]S94 - Plan Summary'!D15)</f>
        <v>0</v>
      </c>
      <c r="G210" s="67"/>
      <c r="H210" s="37">
        <f>IF(H209=0,0,'[1]S94 - Plan Summary'!F14+'[1]S94 - Plan Summary'!F15)</f>
        <v>0</v>
      </c>
      <c r="I210" s="37">
        <f>IF(I209=0,0,'[1]S94 - Plan Summary'!G14+'[1]S94 - Plan Summary'!G15)</f>
        <v>0</v>
      </c>
      <c r="J210" s="37">
        <f>IF(J209=0,0,'[1]S94 - Plan Summary'!H14+'[1]S94 - Plan Summary'!H15)</f>
        <v>0</v>
      </c>
      <c r="K210" s="37">
        <f>IF(K209=0,0,'[1]S94 - Plan Summary'!I14+'[1]S94 - Plan Summary'!I15)</f>
        <v>0</v>
      </c>
      <c r="L210" s="37">
        <f>IF(L209=0,0,'[1]S94 - Plan Summary'!J14+'[1]S94 - Plan Summary'!J15)</f>
        <v>0</v>
      </c>
      <c r="M210" s="37">
        <f>IF(M209=0,0,'[1]S94 - Plan Summary'!K14+'[1]S94 - Plan Summary'!K15)</f>
        <v>0</v>
      </c>
      <c r="N210" s="37">
        <f>IF(N209=0,0,'[1]S94 - Plan Summary'!L14+'[1]S94 - Plan Summary'!L15)</f>
        <v>0</v>
      </c>
      <c r="O210" s="37">
        <f>IF(O209=0,0,'[1]S94 - Plan Summary'!M14+'[1]S94 - Plan Summary'!M15)</f>
        <v>0</v>
      </c>
      <c r="P210" s="37">
        <f>IF(P209=0,0,'[1]S94 - Plan Summary'!N14+'[1]S94 - Plan Summary'!N15)</f>
        <v>0</v>
      </c>
      <c r="Q210" s="37">
        <f>IF(Q209=0,0,'[1]S94 - Plan Summary'!O14+'[1]S94 - Plan Summary'!O15)</f>
        <v>0</v>
      </c>
      <c r="DZ210" s="22" t="s">
        <v>2</v>
      </c>
      <c r="EA210" s="23" t="s">
        <v>1</v>
      </c>
      <c r="EB210" s="23" t="s">
        <v>1</v>
      </c>
      <c r="EC210" s="23" t="s">
        <v>1</v>
      </c>
    </row>
    <row r="211" spans="2:133" s="19" customFormat="1" hidden="1" x14ac:dyDescent="0.25">
      <c r="B211" s="67" t="s">
        <v>102</v>
      </c>
      <c r="C211" s="22" t="s">
        <v>47</v>
      </c>
      <c r="E211" s="67"/>
      <c r="F211" s="37">
        <f>'[1]CAPEX Summary'!E10</f>
        <v>0</v>
      </c>
      <c r="G211" s="67"/>
      <c r="H211" s="37">
        <f>'[1]CAPEX Summary'!G10</f>
        <v>0</v>
      </c>
      <c r="I211" s="37">
        <f>'[1]CAPEX Summary'!H10</f>
        <v>0</v>
      </c>
      <c r="J211" s="37">
        <f>'[1]CAPEX Summary'!I10</f>
        <v>0</v>
      </c>
      <c r="K211" s="37">
        <f>'[1]CAPEX Summary'!J10</f>
        <v>0</v>
      </c>
      <c r="L211" s="37">
        <f>'[1]CAPEX Summary'!K10</f>
        <v>0</v>
      </c>
      <c r="M211" s="37">
        <f>'[1]CAPEX Summary'!L10</f>
        <v>0</v>
      </c>
      <c r="N211" s="37">
        <f>'[1]CAPEX Summary'!M10</f>
        <v>0</v>
      </c>
      <c r="O211" s="37">
        <f>'[1]CAPEX Summary'!N10</f>
        <v>0</v>
      </c>
      <c r="P211" s="37">
        <f>'[1]CAPEX Summary'!O10</f>
        <v>0</v>
      </c>
      <c r="Q211" s="37">
        <f>'[1]CAPEX Summary'!P10</f>
        <v>0</v>
      </c>
      <c r="DZ211" s="22" t="s">
        <v>2</v>
      </c>
      <c r="EA211" s="23" t="s">
        <v>1</v>
      </c>
      <c r="EB211" s="23" t="s">
        <v>1</v>
      </c>
      <c r="EC211" s="23" t="s">
        <v>1</v>
      </c>
    </row>
    <row r="212" spans="2:133" s="19" customFormat="1" hidden="1" x14ac:dyDescent="0.25">
      <c r="B212" s="67" t="s">
        <v>103</v>
      </c>
      <c r="C212" s="22" t="s">
        <v>47</v>
      </c>
      <c r="E212" s="67"/>
      <c r="F212" s="37">
        <f>'[1]CAPEX Summary'!E34</f>
        <v>0</v>
      </c>
      <c r="G212" s="67"/>
      <c r="H212" s="37">
        <f>'[1]CAPEX Summary'!G34</f>
        <v>0</v>
      </c>
      <c r="I212" s="37">
        <f>'[1]CAPEX Summary'!H34</f>
        <v>0</v>
      </c>
      <c r="J212" s="37">
        <f>'[1]CAPEX Summary'!I34</f>
        <v>0</v>
      </c>
      <c r="K212" s="37">
        <f>'[1]CAPEX Summary'!J34</f>
        <v>0</v>
      </c>
      <c r="L212" s="37">
        <f>'[1]CAPEX Summary'!K34</f>
        <v>0</v>
      </c>
      <c r="M212" s="37">
        <f>'[1]CAPEX Summary'!L34</f>
        <v>0</v>
      </c>
      <c r="N212" s="37">
        <f>'[1]CAPEX Summary'!M34</f>
        <v>0</v>
      </c>
      <c r="O212" s="37">
        <f>'[1]CAPEX Summary'!N34</f>
        <v>0</v>
      </c>
      <c r="P212" s="37">
        <f>'[1]CAPEX Summary'!O34</f>
        <v>0</v>
      </c>
      <c r="Q212" s="37">
        <f>'[1]CAPEX Summary'!P34</f>
        <v>0</v>
      </c>
      <c r="DZ212" s="22" t="s">
        <v>2</v>
      </c>
      <c r="EA212" s="23" t="s">
        <v>1</v>
      </c>
      <c r="EB212" s="23" t="s">
        <v>1</v>
      </c>
      <c r="EC212" s="23" t="s">
        <v>1</v>
      </c>
    </row>
    <row r="213" spans="2:133" s="19" customFormat="1" hidden="1" x14ac:dyDescent="0.25">
      <c r="B213" s="67" t="s">
        <v>104</v>
      </c>
      <c r="C213" s="22" t="s">
        <v>47</v>
      </c>
      <c r="E213" s="67"/>
      <c r="F213" s="37">
        <f>'[1]CAPEX Summary'!E33</f>
        <v>0</v>
      </c>
      <c r="G213" s="67"/>
      <c r="H213" s="37">
        <f>'[1]CAPEX Summary'!G33</f>
        <v>0</v>
      </c>
      <c r="I213" s="37">
        <f>'[1]CAPEX Summary'!H33</f>
        <v>0</v>
      </c>
      <c r="J213" s="37">
        <f>'[1]CAPEX Summary'!I33</f>
        <v>0</v>
      </c>
      <c r="K213" s="37">
        <f>'[1]CAPEX Summary'!J33</f>
        <v>0</v>
      </c>
      <c r="L213" s="37">
        <f>'[1]CAPEX Summary'!K33</f>
        <v>0</v>
      </c>
      <c r="M213" s="37">
        <f>'[1]CAPEX Summary'!L33</f>
        <v>0</v>
      </c>
      <c r="N213" s="37">
        <f>'[1]CAPEX Summary'!M33</f>
        <v>0</v>
      </c>
      <c r="O213" s="37">
        <f>'[1]CAPEX Summary'!N33</f>
        <v>0</v>
      </c>
      <c r="P213" s="37">
        <f>'[1]CAPEX Summary'!O33</f>
        <v>0</v>
      </c>
      <c r="Q213" s="37">
        <f>'[1]CAPEX Summary'!P33</f>
        <v>0</v>
      </c>
      <c r="DZ213" s="22" t="s">
        <v>2</v>
      </c>
      <c r="EA213" s="23" t="s">
        <v>1</v>
      </c>
      <c r="EB213" s="23" t="s">
        <v>1</v>
      </c>
      <c r="EC213" s="23" t="s">
        <v>1</v>
      </c>
    </row>
    <row r="214" spans="2:133" s="19" customFormat="1" hidden="1" x14ac:dyDescent="0.25">
      <c r="B214" s="67" t="s">
        <v>108</v>
      </c>
      <c r="C214" s="22" t="s">
        <v>47</v>
      </c>
      <c r="E214" s="67"/>
      <c r="F214" s="37">
        <f>'[1]Major Projects summary'!E11</f>
        <v>0</v>
      </c>
      <c r="G214" s="67"/>
      <c r="H214" s="37">
        <f>'[1]Major Projects summary'!G11</f>
        <v>0</v>
      </c>
      <c r="I214" s="37">
        <f>'[1]Major Projects summary'!H11</f>
        <v>0</v>
      </c>
      <c r="J214" s="37">
        <f>'[1]Major Projects summary'!I11</f>
        <v>0</v>
      </c>
      <c r="K214" s="37">
        <f>'[1]Major Projects summary'!J11</f>
        <v>0</v>
      </c>
      <c r="L214" s="37">
        <f>'[1]Major Projects summary'!K11</f>
        <v>0</v>
      </c>
      <c r="M214" s="37">
        <f>'[1]Major Projects summary'!L11</f>
        <v>0</v>
      </c>
      <c r="N214" s="37">
        <f>'[1]Major Projects summary'!M11</f>
        <v>0</v>
      </c>
      <c r="O214" s="37">
        <f>'[1]Major Projects summary'!N11</f>
        <v>0</v>
      </c>
      <c r="P214" s="37">
        <f>'[1]Major Projects summary'!O11</f>
        <v>0</v>
      </c>
      <c r="Q214" s="37">
        <f>'[1]Major Projects summary'!P11</f>
        <v>0</v>
      </c>
      <c r="DZ214" s="22" t="s">
        <v>2</v>
      </c>
      <c r="EA214" s="23" t="s">
        <v>1</v>
      </c>
      <c r="EB214" s="23" t="s">
        <v>1</v>
      </c>
      <c r="EC214" s="23" t="s">
        <v>1</v>
      </c>
    </row>
    <row r="215" spans="2:133" s="19" customFormat="1" hidden="1" x14ac:dyDescent="0.25">
      <c r="B215" s="67" t="s">
        <v>105</v>
      </c>
      <c r="C215" s="22" t="s">
        <v>47</v>
      </c>
      <c r="E215" s="67"/>
      <c r="F215" s="52">
        <f>ROUND(F209-SUM(F210:F214),0)</f>
        <v>0</v>
      </c>
      <c r="G215" s="67"/>
      <c r="H215" s="52">
        <f t="shared" ref="H215:Q215" si="107">ROUND(H209-SUM(H210:H214),0)</f>
        <v>0</v>
      </c>
      <c r="I215" s="52">
        <f t="shared" si="107"/>
        <v>0</v>
      </c>
      <c r="J215" s="52">
        <f t="shared" si="107"/>
        <v>0</v>
      </c>
      <c r="K215" s="52">
        <f t="shared" si="107"/>
        <v>0</v>
      </c>
      <c r="L215" s="52">
        <f t="shared" si="107"/>
        <v>0</v>
      </c>
      <c r="M215" s="52">
        <f t="shared" si="107"/>
        <v>0</v>
      </c>
      <c r="N215" s="52">
        <f t="shared" si="107"/>
        <v>0</v>
      </c>
      <c r="O215" s="52">
        <f t="shared" si="107"/>
        <v>0</v>
      </c>
      <c r="P215" s="52">
        <f t="shared" si="107"/>
        <v>0</v>
      </c>
      <c r="Q215" s="52">
        <f t="shared" si="107"/>
        <v>0</v>
      </c>
      <c r="DZ215" s="22" t="s">
        <v>2</v>
      </c>
      <c r="EA215" s="23" t="s">
        <v>1</v>
      </c>
      <c r="EB215" s="23" t="s">
        <v>1</v>
      </c>
      <c r="EC215" s="23" t="s">
        <v>1</v>
      </c>
    </row>
    <row r="216" spans="2:133" s="19" customFormat="1" hidden="1" x14ac:dyDescent="0.25">
      <c r="C216" s="22" t="s">
        <v>47</v>
      </c>
      <c r="DZ216" s="22" t="s">
        <v>2</v>
      </c>
      <c r="EA216" s="23" t="s">
        <v>1</v>
      </c>
      <c r="EB216" s="23" t="s">
        <v>1</v>
      </c>
      <c r="EC216" s="23" t="s">
        <v>1</v>
      </c>
    </row>
    <row r="217" spans="2:133" s="19" customFormat="1" hidden="1" x14ac:dyDescent="0.25">
      <c r="B217" s="19" t="str">
        <f>B15</f>
        <v>Net gains from the disposal of assets</v>
      </c>
      <c r="C217" s="22" t="s">
        <v>47</v>
      </c>
      <c r="DZ217" s="22" t="s">
        <v>2</v>
      </c>
      <c r="EA217" s="23" t="s">
        <v>1</v>
      </c>
      <c r="EB217" s="23" t="s">
        <v>1</v>
      </c>
      <c r="EC217" s="23" t="s">
        <v>1</v>
      </c>
    </row>
    <row r="218" spans="2:133" s="19" customFormat="1" hidden="1" x14ac:dyDescent="0.25">
      <c r="B218" s="67" t="s">
        <v>99</v>
      </c>
      <c r="C218" s="22" t="s">
        <v>47</v>
      </c>
      <c r="E218" s="67"/>
      <c r="F218" s="19">
        <f>F15</f>
        <v>335000</v>
      </c>
      <c r="G218" s="67"/>
      <c r="H218" s="19">
        <f t="shared" ref="H218:Q218" si="108">H15</f>
        <v>0</v>
      </c>
      <c r="I218" s="19">
        <f t="shared" si="108"/>
        <v>0</v>
      </c>
      <c r="J218" s="19">
        <f t="shared" si="108"/>
        <v>0</v>
      </c>
      <c r="K218" s="19">
        <f t="shared" si="108"/>
        <v>0</v>
      </c>
      <c r="L218" s="19">
        <f t="shared" si="108"/>
        <v>0</v>
      </c>
      <c r="M218" s="19">
        <f t="shared" si="108"/>
        <v>0</v>
      </c>
      <c r="N218" s="19">
        <f t="shared" si="108"/>
        <v>0</v>
      </c>
      <c r="O218" s="19">
        <f t="shared" si="108"/>
        <v>0</v>
      </c>
      <c r="P218" s="19">
        <f t="shared" si="108"/>
        <v>0</v>
      </c>
      <c r="Q218" s="19">
        <f t="shared" si="108"/>
        <v>0</v>
      </c>
      <c r="DZ218" s="22" t="s">
        <v>2</v>
      </c>
      <c r="EA218" s="23" t="s">
        <v>1</v>
      </c>
      <c r="EB218" s="23" t="s">
        <v>1</v>
      </c>
      <c r="EC218" s="23" t="s">
        <v>1</v>
      </c>
    </row>
    <row r="219" spans="2:133" s="19" customFormat="1" hidden="1" x14ac:dyDescent="0.25">
      <c r="B219" s="67" t="s">
        <v>100</v>
      </c>
      <c r="C219" s="22" t="s">
        <v>47</v>
      </c>
      <c r="E219" s="67"/>
      <c r="F219" s="24">
        <f>IF(F218=0,0,SUMIF('[1]Budget Summary 1'!$C:$C,$A15,'[1]Budget Summary 1'!J:J)-SUMIF('[1]Budget Summary 1'!$C:$C,$A27,'[1]Budget Summary 1'!J:J))</f>
        <v>335000</v>
      </c>
      <c r="G219" s="67"/>
      <c r="H219" s="24">
        <f>IF(H218=0,0,SUMIF('[1]Budget Summary 1'!$C:$C,$A15,'[1]Budget Summary 1'!L:L)-SUMIF('[1]Budget Summary 1'!$C:$C,$A27,'[1]Budget Summary 1'!L:L))</f>
        <v>0</v>
      </c>
      <c r="I219" s="24">
        <f>IF(I218=0,0,SUMIF('[1]Budget Summary 1'!$C:$C,$A15,'[1]Budget Summary 1'!M:M)-SUMIF('[1]Budget Summary 1'!$C:$C,$A27,'[1]Budget Summary 1'!M:M))</f>
        <v>0</v>
      </c>
      <c r="J219" s="24">
        <f>IF(J218=0,0,SUMIF('[1]Budget Summary 1'!$C:$C,$A15,'[1]Budget Summary 1'!N:N)-SUMIF('[1]Budget Summary 1'!$C:$C,$A27,'[1]Budget Summary 1'!N:N))</f>
        <v>0</v>
      </c>
      <c r="K219" s="24">
        <f>IF(K218=0,0,SUMIF('[1]Budget Summary 1'!$C:$C,$A15,'[1]Budget Summary 1'!O:O)-SUMIF('[1]Budget Summary 1'!$C:$C,$A27,'[1]Budget Summary 1'!O:O))</f>
        <v>0</v>
      </c>
      <c r="L219" s="24">
        <f>IF(L218=0,0,SUMIF('[1]Budget Summary 1'!$C:$C,$A15,'[1]Budget Summary 1'!P:P)-SUMIF('[1]Budget Summary 1'!$C:$C,$A27,'[1]Budget Summary 1'!P:P))</f>
        <v>0</v>
      </c>
      <c r="M219" s="24">
        <f>IF(M218=0,0,SUMIF('[1]Budget Summary 1'!$C:$C,$A15,'[1]Budget Summary 1'!Q:Q)-SUMIF('[1]Budget Summary 1'!$C:$C,$A27,'[1]Budget Summary 1'!Q:Q))</f>
        <v>0</v>
      </c>
      <c r="N219" s="24">
        <f>IF(N218=0,0,SUMIF('[1]Budget Summary 1'!$C:$C,$A15,'[1]Budget Summary 1'!R:R)-SUMIF('[1]Budget Summary 1'!$C:$C,$A27,'[1]Budget Summary 1'!R:R))</f>
        <v>0</v>
      </c>
      <c r="O219" s="24">
        <f>IF(O218=0,0,SUMIF('[1]Budget Summary 1'!$C:$C,$A15,'[1]Budget Summary 1'!S:S)-SUMIF('[1]Budget Summary 1'!$C:$C,$A27,'[1]Budget Summary 1'!S:S))</f>
        <v>0</v>
      </c>
      <c r="P219" s="24">
        <f>IF(P218=0,0,SUMIF('[1]Budget Summary 1'!$C:$C,$A15,'[1]Budget Summary 1'!T:T)-SUMIF('[1]Budget Summary 1'!$C:$C,$A27,'[1]Budget Summary 1'!T:T))</f>
        <v>0</v>
      </c>
      <c r="Q219" s="24">
        <f>IF(Q218=0,0,SUMIF('[1]Budget Summary 1'!$C:$C,$A15,'[1]Budget Summary 1'!U:U)-SUMIF('[1]Budget Summary 1'!$C:$C,$A27,'[1]Budget Summary 1'!U:U))</f>
        <v>0</v>
      </c>
      <c r="DZ219" s="22" t="s">
        <v>2</v>
      </c>
      <c r="EA219" s="23" t="s">
        <v>1</v>
      </c>
      <c r="EB219" s="23" t="s">
        <v>1</v>
      </c>
      <c r="EC219" s="23" t="s">
        <v>1</v>
      </c>
    </row>
    <row r="220" spans="2:133" s="19" customFormat="1" hidden="1" x14ac:dyDescent="0.25">
      <c r="B220" s="67" t="s">
        <v>71</v>
      </c>
      <c r="C220" s="22" t="s">
        <v>47</v>
      </c>
      <c r="E220" s="67"/>
      <c r="F220" s="42">
        <f>ROUND(F218-F219,0)</f>
        <v>0</v>
      </c>
      <c r="G220" s="67"/>
      <c r="H220" s="42">
        <f t="shared" ref="H220:Q220" si="109">ROUND(H218-H219,0)</f>
        <v>0</v>
      </c>
      <c r="I220" s="42">
        <f t="shared" si="109"/>
        <v>0</v>
      </c>
      <c r="J220" s="42">
        <f t="shared" si="109"/>
        <v>0</v>
      </c>
      <c r="K220" s="42">
        <f t="shared" si="109"/>
        <v>0</v>
      </c>
      <c r="L220" s="42">
        <f t="shared" si="109"/>
        <v>0</v>
      </c>
      <c r="M220" s="42">
        <f t="shared" si="109"/>
        <v>0</v>
      </c>
      <c r="N220" s="42">
        <f t="shared" si="109"/>
        <v>0</v>
      </c>
      <c r="O220" s="42">
        <f t="shared" si="109"/>
        <v>0</v>
      </c>
      <c r="P220" s="42">
        <f t="shared" si="109"/>
        <v>0</v>
      </c>
      <c r="Q220" s="42">
        <f t="shared" si="109"/>
        <v>0</v>
      </c>
      <c r="DZ220" s="22" t="s">
        <v>2</v>
      </c>
      <c r="EA220" s="23" t="s">
        <v>1</v>
      </c>
      <c r="EB220" s="23" t="s">
        <v>1</v>
      </c>
      <c r="EC220" s="23" t="s">
        <v>1</v>
      </c>
    </row>
    <row r="221" spans="2:133" s="19" customFormat="1" hidden="1" x14ac:dyDescent="0.25">
      <c r="B221" s="67" t="s">
        <v>101</v>
      </c>
      <c r="C221" s="22" t="s">
        <v>47</v>
      </c>
      <c r="E221" s="67"/>
      <c r="F221" s="37">
        <f>+IF(('[1]BS workings'!E439+'[1]BS workings'!E552+'[1]BS workings'!E579+'[1]BS workings'!E600+'[1]BS workings'!E632)&gt;0,('[1]BS workings'!E439),0)</f>
        <v>0</v>
      </c>
      <c r="G221" s="67"/>
      <c r="H221" s="37">
        <f>+IF(('[1]BS workings'!G439+'[1]BS workings'!G552+'[1]BS workings'!G579+'[1]BS workings'!G600+'[1]BS workings'!G632)&gt;0,('[1]BS workings'!G439),0)</f>
        <v>0</v>
      </c>
      <c r="I221" s="37">
        <f>+IF(('[1]BS workings'!H439+'[1]BS workings'!H552+'[1]BS workings'!H579+'[1]BS workings'!H600+'[1]BS workings'!H632)&gt;0,('[1]BS workings'!H439),0)</f>
        <v>0</v>
      </c>
      <c r="J221" s="37">
        <f>+IF(('[1]BS workings'!I439+'[1]BS workings'!I552+'[1]BS workings'!I579+'[1]BS workings'!I600+'[1]BS workings'!I632)&gt;0,('[1]BS workings'!I439),0)</f>
        <v>0</v>
      </c>
      <c r="K221" s="37">
        <f>+IF(('[1]BS workings'!J439+'[1]BS workings'!J552+'[1]BS workings'!J579+'[1]BS workings'!J600+'[1]BS workings'!J632)&gt;0,('[1]BS workings'!J439),0)</f>
        <v>0</v>
      </c>
      <c r="L221" s="37">
        <f>+IF(('[1]BS workings'!K439+'[1]BS workings'!K552+'[1]BS workings'!K579+'[1]BS workings'!K600+'[1]BS workings'!K632)&gt;0,('[1]BS workings'!K439),0)</f>
        <v>0</v>
      </c>
      <c r="M221" s="37">
        <f>+IF(('[1]BS workings'!L439+'[1]BS workings'!L552+'[1]BS workings'!L579+'[1]BS workings'!L600+'[1]BS workings'!L632)&gt;0,('[1]BS workings'!L439),0)</f>
        <v>0</v>
      </c>
      <c r="N221" s="37">
        <f>+IF(('[1]BS workings'!M439+'[1]BS workings'!M552+'[1]BS workings'!M579+'[1]BS workings'!M600+'[1]BS workings'!M632)&gt;0,('[1]BS workings'!M439),0)</f>
        <v>0</v>
      </c>
      <c r="O221" s="37">
        <f>+IF(('[1]BS workings'!N439+'[1]BS workings'!N552+'[1]BS workings'!N579+'[1]BS workings'!N600+'[1]BS workings'!N632)&gt;0,('[1]BS workings'!N439),0)</f>
        <v>0</v>
      </c>
      <c r="P221" s="37">
        <f>+IF(('[1]BS workings'!O439+'[1]BS workings'!O552+'[1]BS workings'!O579+'[1]BS workings'!O600+'[1]BS workings'!O632)&gt;0,('[1]BS workings'!O439),0)</f>
        <v>0</v>
      </c>
      <c r="Q221" s="37">
        <f>+IF(('[1]BS workings'!P439+'[1]BS workings'!P552+'[1]BS workings'!P579+'[1]BS workings'!P600+'[1]BS workings'!P632)&gt;0,('[1]BS workings'!P439),0)</f>
        <v>0</v>
      </c>
      <c r="DZ221" s="22" t="s">
        <v>2</v>
      </c>
      <c r="EA221" s="23" t="s">
        <v>1</v>
      </c>
      <c r="EB221" s="23" t="s">
        <v>1</v>
      </c>
      <c r="EC221" s="23" t="s">
        <v>1</v>
      </c>
    </row>
    <row r="222" spans="2:133" s="19" customFormat="1" hidden="1" x14ac:dyDescent="0.25">
      <c r="B222" s="67" t="s">
        <v>102</v>
      </c>
      <c r="C222" s="22" t="s">
        <v>47</v>
      </c>
      <c r="E222" s="67"/>
      <c r="F222" s="37">
        <f>+IF(('[1]BS workings'!E439+'[1]BS workings'!E552+'[1]BS workings'!E579+'[1]BS workings'!E600+'[1]BS workings'!E632)&gt;0,('[1]BS workings'!E552),0)</f>
        <v>0</v>
      </c>
      <c r="G222" s="67"/>
      <c r="H222" s="37">
        <f>+IF(('[1]BS workings'!G439+'[1]BS workings'!G552+'[1]BS workings'!G579+'[1]BS workings'!G600+'[1]BS workings'!G632)&gt;0,('[1]BS workings'!G552),0)</f>
        <v>0</v>
      </c>
      <c r="I222" s="37">
        <f>+IF(('[1]BS workings'!H439+'[1]BS workings'!H552+'[1]BS workings'!H579+'[1]BS workings'!H600+'[1]BS workings'!H632)&gt;0,('[1]BS workings'!H552),0)</f>
        <v>0</v>
      </c>
      <c r="J222" s="37">
        <f>+IF(('[1]BS workings'!I439+'[1]BS workings'!I552+'[1]BS workings'!I579+'[1]BS workings'!I600+'[1]BS workings'!I632)&gt;0,('[1]BS workings'!I552),0)</f>
        <v>0</v>
      </c>
      <c r="K222" s="37">
        <f>+IF(('[1]BS workings'!J439+'[1]BS workings'!J552+'[1]BS workings'!J579+'[1]BS workings'!J600+'[1]BS workings'!J632)&gt;0,('[1]BS workings'!J552),0)</f>
        <v>0</v>
      </c>
      <c r="L222" s="37">
        <f>+IF(('[1]BS workings'!K439+'[1]BS workings'!K552+'[1]BS workings'!K579+'[1]BS workings'!K600+'[1]BS workings'!K632)&gt;0,('[1]BS workings'!K552),0)</f>
        <v>0</v>
      </c>
      <c r="M222" s="37">
        <f>+IF(('[1]BS workings'!L439+'[1]BS workings'!L552+'[1]BS workings'!L579+'[1]BS workings'!L600+'[1]BS workings'!L632)&gt;0,('[1]BS workings'!L552),0)</f>
        <v>0</v>
      </c>
      <c r="N222" s="37">
        <f>+IF(('[1]BS workings'!M439+'[1]BS workings'!M552+'[1]BS workings'!M579+'[1]BS workings'!M600+'[1]BS workings'!M632)&gt;0,('[1]BS workings'!M552),0)</f>
        <v>0</v>
      </c>
      <c r="O222" s="37">
        <f>+IF(('[1]BS workings'!N439+'[1]BS workings'!N552+'[1]BS workings'!N579+'[1]BS workings'!N600+'[1]BS workings'!N632)&gt;0,('[1]BS workings'!N552),0)</f>
        <v>0</v>
      </c>
      <c r="P222" s="37">
        <f>+IF(('[1]BS workings'!O439+'[1]BS workings'!O552+'[1]BS workings'!O579+'[1]BS workings'!O600+'[1]BS workings'!O632)&gt;0,('[1]BS workings'!O552),0)</f>
        <v>0</v>
      </c>
      <c r="Q222" s="37">
        <f>+IF(('[1]BS workings'!P439+'[1]BS workings'!P552+'[1]BS workings'!P579+'[1]BS workings'!P600+'[1]BS workings'!P632)&gt;0,('[1]BS workings'!P552),0)</f>
        <v>0</v>
      </c>
      <c r="DZ222" s="22" t="s">
        <v>2</v>
      </c>
      <c r="EA222" s="23" t="s">
        <v>1</v>
      </c>
      <c r="EB222" s="23" t="s">
        <v>1</v>
      </c>
      <c r="EC222" s="23" t="s">
        <v>1</v>
      </c>
    </row>
    <row r="223" spans="2:133" s="19" customFormat="1" hidden="1" x14ac:dyDescent="0.25">
      <c r="B223" s="67" t="s">
        <v>103</v>
      </c>
      <c r="C223" s="22" t="s">
        <v>47</v>
      </c>
      <c r="E223" s="67"/>
      <c r="F223" s="37">
        <f>'[1]Assets - Disposals &amp; Transfers'!E245</f>
        <v>0</v>
      </c>
      <c r="G223" s="67"/>
      <c r="H223" s="37">
        <f>'[1]Assets - Disposals &amp; Transfers'!G245</f>
        <v>0</v>
      </c>
      <c r="I223" s="37">
        <f>'[1]Assets - Disposals &amp; Transfers'!H245</f>
        <v>0</v>
      </c>
      <c r="J223" s="37">
        <f>'[1]Assets - Disposals &amp; Transfers'!I245</f>
        <v>0</v>
      </c>
      <c r="K223" s="37">
        <f>'[1]Assets - Disposals &amp; Transfers'!J245</f>
        <v>0</v>
      </c>
      <c r="L223" s="37">
        <f>'[1]Assets - Disposals &amp; Transfers'!K245</f>
        <v>0</v>
      </c>
      <c r="M223" s="37">
        <f>'[1]Assets - Disposals &amp; Transfers'!L245</f>
        <v>0</v>
      </c>
      <c r="N223" s="37">
        <f>'[1]Assets - Disposals &amp; Transfers'!M245</f>
        <v>0</v>
      </c>
      <c r="O223" s="37">
        <f>'[1]Assets - Disposals &amp; Transfers'!N245</f>
        <v>0</v>
      </c>
      <c r="P223" s="37">
        <f>'[1]Assets - Disposals &amp; Transfers'!O245</f>
        <v>0</v>
      </c>
      <c r="Q223" s="37">
        <f>'[1]Assets - Disposals &amp; Transfers'!P245</f>
        <v>0</v>
      </c>
      <c r="DZ223" s="22" t="s">
        <v>2</v>
      </c>
      <c r="EA223" s="23" t="s">
        <v>1</v>
      </c>
      <c r="EB223" s="23" t="s">
        <v>1</v>
      </c>
      <c r="EC223" s="23" t="s">
        <v>1</v>
      </c>
    </row>
    <row r="224" spans="2:133" s="19" customFormat="1" hidden="1" x14ac:dyDescent="0.25">
      <c r="B224" s="67" t="s">
        <v>104</v>
      </c>
      <c r="C224" s="22" t="s">
        <v>47</v>
      </c>
      <c r="E224" s="67"/>
      <c r="F224" s="37">
        <f>+IF(('[1]BS workings'!E439+'[1]BS workings'!E552+'[1]BS workings'!E579+'[1]BS workings'!E600+'[1]BS workings'!E632)&gt;0,('[1]BS workings'!E600),0)</f>
        <v>0</v>
      </c>
      <c r="G224" s="67"/>
      <c r="H224" s="37">
        <f>+IF(('[1]BS workings'!G439+'[1]BS workings'!G552+'[1]BS workings'!G579+'[1]BS workings'!G600+'[1]BS workings'!G632)&gt;0,('[1]BS workings'!G600),0)</f>
        <v>0</v>
      </c>
      <c r="I224" s="37">
        <f>+IF(('[1]BS workings'!H439+'[1]BS workings'!H552+'[1]BS workings'!H579+'[1]BS workings'!H600+'[1]BS workings'!H632)&gt;0,('[1]BS workings'!H600),0)</f>
        <v>0</v>
      </c>
      <c r="J224" s="37">
        <f>+IF(('[1]BS workings'!I439+'[1]BS workings'!I552+'[1]BS workings'!I579+'[1]BS workings'!I600+'[1]BS workings'!I632)&gt;0,('[1]BS workings'!I600),0)</f>
        <v>0</v>
      </c>
      <c r="K224" s="37">
        <f>+IF(('[1]BS workings'!J439+'[1]BS workings'!J552+'[1]BS workings'!J579+'[1]BS workings'!J600+'[1]BS workings'!J632)&gt;0,('[1]BS workings'!J600),0)</f>
        <v>0</v>
      </c>
      <c r="L224" s="37">
        <f>+IF(('[1]BS workings'!K439+'[1]BS workings'!K552+'[1]BS workings'!K579+'[1]BS workings'!K600+'[1]BS workings'!K632)&gt;0,('[1]BS workings'!K600),0)</f>
        <v>0</v>
      </c>
      <c r="M224" s="37">
        <f>+IF(('[1]BS workings'!L439+'[1]BS workings'!L552+'[1]BS workings'!L579+'[1]BS workings'!L600+'[1]BS workings'!L632)&gt;0,('[1]BS workings'!L600),0)</f>
        <v>0</v>
      </c>
      <c r="N224" s="37">
        <f>+IF(('[1]BS workings'!M439+'[1]BS workings'!M552+'[1]BS workings'!M579+'[1]BS workings'!M600+'[1]BS workings'!M632)&gt;0,('[1]BS workings'!M600),0)</f>
        <v>0</v>
      </c>
      <c r="O224" s="37">
        <f>+IF(('[1]BS workings'!N439+'[1]BS workings'!N552+'[1]BS workings'!N579+'[1]BS workings'!N600+'[1]BS workings'!N632)&gt;0,('[1]BS workings'!N600),0)</f>
        <v>0</v>
      </c>
      <c r="P224" s="37">
        <f>+IF(('[1]BS workings'!O439+'[1]BS workings'!O552+'[1]BS workings'!O579+'[1]BS workings'!O600+'[1]BS workings'!O632)&gt;0,('[1]BS workings'!O600),0)</f>
        <v>0</v>
      </c>
      <c r="Q224" s="37">
        <f>+IF(('[1]BS workings'!P439+'[1]BS workings'!P552+'[1]BS workings'!P579+'[1]BS workings'!P600+'[1]BS workings'!P632)&gt;0,('[1]BS workings'!P600),0)</f>
        <v>0</v>
      </c>
      <c r="DZ224" s="22" t="s">
        <v>2</v>
      </c>
      <c r="EA224" s="23" t="s">
        <v>1</v>
      </c>
      <c r="EB224" s="23" t="s">
        <v>1</v>
      </c>
      <c r="EC224" s="23" t="s">
        <v>1</v>
      </c>
    </row>
    <row r="225" spans="2:133 16382:16382" s="19" customFormat="1" hidden="1" x14ac:dyDescent="0.25">
      <c r="B225" s="67" t="s">
        <v>108</v>
      </c>
      <c r="C225" s="22" t="s">
        <v>47</v>
      </c>
      <c r="E225" s="67"/>
      <c r="F225" s="37">
        <f>+IF(('[1]BS workings'!E439+'[1]BS workings'!E552+'[1]BS workings'!E579+'[1]BS workings'!E600+'[1]BS workings'!E632)&gt;0,('[1]BS workings'!E632),0)</f>
        <v>0</v>
      </c>
      <c r="G225" s="67"/>
      <c r="H225" s="37">
        <f>+IF(('[1]BS workings'!G439+'[1]BS workings'!G552+'[1]BS workings'!G579+'[1]BS workings'!G600+'[1]BS workings'!G632)&gt;0,('[1]BS workings'!G632),0)</f>
        <v>0</v>
      </c>
      <c r="I225" s="37">
        <f>+IF(('[1]BS workings'!H439+'[1]BS workings'!H552+'[1]BS workings'!H579+'[1]BS workings'!H600+'[1]BS workings'!H632)&gt;0,('[1]BS workings'!H632),0)</f>
        <v>0</v>
      </c>
      <c r="J225" s="37">
        <f>+IF(('[1]BS workings'!I439+'[1]BS workings'!I552+'[1]BS workings'!I579+'[1]BS workings'!I600+'[1]BS workings'!I632)&gt;0,('[1]BS workings'!I632),0)</f>
        <v>0</v>
      </c>
      <c r="K225" s="37">
        <f>+IF(('[1]BS workings'!J439+'[1]BS workings'!J552+'[1]BS workings'!J579+'[1]BS workings'!J600+'[1]BS workings'!J632)&gt;0,('[1]BS workings'!J632),0)</f>
        <v>0</v>
      </c>
      <c r="L225" s="37">
        <f>+IF(('[1]BS workings'!K439+'[1]BS workings'!K552+'[1]BS workings'!K579+'[1]BS workings'!K600+'[1]BS workings'!K632)&gt;0,('[1]BS workings'!K632),0)</f>
        <v>0</v>
      </c>
      <c r="M225" s="37">
        <f>+IF(('[1]BS workings'!L439+'[1]BS workings'!L552+'[1]BS workings'!L579+'[1]BS workings'!L600+'[1]BS workings'!L632)&gt;0,('[1]BS workings'!L632),0)</f>
        <v>0</v>
      </c>
      <c r="N225" s="37">
        <f>+IF(('[1]BS workings'!M439+'[1]BS workings'!M552+'[1]BS workings'!M579+'[1]BS workings'!M600+'[1]BS workings'!M632)&gt;0,('[1]BS workings'!M632),0)</f>
        <v>0</v>
      </c>
      <c r="O225" s="37">
        <f>+IF(('[1]BS workings'!N439+'[1]BS workings'!N552+'[1]BS workings'!N579+'[1]BS workings'!N600+'[1]BS workings'!N632)&gt;0,('[1]BS workings'!N632),0)</f>
        <v>0</v>
      </c>
      <c r="P225" s="37">
        <f>+IF(('[1]BS workings'!O439+'[1]BS workings'!O552+'[1]BS workings'!O579+'[1]BS workings'!O600+'[1]BS workings'!O632)&gt;0,('[1]BS workings'!O632),0)</f>
        <v>0</v>
      </c>
      <c r="Q225" s="37">
        <f>+IF(('[1]BS workings'!P439+'[1]BS workings'!P552+'[1]BS workings'!P579+'[1]BS workings'!P600+'[1]BS workings'!P632)&gt;0,('[1]BS workings'!P632),0)</f>
        <v>0</v>
      </c>
      <c r="DZ225" s="22" t="s">
        <v>2</v>
      </c>
      <c r="EA225" s="23" t="s">
        <v>1</v>
      </c>
      <c r="EB225" s="23" t="s">
        <v>1</v>
      </c>
      <c r="EC225" s="23" t="s">
        <v>1</v>
      </c>
    </row>
    <row r="226" spans="2:133 16382:16382" s="19" customFormat="1" hidden="1" x14ac:dyDescent="0.25">
      <c r="B226" s="67" t="s">
        <v>109</v>
      </c>
      <c r="C226" s="22" t="s">
        <v>47</v>
      </c>
      <c r="E226" s="67"/>
      <c r="F226" s="37">
        <f>IF(F218=0,0,'[1]Assets - Disposals &amp; Transfers'!E300+'[1]Assets - Disposals &amp; Transfers'!E301)</f>
        <v>0</v>
      </c>
      <c r="G226" s="67"/>
      <c r="H226" s="37">
        <f>IF(H218=0,0,'[1]Assets - Disposals &amp; Transfers'!G300+'[1]Assets - Disposals &amp; Transfers'!G301)</f>
        <v>0</v>
      </c>
      <c r="I226" s="37">
        <f>IF(I218=0,0,'[1]Assets - Disposals &amp; Transfers'!H300+'[1]Assets - Disposals &amp; Transfers'!H301)</f>
        <v>0</v>
      </c>
      <c r="J226" s="37">
        <f>IF(J218=0,0,'[1]Assets - Disposals &amp; Transfers'!I300+'[1]Assets - Disposals &amp; Transfers'!I301)</f>
        <v>0</v>
      </c>
      <c r="K226" s="37">
        <f>IF(K218=0,0,'[1]Assets - Disposals &amp; Transfers'!J300+'[1]Assets - Disposals &amp; Transfers'!J301)</f>
        <v>0</v>
      </c>
      <c r="L226" s="37">
        <f>IF(L218=0,0,'[1]Assets - Disposals &amp; Transfers'!K300+'[1]Assets - Disposals &amp; Transfers'!K301)</f>
        <v>0</v>
      </c>
      <c r="M226" s="37">
        <f>IF(M218=0,0,'[1]Assets - Disposals &amp; Transfers'!L300+'[1]Assets - Disposals &amp; Transfers'!L301)</f>
        <v>0</v>
      </c>
      <c r="N226" s="37">
        <f>IF(N218=0,0,'[1]Assets - Disposals &amp; Transfers'!M300+'[1]Assets - Disposals &amp; Transfers'!M301)</f>
        <v>0</v>
      </c>
      <c r="O226" s="37">
        <f>IF(O218=0,0,'[1]Assets - Disposals &amp; Transfers'!N300+'[1]Assets - Disposals &amp; Transfers'!N301)</f>
        <v>0</v>
      </c>
      <c r="P226" s="37">
        <f>IF(P218=0,0,'[1]Assets - Disposals &amp; Transfers'!O300+'[1]Assets - Disposals &amp; Transfers'!O301)</f>
        <v>0</v>
      </c>
      <c r="Q226" s="37">
        <f>IF(Q218=0,0,'[1]Assets - Disposals &amp; Transfers'!P300+'[1]Assets - Disposals &amp; Transfers'!P301)</f>
        <v>0</v>
      </c>
      <c r="DZ226" s="22" t="s">
        <v>2</v>
      </c>
      <c r="EA226" s="23" t="s">
        <v>1</v>
      </c>
      <c r="EB226" s="23" t="s">
        <v>1</v>
      </c>
      <c r="EC226" s="23" t="s">
        <v>1</v>
      </c>
      <c r="XFB226" s="37"/>
    </row>
    <row r="227" spans="2:133 16382:16382" s="19" customFormat="1" hidden="1" x14ac:dyDescent="0.25">
      <c r="B227" s="67" t="s">
        <v>105</v>
      </c>
      <c r="C227" s="22" t="s">
        <v>47</v>
      </c>
      <c r="E227" s="67"/>
      <c r="F227" s="52">
        <f>ROUND(F220-SUM(F221:F226),0)</f>
        <v>0</v>
      </c>
      <c r="G227" s="67"/>
      <c r="H227" s="52">
        <f>ROUND(H220-SUM(H221:H226),0)</f>
        <v>0</v>
      </c>
      <c r="I227" s="52">
        <f t="shared" ref="I227:Q227" si="110">ROUND(I220-SUM(I221:I226),0)</f>
        <v>0</v>
      </c>
      <c r="J227" s="52">
        <f t="shared" si="110"/>
        <v>0</v>
      </c>
      <c r="K227" s="52">
        <f t="shared" si="110"/>
        <v>0</v>
      </c>
      <c r="L227" s="52">
        <f t="shared" si="110"/>
        <v>0</v>
      </c>
      <c r="M227" s="52">
        <f t="shared" si="110"/>
        <v>0</v>
      </c>
      <c r="N227" s="52">
        <f t="shared" si="110"/>
        <v>0</v>
      </c>
      <c r="O227" s="52">
        <f t="shared" si="110"/>
        <v>0</v>
      </c>
      <c r="P227" s="52">
        <f t="shared" si="110"/>
        <v>0</v>
      </c>
      <c r="Q227" s="52">
        <f t="shared" si="110"/>
        <v>0</v>
      </c>
      <c r="DZ227" s="22" t="s">
        <v>2</v>
      </c>
      <c r="EA227" s="23" t="s">
        <v>1</v>
      </c>
      <c r="EB227" s="23" t="s">
        <v>1</v>
      </c>
      <c r="EC227" s="23" t="s">
        <v>1</v>
      </c>
    </row>
    <row r="228" spans="2:133 16382:16382" s="19" customFormat="1" hidden="1" x14ac:dyDescent="0.25">
      <c r="B228" s="67"/>
      <c r="C228" s="22" t="s">
        <v>47</v>
      </c>
      <c r="E228" s="67"/>
      <c r="F228" s="37"/>
      <c r="G228" s="6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DZ228" s="22" t="s">
        <v>2</v>
      </c>
      <c r="EA228" s="23" t="s">
        <v>1</v>
      </c>
      <c r="EB228" s="23" t="s">
        <v>1</v>
      </c>
      <c r="EC228" s="23" t="s">
        <v>1</v>
      </c>
    </row>
    <row r="229" spans="2:133 16382:16382" s="19" customFormat="1" hidden="1" x14ac:dyDescent="0.25">
      <c r="C229" s="22" t="s">
        <v>47</v>
      </c>
      <c r="DZ229" s="22" t="s">
        <v>2</v>
      </c>
      <c r="EA229" s="23" t="s">
        <v>1</v>
      </c>
      <c r="EB229" s="23" t="s">
        <v>1</v>
      </c>
      <c r="EC229" s="23" t="s">
        <v>1</v>
      </c>
    </row>
    <row r="230" spans="2:133 16382:16382" s="19" customFormat="1" hidden="1" x14ac:dyDescent="0.25">
      <c r="B230" s="19" t="str">
        <f>B16</f>
        <v>Joint Ventures &amp; Associated Entities</v>
      </c>
      <c r="C230" s="22" t="s">
        <v>47</v>
      </c>
      <c r="DZ230" s="22" t="s">
        <v>2</v>
      </c>
      <c r="EA230" s="23" t="s">
        <v>1</v>
      </c>
      <c r="EB230" s="23" t="s">
        <v>1</v>
      </c>
      <c r="EC230" s="23" t="s">
        <v>1</v>
      </c>
    </row>
    <row r="231" spans="2:133 16382:16382" s="19" customFormat="1" hidden="1" x14ac:dyDescent="0.25">
      <c r="B231" s="67" t="s">
        <v>99</v>
      </c>
      <c r="C231" s="22" t="s">
        <v>47</v>
      </c>
      <c r="E231" s="67"/>
      <c r="F231" s="19">
        <f>F16</f>
        <v>0</v>
      </c>
      <c r="G231" s="67"/>
      <c r="H231" s="19">
        <f t="shared" ref="H231:Q231" si="111">H16</f>
        <v>0</v>
      </c>
      <c r="I231" s="19">
        <f t="shared" si="111"/>
        <v>0</v>
      </c>
      <c r="J231" s="19">
        <f t="shared" si="111"/>
        <v>0</v>
      </c>
      <c r="K231" s="19">
        <f t="shared" si="111"/>
        <v>0</v>
      </c>
      <c r="L231" s="19">
        <f t="shared" si="111"/>
        <v>0</v>
      </c>
      <c r="M231" s="19">
        <f t="shared" si="111"/>
        <v>0</v>
      </c>
      <c r="N231" s="19">
        <f t="shared" si="111"/>
        <v>0</v>
      </c>
      <c r="O231" s="19">
        <f t="shared" si="111"/>
        <v>0</v>
      </c>
      <c r="P231" s="19">
        <f t="shared" si="111"/>
        <v>0</v>
      </c>
      <c r="Q231" s="19">
        <f t="shared" si="111"/>
        <v>0</v>
      </c>
      <c r="DZ231" s="22" t="s">
        <v>2</v>
      </c>
      <c r="EA231" s="23" t="s">
        <v>1</v>
      </c>
      <c r="EB231" s="23" t="s">
        <v>1</v>
      </c>
      <c r="EC231" s="23" t="s">
        <v>1</v>
      </c>
    </row>
    <row r="232" spans="2:133 16382:16382" s="19" customFormat="1" hidden="1" x14ac:dyDescent="0.25">
      <c r="B232" s="67" t="s">
        <v>100</v>
      </c>
      <c r="C232" s="22" t="s">
        <v>47</v>
      </c>
      <c r="E232" s="67"/>
      <c r="F232" s="19">
        <f>IF(SUMIF('[1]Budget Summary 1'!$C:$C,$A16,'[1]Budget Summary 1'!J:J)-SUMIF('[1]Budget Summary 1'!$C:$C,$A28,'[1]Budget Summary 1'!J:J)&gt;0,SUMIF('[1]Budget Summary 1'!$C:$C,$A16,'[1]Budget Summary 1'!J:J)-SUMIF('[1]Budget Summary 1'!$C:$C,$A28,'[1]Budget Summary 1'!J:J),0)</f>
        <v>0</v>
      </c>
      <c r="G232" s="67"/>
      <c r="H232" s="19">
        <f>IF(SUMIF('[1]Budget Summary 1'!$C:$C,$A16,'[1]Budget Summary 1'!L:L)-SUMIF('[1]Budget Summary 1'!$C:$C,$A28,'[1]Budget Summary 1'!L:L)&gt;0,SUMIF('[1]Budget Summary 1'!$C:$C,$A16,'[1]Budget Summary 1'!L:L)-SUMIF('[1]Budget Summary 1'!$C:$C,$A28,'[1]Budget Summary 1'!L:L),0)</f>
        <v>0</v>
      </c>
      <c r="I232" s="19">
        <f>IF(SUMIF('[1]Budget Summary 1'!$C:$C,$A16,'[1]Budget Summary 1'!M:M)-SUMIF('[1]Budget Summary 1'!$C:$C,$A28,'[1]Budget Summary 1'!M:M)&gt;0,SUMIF('[1]Budget Summary 1'!$C:$C,$A16,'[1]Budget Summary 1'!M:M)-SUMIF('[1]Budget Summary 1'!$C:$C,$A28,'[1]Budget Summary 1'!M:M),0)</f>
        <v>0</v>
      </c>
      <c r="J232" s="19">
        <f>IF(SUMIF('[1]Budget Summary 1'!$C:$C,$A16,'[1]Budget Summary 1'!N:N)-SUMIF('[1]Budget Summary 1'!$C:$C,$A28,'[1]Budget Summary 1'!N:N)&gt;0,SUMIF('[1]Budget Summary 1'!$C:$C,$A16,'[1]Budget Summary 1'!N:N)-SUMIF('[1]Budget Summary 1'!$C:$C,$A28,'[1]Budget Summary 1'!N:N),0)</f>
        <v>0</v>
      </c>
      <c r="K232" s="19">
        <f>IF(SUMIF('[1]Budget Summary 1'!$C:$C,$A16,'[1]Budget Summary 1'!O:O)-SUMIF('[1]Budget Summary 1'!$C:$C,$A28,'[1]Budget Summary 1'!O:O)&gt;0,SUMIF('[1]Budget Summary 1'!$C:$C,$A16,'[1]Budget Summary 1'!O:O)-SUMIF('[1]Budget Summary 1'!$C:$C,$A28,'[1]Budget Summary 1'!O:O),0)</f>
        <v>0</v>
      </c>
      <c r="L232" s="19">
        <f>IF(SUMIF('[1]Budget Summary 1'!$C:$C,$A16,'[1]Budget Summary 1'!P:P)-SUMIF('[1]Budget Summary 1'!$C:$C,$A28,'[1]Budget Summary 1'!P:P)&gt;0,SUMIF('[1]Budget Summary 1'!$C:$C,$A16,'[1]Budget Summary 1'!P:P)-SUMIF('[1]Budget Summary 1'!$C:$C,$A28,'[1]Budget Summary 1'!P:P),0)</f>
        <v>0</v>
      </c>
      <c r="M232" s="19">
        <f>IF(SUMIF('[1]Budget Summary 1'!$C:$C,$A16,'[1]Budget Summary 1'!Q:Q)-SUMIF('[1]Budget Summary 1'!$C:$C,$A28,'[1]Budget Summary 1'!Q:Q)&gt;0,SUMIF('[1]Budget Summary 1'!$C:$C,$A16,'[1]Budget Summary 1'!Q:Q)-SUMIF('[1]Budget Summary 1'!$C:$C,$A28,'[1]Budget Summary 1'!Q:Q),0)</f>
        <v>0</v>
      </c>
      <c r="N232" s="19">
        <f>IF(SUMIF('[1]Budget Summary 1'!$C:$C,$A16,'[1]Budget Summary 1'!R:R)-SUMIF('[1]Budget Summary 1'!$C:$C,$A28,'[1]Budget Summary 1'!R:R)&gt;0,SUMIF('[1]Budget Summary 1'!$C:$C,$A16,'[1]Budget Summary 1'!R:R)-SUMIF('[1]Budget Summary 1'!$C:$C,$A28,'[1]Budget Summary 1'!R:R),0)</f>
        <v>0</v>
      </c>
      <c r="O232" s="19">
        <f>IF(SUMIF('[1]Budget Summary 1'!$C:$C,$A16,'[1]Budget Summary 1'!S:S)-SUMIF('[1]Budget Summary 1'!$C:$C,$A28,'[1]Budget Summary 1'!S:S)&gt;0,SUMIF('[1]Budget Summary 1'!$C:$C,$A16,'[1]Budget Summary 1'!S:S)-SUMIF('[1]Budget Summary 1'!$C:$C,$A28,'[1]Budget Summary 1'!S:S),0)</f>
        <v>0</v>
      </c>
      <c r="P232" s="19">
        <f>IF(SUMIF('[1]Budget Summary 1'!$C:$C,$A16,'[1]Budget Summary 1'!T:T)-SUMIF('[1]Budget Summary 1'!$C:$C,$A28,'[1]Budget Summary 1'!T:T)&gt;0,SUMIF('[1]Budget Summary 1'!$C:$C,$A16,'[1]Budget Summary 1'!T:T)-SUMIF('[1]Budget Summary 1'!$C:$C,$A28,'[1]Budget Summary 1'!T:T),0)</f>
        <v>0</v>
      </c>
      <c r="Q232" s="19">
        <f>IF(SUMIF('[1]Budget Summary 1'!$C:$C,$A16,'[1]Budget Summary 1'!U:U)-SUMIF('[1]Budget Summary 1'!$C:$C,$A28,'[1]Budget Summary 1'!U:U)&gt;0,SUMIF('[1]Budget Summary 1'!$C:$C,$A16,'[1]Budget Summary 1'!U:U)-SUMIF('[1]Budget Summary 1'!$C:$C,$A28,'[1]Budget Summary 1'!U:U),0)</f>
        <v>0</v>
      </c>
      <c r="DZ232" s="22" t="s">
        <v>2</v>
      </c>
      <c r="EA232" s="23" t="s">
        <v>1</v>
      </c>
      <c r="EB232" s="23" t="s">
        <v>1</v>
      </c>
      <c r="EC232" s="23" t="s">
        <v>1</v>
      </c>
    </row>
    <row r="233" spans="2:133 16382:16382" s="19" customFormat="1" hidden="1" x14ac:dyDescent="0.25">
      <c r="B233" s="67" t="s">
        <v>71</v>
      </c>
      <c r="C233" s="22" t="s">
        <v>47</v>
      </c>
      <c r="E233" s="67"/>
      <c r="F233" s="42">
        <f>ROUND(F231-F232,0)</f>
        <v>0</v>
      </c>
      <c r="G233" s="67"/>
      <c r="H233" s="42">
        <f t="shared" ref="H233:Q233" si="112">ROUND(H231-H232,0)</f>
        <v>0</v>
      </c>
      <c r="I233" s="42">
        <f t="shared" si="112"/>
        <v>0</v>
      </c>
      <c r="J233" s="42">
        <f t="shared" si="112"/>
        <v>0</v>
      </c>
      <c r="K233" s="42">
        <f t="shared" si="112"/>
        <v>0</v>
      </c>
      <c r="L233" s="42">
        <f t="shared" si="112"/>
        <v>0</v>
      </c>
      <c r="M233" s="42">
        <f t="shared" si="112"/>
        <v>0</v>
      </c>
      <c r="N233" s="42">
        <f t="shared" si="112"/>
        <v>0</v>
      </c>
      <c r="O233" s="42">
        <f t="shared" si="112"/>
        <v>0</v>
      </c>
      <c r="P233" s="42">
        <f t="shared" si="112"/>
        <v>0</v>
      </c>
      <c r="Q233" s="42">
        <f t="shared" si="112"/>
        <v>0</v>
      </c>
      <c r="DZ233" s="22" t="s">
        <v>2</v>
      </c>
      <c r="EA233" s="23" t="s">
        <v>1</v>
      </c>
      <c r="EB233" s="23" t="s">
        <v>1</v>
      </c>
      <c r="EC233" s="23" t="s">
        <v>1</v>
      </c>
    </row>
    <row r="234" spans="2:133 16382:16382" s="19" customFormat="1" hidden="1" x14ac:dyDescent="0.25">
      <c r="C234" s="22" t="s">
        <v>47</v>
      </c>
      <c r="DZ234" s="22" t="s">
        <v>2</v>
      </c>
      <c r="EA234" s="23" t="s">
        <v>1</v>
      </c>
      <c r="EB234" s="23" t="s">
        <v>1</v>
      </c>
      <c r="EC234" s="23" t="s">
        <v>1</v>
      </c>
    </row>
    <row r="235" spans="2:133 16382:16382" s="19" customFormat="1" hidden="1" x14ac:dyDescent="0.25">
      <c r="C235" s="22" t="s">
        <v>47</v>
      </c>
      <c r="DZ235" s="22" t="s">
        <v>2</v>
      </c>
      <c r="EA235" s="23" t="s">
        <v>1</v>
      </c>
      <c r="EB235" s="23" t="s">
        <v>1</v>
      </c>
      <c r="EC235" s="23" t="s">
        <v>1</v>
      </c>
    </row>
    <row r="236" spans="2:133 16382:16382" s="19" customFormat="1" hidden="1" x14ac:dyDescent="0.25">
      <c r="B236" s="19" t="str">
        <f>B20</f>
        <v>Employee Benefits &amp; On-Costs</v>
      </c>
      <c r="C236" s="22" t="s">
        <v>47</v>
      </c>
      <c r="DZ236" s="22" t="s">
        <v>2</v>
      </c>
      <c r="EA236" s="23" t="s">
        <v>1</v>
      </c>
      <c r="EB236" s="23" t="s">
        <v>1</v>
      </c>
      <c r="EC236" s="23" t="s">
        <v>1</v>
      </c>
    </row>
    <row r="237" spans="2:133 16382:16382" s="19" customFormat="1" hidden="1" x14ac:dyDescent="0.25">
      <c r="B237" s="67" t="s">
        <v>99</v>
      </c>
      <c r="C237" s="22" t="s">
        <v>47</v>
      </c>
      <c r="E237" s="67"/>
      <c r="F237" s="19">
        <f>F20</f>
        <v>11286231.749999991</v>
      </c>
      <c r="G237" s="67"/>
      <c r="H237" s="19">
        <f t="shared" ref="H237:Q237" si="113">H20</f>
        <v>11528907.519999994</v>
      </c>
      <c r="I237" s="19">
        <f t="shared" si="113"/>
        <v>12539897.320000006</v>
      </c>
      <c r="J237" s="19">
        <f t="shared" si="113"/>
        <v>12759705.609999985</v>
      </c>
      <c r="K237" s="19">
        <f t="shared" si="113"/>
        <v>13078698.530000014</v>
      </c>
      <c r="L237" s="19">
        <f t="shared" si="113"/>
        <v>13405665.999999991</v>
      </c>
      <c r="M237" s="19">
        <f t="shared" si="113"/>
        <v>13740807.68</v>
      </c>
      <c r="N237" s="19">
        <f t="shared" si="113"/>
        <v>14084328.060000008</v>
      </c>
      <c r="O237" s="19">
        <f t="shared" si="113"/>
        <v>14436436.310000008</v>
      </c>
      <c r="P237" s="19">
        <f t="shared" si="113"/>
        <v>14797347.330000026</v>
      </c>
      <c r="Q237" s="19">
        <f t="shared" si="113"/>
        <v>15167281.010000004</v>
      </c>
      <c r="DZ237" s="22" t="s">
        <v>2</v>
      </c>
      <c r="EA237" s="23" t="s">
        <v>1</v>
      </c>
      <c r="EB237" s="23" t="s">
        <v>1</v>
      </c>
      <c r="EC237" s="23" t="s">
        <v>1</v>
      </c>
    </row>
    <row r="238" spans="2:133 16382:16382" s="19" customFormat="1" hidden="1" x14ac:dyDescent="0.25">
      <c r="B238" s="67" t="s">
        <v>100</v>
      </c>
      <c r="C238" s="22" t="s">
        <v>47</v>
      </c>
      <c r="E238" s="67"/>
      <c r="F238" s="19">
        <f>SUMIF('[1]Budget Summary 1'!$C:$C,$A20,'[1]Budget Summary 1'!J:J)+'[1]Budget Summary 1'!J163+'[1]Budget Summary 1'!J164-'[1]Budget Summary 1'!J148</f>
        <v>11286231.749999991</v>
      </c>
      <c r="G238" s="67"/>
      <c r="H238" s="19">
        <f>SUMIF('[1]Budget Summary 1'!$C:$C,$A20,'[1]Budget Summary 1'!L:L)+'[1]Budget Summary 1'!L163+'[1]Budget Summary 1'!L164-'[1]Budget Summary 1'!L148</f>
        <v>11528907.519999994</v>
      </c>
      <c r="I238" s="19">
        <f>SUMIF('[1]Budget Summary 1'!$C:$C,$A20,'[1]Budget Summary 1'!M:M)+'[1]Budget Summary 1'!M163+'[1]Budget Summary 1'!M164-'[1]Budget Summary 1'!M148</f>
        <v>12539897.320000006</v>
      </c>
      <c r="J238" s="19">
        <f>SUMIF('[1]Budget Summary 1'!$C:$C,$A20,'[1]Budget Summary 1'!N:N)+'[1]Budget Summary 1'!N163+'[1]Budget Summary 1'!N164-'[1]Budget Summary 1'!N148</f>
        <v>12759705.609999985</v>
      </c>
      <c r="K238" s="19">
        <f>SUMIF('[1]Budget Summary 1'!$C:$C,$A20,'[1]Budget Summary 1'!O:O)+'[1]Budget Summary 1'!O163+'[1]Budget Summary 1'!O164-'[1]Budget Summary 1'!O148</f>
        <v>13078698.530000014</v>
      </c>
      <c r="L238" s="19">
        <f>SUMIF('[1]Budget Summary 1'!$C:$C,$A20,'[1]Budget Summary 1'!P:P)+'[1]Budget Summary 1'!P163+'[1]Budget Summary 1'!P164-'[1]Budget Summary 1'!P148</f>
        <v>13405665.999999991</v>
      </c>
      <c r="M238" s="19">
        <f>SUMIF('[1]Budget Summary 1'!$C:$C,$A20,'[1]Budget Summary 1'!Q:Q)+'[1]Budget Summary 1'!Q163+'[1]Budget Summary 1'!Q164-'[1]Budget Summary 1'!Q148</f>
        <v>13740807.68</v>
      </c>
      <c r="N238" s="19">
        <f>SUMIF('[1]Budget Summary 1'!$C:$C,$A20,'[1]Budget Summary 1'!R:R)+'[1]Budget Summary 1'!R163+'[1]Budget Summary 1'!R164-'[1]Budget Summary 1'!R148</f>
        <v>14084328.060000008</v>
      </c>
      <c r="O238" s="19">
        <f>SUMIF('[1]Budget Summary 1'!$C:$C,$A20,'[1]Budget Summary 1'!S:S)+'[1]Budget Summary 1'!S163+'[1]Budget Summary 1'!S164-'[1]Budget Summary 1'!S148</f>
        <v>14436436.310000008</v>
      </c>
      <c r="P238" s="19">
        <f>SUMIF('[1]Budget Summary 1'!$C:$C,$A20,'[1]Budget Summary 1'!T:T)+'[1]Budget Summary 1'!T163+'[1]Budget Summary 1'!T164-'[1]Budget Summary 1'!T148</f>
        <v>14797347.330000026</v>
      </c>
      <c r="Q238" s="19">
        <f>SUMIF('[1]Budget Summary 1'!$C:$C,$A20,'[1]Budget Summary 1'!U:U)+'[1]Budget Summary 1'!U163+'[1]Budget Summary 1'!U164-'[1]Budget Summary 1'!U148</f>
        <v>15167281.010000004</v>
      </c>
      <c r="DZ238" s="22" t="s">
        <v>2</v>
      </c>
      <c r="EA238" s="23" t="s">
        <v>1</v>
      </c>
      <c r="EB238" s="23" t="s">
        <v>1</v>
      </c>
      <c r="EC238" s="23" t="s">
        <v>1</v>
      </c>
    </row>
    <row r="239" spans="2:133 16382:16382" s="19" customFormat="1" hidden="1" x14ac:dyDescent="0.25">
      <c r="B239" s="67" t="s">
        <v>71</v>
      </c>
      <c r="C239" s="22" t="s">
        <v>47</v>
      </c>
      <c r="E239" s="67"/>
      <c r="F239" s="42">
        <f>ROUND(F237-F238,0)</f>
        <v>0</v>
      </c>
      <c r="G239" s="67"/>
      <c r="H239" s="42">
        <f t="shared" ref="H239:Q239" si="114">ROUND(H237-H238,0)</f>
        <v>0</v>
      </c>
      <c r="I239" s="42">
        <f t="shared" si="114"/>
        <v>0</v>
      </c>
      <c r="J239" s="42">
        <f t="shared" si="114"/>
        <v>0</v>
      </c>
      <c r="K239" s="42">
        <f t="shared" si="114"/>
        <v>0</v>
      </c>
      <c r="L239" s="42">
        <f t="shared" si="114"/>
        <v>0</v>
      </c>
      <c r="M239" s="42">
        <f t="shared" si="114"/>
        <v>0</v>
      </c>
      <c r="N239" s="42">
        <f t="shared" si="114"/>
        <v>0</v>
      </c>
      <c r="O239" s="42">
        <f t="shared" si="114"/>
        <v>0</v>
      </c>
      <c r="P239" s="42">
        <f t="shared" si="114"/>
        <v>0</v>
      </c>
      <c r="Q239" s="42">
        <f t="shared" si="114"/>
        <v>0</v>
      </c>
      <c r="DZ239" s="22" t="s">
        <v>2</v>
      </c>
      <c r="EA239" s="23" t="s">
        <v>1</v>
      </c>
      <c r="EB239" s="23" t="s">
        <v>1</v>
      </c>
      <c r="EC239" s="23" t="s">
        <v>1</v>
      </c>
    </row>
    <row r="240" spans="2:133 16382:16382" s="19" customFormat="1" hidden="1" x14ac:dyDescent="0.25">
      <c r="B240" s="67" t="s">
        <v>101</v>
      </c>
      <c r="C240" s="22" t="s">
        <v>47</v>
      </c>
      <c r="E240" s="67"/>
      <c r="F240" s="37">
        <f>+'[1]S94 - Plan Summary'!D22</f>
        <v>0</v>
      </c>
      <c r="G240" s="67"/>
      <c r="H240" s="37">
        <f>+'[1]S94 - Plan Summary'!F22</f>
        <v>0</v>
      </c>
      <c r="I240" s="37">
        <f>+'[1]S94 - Plan Summary'!G22</f>
        <v>0</v>
      </c>
      <c r="J240" s="37">
        <f>+'[1]S94 - Plan Summary'!H22</f>
        <v>0</v>
      </c>
      <c r="K240" s="37">
        <f>+'[1]S94 - Plan Summary'!I22</f>
        <v>0</v>
      </c>
      <c r="L240" s="37">
        <f>+'[1]S94 - Plan Summary'!J22</f>
        <v>0</v>
      </c>
      <c r="M240" s="37">
        <f>+'[1]S94 - Plan Summary'!K22</f>
        <v>0</v>
      </c>
      <c r="N240" s="37">
        <f>+'[1]S94 - Plan Summary'!L22</f>
        <v>0</v>
      </c>
      <c r="O240" s="37">
        <f>+'[1]S94 - Plan Summary'!M22</f>
        <v>0</v>
      </c>
      <c r="P240" s="37">
        <f>+'[1]S94 - Plan Summary'!N22</f>
        <v>0</v>
      </c>
      <c r="Q240" s="37">
        <f>+'[1]S94 - Plan Summary'!O22</f>
        <v>0</v>
      </c>
      <c r="DZ240" s="22" t="s">
        <v>2</v>
      </c>
      <c r="EA240" s="23" t="s">
        <v>1</v>
      </c>
      <c r="EB240" s="23" t="s">
        <v>1</v>
      </c>
      <c r="EC240" s="23" t="s">
        <v>1</v>
      </c>
    </row>
    <row r="241" spans="2:133" s="19" customFormat="1" hidden="1" x14ac:dyDescent="0.25">
      <c r="B241" s="67" t="s">
        <v>102</v>
      </c>
      <c r="C241" s="22" t="s">
        <v>47</v>
      </c>
      <c r="E241" s="67"/>
      <c r="F241" s="37">
        <f>+'[1]Major Projects summary'!E36</f>
        <v>0</v>
      </c>
      <c r="G241" s="67"/>
      <c r="H241" s="37">
        <f>+'[1]Major Projects summary'!G36</f>
        <v>0</v>
      </c>
      <c r="I241" s="37">
        <f>+'[1]Major Projects summary'!H36</f>
        <v>0</v>
      </c>
      <c r="J241" s="37">
        <f>+'[1]Major Projects summary'!I36</f>
        <v>0</v>
      </c>
      <c r="K241" s="37">
        <f>+'[1]Major Projects summary'!J36</f>
        <v>0</v>
      </c>
      <c r="L241" s="37">
        <f>+'[1]Major Projects summary'!K36</f>
        <v>0</v>
      </c>
      <c r="M241" s="37">
        <f>+'[1]Major Projects summary'!L36</f>
        <v>0</v>
      </c>
      <c r="N241" s="37">
        <f>+'[1]Major Projects summary'!M36</f>
        <v>0</v>
      </c>
      <c r="O241" s="37">
        <f>+'[1]Major Projects summary'!N36</f>
        <v>0</v>
      </c>
      <c r="P241" s="37">
        <f>+'[1]Major Projects summary'!O36</f>
        <v>0</v>
      </c>
      <c r="Q241" s="37">
        <f>+'[1]Major Projects summary'!P36</f>
        <v>0</v>
      </c>
      <c r="DZ241" s="22" t="s">
        <v>2</v>
      </c>
      <c r="EA241" s="23" t="s">
        <v>1</v>
      </c>
      <c r="EB241" s="23" t="s">
        <v>1</v>
      </c>
      <c r="EC241" s="23" t="s">
        <v>1</v>
      </c>
    </row>
    <row r="242" spans="2:133" s="19" customFormat="1" hidden="1" x14ac:dyDescent="0.25">
      <c r="B242" s="67" t="s">
        <v>103</v>
      </c>
      <c r="C242" s="22" t="s">
        <v>47</v>
      </c>
      <c r="E242" s="67"/>
      <c r="F242" s="37">
        <f>+'[1]Major Projects summary'!E94</f>
        <v>0</v>
      </c>
      <c r="G242" s="67"/>
      <c r="H242" s="37">
        <f>+'[1]Major Projects summary'!G94</f>
        <v>0</v>
      </c>
      <c r="I242" s="37">
        <f>+'[1]Major Projects summary'!H94</f>
        <v>0</v>
      </c>
      <c r="J242" s="37">
        <f>+'[1]Major Projects summary'!I94</f>
        <v>0</v>
      </c>
      <c r="K242" s="37">
        <f>+'[1]Major Projects summary'!J94</f>
        <v>0</v>
      </c>
      <c r="L242" s="37">
        <f>+'[1]Major Projects summary'!K94</f>
        <v>0</v>
      </c>
      <c r="M242" s="37">
        <f>+'[1]Major Projects summary'!L94</f>
        <v>0</v>
      </c>
      <c r="N242" s="37">
        <f>+'[1]Major Projects summary'!M94</f>
        <v>0</v>
      </c>
      <c r="O242" s="37">
        <f>+'[1]Major Projects summary'!N94</f>
        <v>0</v>
      </c>
      <c r="P242" s="37">
        <f>+'[1]Major Projects summary'!O94</f>
        <v>0</v>
      </c>
      <c r="Q242" s="37">
        <f>+'[1]Major Projects summary'!P94</f>
        <v>0</v>
      </c>
      <c r="DZ242" s="22" t="s">
        <v>2</v>
      </c>
      <c r="EA242" s="23" t="s">
        <v>1</v>
      </c>
      <c r="EB242" s="23" t="s">
        <v>1</v>
      </c>
      <c r="EC242" s="23" t="s">
        <v>1</v>
      </c>
    </row>
    <row r="243" spans="2:133" s="19" customFormat="1" hidden="1" x14ac:dyDescent="0.25">
      <c r="B243" s="67" t="s">
        <v>104</v>
      </c>
      <c r="C243" s="22" t="s">
        <v>47</v>
      </c>
      <c r="E243" s="67"/>
      <c r="F243" s="37">
        <f>+'[1]Major Projects summary'!E107</f>
        <v>0</v>
      </c>
      <c r="G243" s="67"/>
      <c r="H243" s="37">
        <f>+'[1]Major Projects summary'!G107</f>
        <v>0</v>
      </c>
      <c r="I243" s="37">
        <f>+'[1]Major Projects summary'!H107</f>
        <v>0</v>
      </c>
      <c r="J243" s="37">
        <f>+'[1]Major Projects summary'!I107</f>
        <v>0</v>
      </c>
      <c r="K243" s="37">
        <f>+'[1]Major Projects summary'!J107</f>
        <v>0</v>
      </c>
      <c r="L243" s="37">
        <f>+'[1]Major Projects summary'!K107</f>
        <v>0</v>
      </c>
      <c r="M243" s="37">
        <f>+'[1]Major Projects summary'!L107</f>
        <v>0</v>
      </c>
      <c r="N243" s="37">
        <f>+'[1]Major Projects summary'!M107</f>
        <v>0</v>
      </c>
      <c r="O243" s="37">
        <f>+'[1]Major Projects summary'!N107</f>
        <v>0</v>
      </c>
      <c r="P243" s="37">
        <f>+'[1]Major Projects summary'!O107</f>
        <v>0</v>
      </c>
      <c r="Q243" s="37">
        <f>+'[1]Major Projects summary'!P107</f>
        <v>0</v>
      </c>
      <c r="DZ243" s="22" t="s">
        <v>2</v>
      </c>
      <c r="EA243" s="23" t="s">
        <v>1</v>
      </c>
      <c r="EB243" s="23" t="s">
        <v>1</v>
      </c>
      <c r="EC243" s="23" t="s">
        <v>1</v>
      </c>
    </row>
    <row r="244" spans="2:133" s="19" customFormat="1" hidden="1" x14ac:dyDescent="0.25">
      <c r="B244" s="67" t="s">
        <v>108</v>
      </c>
      <c r="C244" s="22" t="s">
        <v>47</v>
      </c>
      <c r="E244" s="67"/>
      <c r="F244" s="37">
        <f>'[1]BS workings'!E899</f>
        <v>0</v>
      </c>
      <c r="G244" s="67"/>
      <c r="H244" s="37">
        <f>'[1]BS workings'!G899</f>
        <v>0</v>
      </c>
      <c r="I244" s="37">
        <f>'[1]BS workings'!H899</f>
        <v>0</v>
      </c>
      <c r="J244" s="37">
        <f>'[1]BS workings'!I899</f>
        <v>0</v>
      </c>
      <c r="K244" s="37">
        <f>'[1]BS workings'!J899</f>
        <v>0</v>
      </c>
      <c r="L244" s="37">
        <f>'[1]BS workings'!K899</f>
        <v>0</v>
      </c>
      <c r="M244" s="37">
        <f>'[1]BS workings'!L899</f>
        <v>0</v>
      </c>
      <c r="N244" s="37">
        <f>'[1]BS workings'!M899</f>
        <v>0</v>
      </c>
      <c r="O244" s="37">
        <f>'[1]BS workings'!N899</f>
        <v>0</v>
      </c>
      <c r="P244" s="37">
        <f>'[1]BS workings'!O899</f>
        <v>0</v>
      </c>
      <c r="Q244" s="37">
        <f>'[1]BS workings'!P899</f>
        <v>0</v>
      </c>
      <c r="DZ244" s="22" t="s">
        <v>2</v>
      </c>
      <c r="EA244" s="23" t="s">
        <v>1</v>
      </c>
      <c r="EB244" s="23" t="s">
        <v>1</v>
      </c>
      <c r="EC244" s="23" t="s">
        <v>1</v>
      </c>
    </row>
    <row r="245" spans="2:133" s="19" customFormat="1" hidden="1" x14ac:dyDescent="0.25">
      <c r="B245" s="67" t="s">
        <v>109</v>
      </c>
      <c r="C245" s="22" t="s">
        <v>47</v>
      </c>
      <c r="E245" s="67"/>
      <c r="F245" s="37">
        <f>'[1]BS workings'!E901</f>
        <v>0</v>
      </c>
      <c r="G245" s="67"/>
      <c r="H245" s="37">
        <f>'[1]BS workings'!G901</f>
        <v>0</v>
      </c>
      <c r="I245" s="37">
        <f>'[1]BS workings'!H901</f>
        <v>0</v>
      </c>
      <c r="J245" s="37">
        <f>'[1]BS workings'!I901</f>
        <v>0</v>
      </c>
      <c r="K245" s="37">
        <f>'[1]BS workings'!J901</f>
        <v>0</v>
      </c>
      <c r="L245" s="37">
        <f>'[1]BS workings'!K901</f>
        <v>0</v>
      </c>
      <c r="M245" s="37">
        <f>'[1]BS workings'!L901</f>
        <v>0</v>
      </c>
      <c r="N245" s="37">
        <f>'[1]BS workings'!M901</f>
        <v>0</v>
      </c>
      <c r="O245" s="37">
        <f>'[1]BS workings'!N901</f>
        <v>0</v>
      </c>
      <c r="P245" s="37">
        <f>'[1]BS workings'!O901</f>
        <v>0</v>
      </c>
      <c r="Q245" s="37">
        <f>'[1]BS workings'!P901</f>
        <v>0</v>
      </c>
      <c r="DZ245" s="22" t="s">
        <v>2</v>
      </c>
      <c r="EA245" s="23" t="s">
        <v>1</v>
      </c>
      <c r="EB245" s="23" t="s">
        <v>1</v>
      </c>
      <c r="EC245" s="23" t="s">
        <v>1</v>
      </c>
    </row>
    <row r="246" spans="2:133" s="19" customFormat="1" hidden="1" x14ac:dyDescent="0.25">
      <c r="B246" s="67" t="s">
        <v>105</v>
      </c>
      <c r="C246" s="22" t="s">
        <v>47</v>
      </c>
      <c r="E246" s="67"/>
      <c r="F246" s="52">
        <f>ROUND(F239-SUM(F240:F245),0)</f>
        <v>0</v>
      </c>
      <c r="G246" s="67"/>
      <c r="H246" s="52">
        <f>ROUND(H239-SUM(H240:H245),0)</f>
        <v>0</v>
      </c>
      <c r="I246" s="52">
        <f t="shared" ref="I246:Q246" si="115">ROUND(I239-SUM(I240:I245),0)</f>
        <v>0</v>
      </c>
      <c r="J246" s="52">
        <f t="shared" si="115"/>
        <v>0</v>
      </c>
      <c r="K246" s="52">
        <f t="shared" si="115"/>
        <v>0</v>
      </c>
      <c r="L246" s="52">
        <f t="shared" si="115"/>
        <v>0</v>
      </c>
      <c r="M246" s="52">
        <f t="shared" si="115"/>
        <v>0</v>
      </c>
      <c r="N246" s="52">
        <f t="shared" si="115"/>
        <v>0</v>
      </c>
      <c r="O246" s="52">
        <f t="shared" si="115"/>
        <v>0</v>
      </c>
      <c r="P246" s="52">
        <f t="shared" si="115"/>
        <v>0</v>
      </c>
      <c r="Q246" s="52">
        <f t="shared" si="115"/>
        <v>0</v>
      </c>
      <c r="DZ246" s="22" t="s">
        <v>2</v>
      </c>
      <c r="EA246" s="23" t="s">
        <v>1</v>
      </c>
      <c r="EB246" s="23" t="s">
        <v>1</v>
      </c>
      <c r="EC246" s="23" t="s">
        <v>1</v>
      </c>
    </row>
    <row r="247" spans="2:133" s="19" customFormat="1" hidden="1" x14ac:dyDescent="0.25">
      <c r="C247" s="22" t="s">
        <v>47</v>
      </c>
      <c r="DZ247" s="22" t="s">
        <v>2</v>
      </c>
      <c r="EA247" s="23" t="s">
        <v>1</v>
      </c>
      <c r="EB247" s="23" t="s">
        <v>1</v>
      </c>
      <c r="EC247" s="23" t="s">
        <v>1</v>
      </c>
    </row>
    <row r="248" spans="2:133" s="19" customFormat="1" hidden="1" x14ac:dyDescent="0.25">
      <c r="B248" s="19" t="str">
        <f>B21</f>
        <v>Borrowing Costs</v>
      </c>
      <c r="C248" s="22" t="s">
        <v>47</v>
      </c>
      <c r="DZ248" s="22" t="s">
        <v>2</v>
      </c>
      <c r="EA248" s="23" t="s">
        <v>1</v>
      </c>
      <c r="EB248" s="23" t="s">
        <v>1</v>
      </c>
      <c r="EC248" s="23" t="s">
        <v>1</v>
      </c>
    </row>
    <row r="249" spans="2:133" s="19" customFormat="1" hidden="1" x14ac:dyDescent="0.25">
      <c r="B249" s="67" t="s">
        <v>99</v>
      </c>
      <c r="C249" s="22" t="s">
        <v>47</v>
      </c>
      <c r="E249" s="67"/>
      <c r="F249" s="19">
        <f>F21</f>
        <v>194156.12</v>
      </c>
      <c r="G249" s="67"/>
      <c r="H249" s="19">
        <f t="shared" ref="H249:Q249" si="116">H21</f>
        <v>155857.18</v>
      </c>
      <c r="I249" s="19">
        <f t="shared" si="116"/>
        <v>125571.66</v>
      </c>
      <c r="J249" s="19">
        <f t="shared" si="116"/>
        <v>95371.97</v>
      </c>
      <c r="K249" s="19">
        <f t="shared" si="116"/>
        <v>66071.42</v>
      </c>
      <c r="L249" s="19">
        <f t="shared" si="116"/>
        <v>43132.7</v>
      </c>
      <c r="M249" s="19">
        <f t="shared" si="116"/>
        <v>17782.88</v>
      </c>
      <c r="N249" s="19">
        <f t="shared" si="116"/>
        <v>9710.49</v>
      </c>
      <c r="O249" s="19">
        <f t="shared" si="116"/>
        <v>9022.2999999999993</v>
      </c>
      <c r="P249" s="19">
        <f t="shared" si="116"/>
        <v>8329.4699999999993</v>
      </c>
      <c r="Q249" s="19">
        <f t="shared" si="116"/>
        <v>7563.6</v>
      </c>
      <c r="DZ249" s="22" t="s">
        <v>2</v>
      </c>
      <c r="EA249" s="23" t="s">
        <v>1</v>
      </c>
      <c r="EB249" s="23" t="s">
        <v>1</v>
      </c>
      <c r="EC249" s="23" t="s">
        <v>1</v>
      </c>
    </row>
    <row r="250" spans="2:133" s="19" customFormat="1" hidden="1" x14ac:dyDescent="0.25">
      <c r="B250" s="67" t="s">
        <v>100</v>
      </c>
      <c r="C250" s="22" t="s">
        <v>47</v>
      </c>
      <c r="E250" s="67"/>
      <c r="F250" s="19">
        <f>+SUM('[1]Budget Summary 1'!J43:J46)+'[1]Budget Summary 1'!J159+'[1]Budget Summary 1'!J165</f>
        <v>194156.11</v>
      </c>
      <c r="G250" s="67"/>
      <c r="H250" s="19">
        <f>+SUM('[1]Budget Summary 1'!L43:L46)+'[1]Budget Summary 1'!L159+'[1]Budget Summary 1'!L165</f>
        <v>155857.10999999999</v>
      </c>
      <c r="I250" s="19">
        <f>+SUM('[1]Budget Summary 1'!M43:M46)+'[1]Budget Summary 1'!M159+'[1]Budget Summary 1'!M165</f>
        <v>125572.11</v>
      </c>
      <c r="J250" s="19">
        <f>+SUM('[1]Budget Summary 1'!N43:N46)+'[1]Budget Summary 1'!N159+'[1]Budget Summary 1'!N165</f>
        <v>95372.11</v>
      </c>
      <c r="K250" s="19">
        <f>+SUM('[1]Budget Summary 1'!O43:O46)+'[1]Budget Summary 1'!O159+'[1]Budget Summary 1'!O165</f>
        <v>66071.11</v>
      </c>
      <c r="L250" s="19">
        <f>+SUM('[1]Budget Summary 1'!P43:P46)+'[1]Budget Summary 1'!P159+'[1]Budget Summary 1'!P165</f>
        <v>43133.11</v>
      </c>
      <c r="M250" s="19">
        <f>+SUM('[1]Budget Summary 1'!Q43:Q46)+'[1]Budget Summary 1'!Q159+'[1]Budget Summary 1'!Q165</f>
        <v>17783.11</v>
      </c>
      <c r="N250" s="19">
        <f>+SUM('[1]Budget Summary 1'!R43:R46)+'[1]Budget Summary 1'!R159+'[1]Budget Summary 1'!R165</f>
        <v>9710.11</v>
      </c>
      <c r="O250" s="19">
        <f>+SUM('[1]Budget Summary 1'!S43:S46)+'[1]Budget Summary 1'!S159+'[1]Budget Summary 1'!S165</f>
        <v>9022.11</v>
      </c>
      <c r="P250" s="19">
        <f>+SUM('[1]Budget Summary 1'!T43:T46)+'[1]Budget Summary 1'!T159+'[1]Budget Summary 1'!T165</f>
        <v>8329.11</v>
      </c>
      <c r="Q250" s="19">
        <f>+SUM('[1]Budget Summary 1'!U43:U46)+'[1]Budget Summary 1'!U159+'[1]Budget Summary 1'!U165</f>
        <v>7564.11</v>
      </c>
      <c r="DZ250" s="22" t="s">
        <v>2</v>
      </c>
      <c r="EA250" s="23" t="s">
        <v>1</v>
      </c>
      <c r="EB250" s="23" t="s">
        <v>1</v>
      </c>
      <c r="EC250" s="23" t="s">
        <v>1</v>
      </c>
    </row>
    <row r="251" spans="2:133" s="19" customFormat="1" hidden="1" x14ac:dyDescent="0.25">
      <c r="B251" s="67" t="s">
        <v>71</v>
      </c>
      <c r="C251" s="22" t="s">
        <v>47</v>
      </c>
      <c r="E251" s="67"/>
      <c r="F251" s="42">
        <f>ROUND(F249-F250,0)</f>
        <v>0</v>
      </c>
      <c r="G251" s="67"/>
      <c r="H251" s="42">
        <f t="shared" ref="H251:Q251" si="117">ROUND(H249-H250,0)</f>
        <v>0</v>
      </c>
      <c r="I251" s="42">
        <f t="shared" si="117"/>
        <v>0</v>
      </c>
      <c r="J251" s="42">
        <f t="shared" si="117"/>
        <v>0</v>
      </c>
      <c r="K251" s="42">
        <f t="shared" si="117"/>
        <v>0</v>
      </c>
      <c r="L251" s="42">
        <f t="shared" si="117"/>
        <v>0</v>
      </c>
      <c r="M251" s="42">
        <f t="shared" si="117"/>
        <v>0</v>
      </c>
      <c r="N251" s="42">
        <f t="shared" si="117"/>
        <v>0</v>
      </c>
      <c r="O251" s="42">
        <f t="shared" si="117"/>
        <v>0</v>
      </c>
      <c r="P251" s="42">
        <f t="shared" si="117"/>
        <v>0</v>
      </c>
      <c r="Q251" s="42">
        <f t="shared" si="117"/>
        <v>-1</v>
      </c>
      <c r="DZ251" s="22" t="s">
        <v>2</v>
      </c>
      <c r="EA251" s="23" t="s">
        <v>1</v>
      </c>
      <c r="EB251" s="23" t="s">
        <v>1</v>
      </c>
      <c r="EC251" s="23" t="s">
        <v>1</v>
      </c>
    </row>
    <row r="252" spans="2:133" s="19" customFormat="1" hidden="1" x14ac:dyDescent="0.25">
      <c r="B252" s="67" t="s">
        <v>110</v>
      </c>
      <c r="C252" s="22" t="s">
        <v>47</v>
      </c>
      <c r="E252" s="67"/>
      <c r="F252" s="68">
        <f>'[1]IS Workings'!E201</f>
        <v>-194156.11</v>
      </c>
      <c r="G252" s="67"/>
      <c r="H252" s="68">
        <f>'[1]IS Workings'!G201</f>
        <v>-155857.10999999999</v>
      </c>
      <c r="I252" s="68">
        <f>'[1]IS Workings'!H201</f>
        <v>-125572.11</v>
      </c>
      <c r="J252" s="68">
        <f>'[1]IS Workings'!I201</f>
        <v>-95372.11</v>
      </c>
      <c r="K252" s="68">
        <f>'[1]IS Workings'!J201</f>
        <v>-66071.11</v>
      </c>
      <c r="L252" s="68">
        <f>'[1]IS Workings'!K201</f>
        <v>-43133.11</v>
      </c>
      <c r="M252" s="68">
        <f>'[1]IS Workings'!L201</f>
        <v>-17783.11</v>
      </c>
      <c r="N252" s="68">
        <f>'[1]IS Workings'!M201</f>
        <v>-9710.11</v>
      </c>
      <c r="O252" s="68">
        <f>'[1]IS Workings'!N201</f>
        <v>-9022.11</v>
      </c>
      <c r="P252" s="68">
        <f>'[1]IS Workings'!O201</f>
        <v>-8329.11</v>
      </c>
      <c r="Q252" s="68">
        <f>'[1]IS Workings'!P201</f>
        <v>-7564.11</v>
      </c>
      <c r="DZ252" s="22" t="s">
        <v>2</v>
      </c>
      <c r="EA252" s="23" t="s">
        <v>1</v>
      </c>
      <c r="EB252" s="23" t="s">
        <v>1</v>
      </c>
      <c r="EC252" s="23" t="s">
        <v>1</v>
      </c>
    </row>
    <row r="253" spans="2:133" s="19" customFormat="1" hidden="1" x14ac:dyDescent="0.25">
      <c r="B253" s="67" t="s">
        <v>111</v>
      </c>
      <c r="C253" s="22" t="s">
        <v>47</v>
      </c>
      <c r="E253" s="67"/>
      <c r="F253" s="68">
        <f>'[1]IS Workings'!E202</f>
        <v>194156.12</v>
      </c>
      <c r="G253" s="67"/>
      <c r="H253" s="68">
        <f>'[1]IS Workings'!G202</f>
        <v>155857.18</v>
      </c>
      <c r="I253" s="68">
        <f>'[1]IS Workings'!H202</f>
        <v>125571.66</v>
      </c>
      <c r="J253" s="68">
        <f>'[1]IS Workings'!I202</f>
        <v>95371.97</v>
      </c>
      <c r="K253" s="68">
        <f>'[1]IS Workings'!J202</f>
        <v>66071.42</v>
      </c>
      <c r="L253" s="68">
        <f>'[1]IS Workings'!K202</f>
        <v>43132.7</v>
      </c>
      <c r="M253" s="68">
        <f>'[1]IS Workings'!L202</f>
        <v>17782.88</v>
      </c>
      <c r="N253" s="68">
        <f>'[1]IS Workings'!M202</f>
        <v>9710.49</v>
      </c>
      <c r="O253" s="68">
        <f>'[1]IS Workings'!N202</f>
        <v>9022.2999999999993</v>
      </c>
      <c r="P253" s="68">
        <f>'[1]IS Workings'!O202</f>
        <v>8329.4699999999993</v>
      </c>
      <c r="Q253" s="68">
        <f>'[1]IS Workings'!P202</f>
        <v>7563.6</v>
      </c>
      <c r="DZ253" s="22" t="s">
        <v>2</v>
      </c>
      <c r="EA253" s="23" t="s">
        <v>1</v>
      </c>
      <c r="EB253" s="23" t="s">
        <v>1</v>
      </c>
      <c r="EC253" s="23" t="s">
        <v>1</v>
      </c>
    </row>
    <row r="254" spans="2:133" s="19" customFormat="1" hidden="1" x14ac:dyDescent="0.25">
      <c r="B254" s="67" t="s">
        <v>112</v>
      </c>
      <c r="C254" s="22" t="s">
        <v>47</v>
      </c>
      <c r="E254" s="67"/>
      <c r="F254" s="68">
        <f>'[1]IS Workings'!E203</f>
        <v>0</v>
      </c>
      <c r="G254" s="67"/>
      <c r="H254" s="68">
        <f>'[1]IS Workings'!G203</f>
        <v>0</v>
      </c>
      <c r="I254" s="68">
        <f>'[1]IS Workings'!H203</f>
        <v>0</v>
      </c>
      <c r="J254" s="68">
        <f>'[1]IS Workings'!I203</f>
        <v>0</v>
      </c>
      <c r="K254" s="68">
        <f>'[1]IS Workings'!J203</f>
        <v>0</v>
      </c>
      <c r="L254" s="68">
        <f>'[1]IS Workings'!K203</f>
        <v>0</v>
      </c>
      <c r="M254" s="68">
        <f>'[1]IS Workings'!L203</f>
        <v>0</v>
      </c>
      <c r="N254" s="68">
        <f>'[1]IS Workings'!M203</f>
        <v>0</v>
      </c>
      <c r="O254" s="68">
        <f>'[1]IS Workings'!N203</f>
        <v>0</v>
      </c>
      <c r="P254" s="68">
        <f>'[1]IS Workings'!O203</f>
        <v>0</v>
      </c>
      <c r="Q254" s="68">
        <f>'[1]IS Workings'!P203</f>
        <v>0</v>
      </c>
      <c r="DZ254" s="22" t="s">
        <v>2</v>
      </c>
      <c r="EA254" s="23" t="s">
        <v>1</v>
      </c>
      <c r="EB254" s="23" t="s">
        <v>1</v>
      </c>
      <c r="EC254" s="23" t="s">
        <v>1</v>
      </c>
    </row>
    <row r="255" spans="2:133" s="19" customFormat="1" hidden="1" x14ac:dyDescent="0.25">
      <c r="B255" s="67" t="s">
        <v>113</v>
      </c>
      <c r="C255" s="22" t="s">
        <v>47</v>
      </c>
      <c r="E255" s="67"/>
      <c r="F255" s="68">
        <f>'[1]IS Workings'!E204</f>
        <v>0</v>
      </c>
      <c r="G255" s="67"/>
      <c r="H255" s="68">
        <f>'[1]IS Workings'!G204</f>
        <v>0</v>
      </c>
      <c r="I255" s="68">
        <f>'[1]IS Workings'!H204</f>
        <v>0</v>
      </c>
      <c r="J255" s="68">
        <f>'[1]IS Workings'!I204</f>
        <v>0</v>
      </c>
      <c r="K255" s="68">
        <f>'[1]IS Workings'!J204</f>
        <v>0</v>
      </c>
      <c r="L255" s="68">
        <f>'[1]IS Workings'!K204</f>
        <v>0</v>
      </c>
      <c r="M255" s="68">
        <f>'[1]IS Workings'!L204</f>
        <v>0</v>
      </c>
      <c r="N255" s="68">
        <f>'[1]IS Workings'!M204</f>
        <v>0</v>
      </c>
      <c r="O255" s="68">
        <f>'[1]IS Workings'!N204</f>
        <v>0</v>
      </c>
      <c r="P255" s="68">
        <f>'[1]IS Workings'!O204</f>
        <v>0</v>
      </c>
      <c r="Q255" s="68">
        <f>'[1]IS Workings'!P204</f>
        <v>0</v>
      </c>
      <c r="DZ255" s="22" t="s">
        <v>2</v>
      </c>
      <c r="EA255" s="23" t="s">
        <v>1</v>
      </c>
      <c r="EB255" s="23" t="s">
        <v>1</v>
      </c>
      <c r="EC255" s="23" t="s">
        <v>1</v>
      </c>
    </row>
    <row r="256" spans="2:133" s="19" customFormat="1" hidden="1" x14ac:dyDescent="0.25">
      <c r="B256" s="67" t="s">
        <v>106</v>
      </c>
      <c r="C256" s="22" t="s">
        <v>47</v>
      </c>
      <c r="E256" s="67"/>
      <c r="F256" s="68">
        <f>'[1]IS Workings'!E205</f>
        <v>0</v>
      </c>
      <c r="G256" s="67"/>
      <c r="H256" s="68">
        <f>'[1]IS Workings'!G205</f>
        <v>0</v>
      </c>
      <c r="I256" s="68">
        <f>'[1]IS Workings'!H205</f>
        <v>0</v>
      </c>
      <c r="J256" s="68">
        <f>'[1]IS Workings'!I205</f>
        <v>0</v>
      </c>
      <c r="K256" s="68">
        <f>'[1]IS Workings'!J205</f>
        <v>0</v>
      </c>
      <c r="L256" s="68">
        <f>'[1]IS Workings'!K205</f>
        <v>0</v>
      </c>
      <c r="M256" s="68">
        <f>'[1]IS Workings'!L205</f>
        <v>0</v>
      </c>
      <c r="N256" s="68">
        <f>'[1]IS Workings'!M205</f>
        <v>0</v>
      </c>
      <c r="O256" s="68">
        <f>'[1]IS Workings'!N205</f>
        <v>0</v>
      </c>
      <c r="P256" s="68">
        <f>'[1]IS Workings'!O205</f>
        <v>0</v>
      </c>
      <c r="Q256" s="68">
        <f>'[1]IS Workings'!P205</f>
        <v>0</v>
      </c>
      <c r="DZ256" s="22"/>
      <c r="EA256" s="23" t="s">
        <v>1</v>
      </c>
      <c r="EB256" s="23" t="s">
        <v>1</v>
      </c>
      <c r="EC256" s="23" t="s">
        <v>1</v>
      </c>
    </row>
    <row r="257" spans="1:133" s="19" customFormat="1" hidden="1" x14ac:dyDescent="0.25">
      <c r="B257" s="67" t="s">
        <v>114</v>
      </c>
      <c r="C257" s="22" t="s">
        <v>47</v>
      </c>
      <c r="E257" s="67"/>
      <c r="F257" s="68">
        <f>'[1]IS Workings'!E206</f>
        <v>0</v>
      </c>
      <c r="G257" s="67"/>
      <c r="H257" s="68">
        <f>'[1]IS Workings'!G206</f>
        <v>0</v>
      </c>
      <c r="I257" s="68">
        <f>'[1]IS Workings'!H206</f>
        <v>0</v>
      </c>
      <c r="J257" s="68">
        <f>'[1]IS Workings'!I206</f>
        <v>0</v>
      </c>
      <c r="K257" s="68">
        <f>'[1]IS Workings'!J206</f>
        <v>0</v>
      </c>
      <c r="L257" s="68">
        <f>'[1]IS Workings'!K206</f>
        <v>0</v>
      </c>
      <c r="M257" s="68">
        <f>'[1]IS Workings'!L206</f>
        <v>0</v>
      </c>
      <c r="N257" s="68">
        <f>'[1]IS Workings'!M206</f>
        <v>0</v>
      </c>
      <c r="O257" s="68">
        <f>'[1]IS Workings'!N206</f>
        <v>0</v>
      </c>
      <c r="P257" s="68">
        <f>'[1]IS Workings'!O206</f>
        <v>0</v>
      </c>
      <c r="Q257" s="68">
        <f>'[1]IS Workings'!P206</f>
        <v>0</v>
      </c>
      <c r="DZ257" s="22"/>
      <c r="EA257" s="23" t="s">
        <v>1</v>
      </c>
      <c r="EB257" s="23" t="s">
        <v>1</v>
      </c>
      <c r="EC257" s="23" t="s">
        <v>1</v>
      </c>
    </row>
    <row r="258" spans="1:133" s="19" customFormat="1" hidden="1" x14ac:dyDescent="0.25">
      <c r="B258" s="67" t="s">
        <v>115</v>
      </c>
      <c r="C258" s="22" t="s">
        <v>47</v>
      </c>
      <c r="E258" s="67"/>
      <c r="F258" s="68">
        <f>'[1]IS Workings'!E207</f>
        <v>0</v>
      </c>
      <c r="G258" s="67"/>
      <c r="H258" s="68">
        <f>'[1]IS Workings'!G207</f>
        <v>0</v>
      </c>
      <c r="I258" s="68">
        <f>'[1]IS Workings'!H207</f>
        <v>0</v>
      </c>
      <c r="J258" s="68">
        <f>'[1]IS Workings'!I207</f>
        <v>0</v>
      </c>
      <c r="K258" s="68">
        <f>'[1]IS Workings'!J207</f>
        <v>0</v>
      </c>
      <c r="L258" s="68">
        <f>'[1]IS Workings'!K207</f>
        <v>0</v>
      </c>
      <c r="M258" s="68">
        <f>'[1]IS Workings'!L207</f>
        <v>0</v>
      </c>
      <c r="N258" s="68">
        <f>'[1]IS Workings'!M207</f>
        <v>0</v>
      </c>
      <c r="O258" s="68">
        <f>'[1]IS Workings'!N207</f>
        <v>0</v>
      </c>
      <c r="P258" s="68">
        <f>'[1]IS Workings'!O207</f>
        <v>0</v>
      </c>
      <c r="Q258" s="68">
        <f>'[1]IS Workings'!P207</f>
        <v>0</v>
      </c>
      <c r="DZ258" s="22" t="s">
        <v>2</v>
      </c>
      <c r="EA258" s="23" t="s">
        <v>1</v>
      </c>
      <c r="EB258" s="23" t="s">
        <v>1</v>
      </c>
      <c r="EC258" s="23" t="s">
        <v>1</v>
      </c>
    </row>
    <row r="259" spans="1:133" s="19" customFormat="1" hidden="1" x14ac:dyDescent="0.25">
      <c r="B259" s="67" t="s">
        <v>116</v>
      </c>
      <c r="C259" s="22" t="s">
        <v>47</v>
      </c>
      <c r="E259" s="67"/>
      <c r="F259" s="68">
        <f>'[1]IS Workings'!E208</f>
        <v>0</v>
      </c>
      <c r="G259" s="67"/>
      <c r="H259" s="68">
        <f>'[1]IS Workings'!G208</f>
        <v>0</v>
      </c>
      <c r="I259" s="68">
        <f>'[1]IS Workings'!H208</f>
        <v>0</v>
      </c>
      <c r="J259" s="68">
        <f>'[1]IS Workings'!I208</f>
        <v>0</v>
      </c>
      <c r="K259" s="68">
        <f>'[1]IS Workings'!J208</f>
        <v>0</v>
      </c>
      <c r="L259" s="68">
        <f>'[1]IS Workings'!K208</f>
        <v>0</v>
      </c>
      <c r="M259" s="68">
        <f>'[1]IS Workings'!L208</f>
        <v>0</v>
      </c>
      <c r="N259" s="68">
        <f>'[1]IS Workings'!M208</f>
        <v>0</v>
      </c>
      <c r="O259" s="68">
        <f>'[1]IS Workings'!N208</f>
        <v>0</v>
      </c>
      <c r="P259" s="68">
        <f>'[1]IS Workings'!O208</f>
        <v>0</v>
      </c>
      <c r="Q259" s="68">
        <f>'[1]IS Workings'!P208</f>
        <v>0</v>
      </c>
      <c r="DZ259" s="22" t="s">
        <v>2</v>
      </c>
      <c r="EA259" s="23" t="s">
        <v>1</v>
      </c>
      <c r="EB259" s="23" t="s">
        <v>1</v>
      </c>
      <c r="EC259" s="23" t="s">
        <v>1</v>
      </c>
    </row>
    <row r="260" spans="1:133" s="19" customFormat="1" hidden="1" x14ac:dyDescent="0.25">
      <c r="B260" s="67" t="s">
        <v>105</v>
      </c>
      <c r="C260" s="22" t="s">
        <v>47</v>
      </c>
      <c r="E260" s="67"/>
      <c r="F260" s="52">
        <f>ROUND(F251-SUM(F252:F259),0)</f>
        <v>0</v>
      </c>
      <c r="G260" s="67"/>
      <c r="H260" s="52">
        <f>ROUND(H251-SUM(H252:H259),0)</f>
        <v>0</v>
      </c>
      <c r="I260" s="52">
        <f t="shared" ref="I260:Q260" si="118">ROUND(I251-SUM(I252:I259),0)</f>
        <v>0</v>
      </c>
      <c r="J260" s="52">
        <f t="shared" si="118"/>
        <v>0</v>
      </c>
      <c r="K260" s="52">
        <f t="shared" si="118"/>
        <v>0</v>
      </c>
      <c r="L260" s="52">
        <f t="shared" si="118"/>
        <v>0</v>
      </c>
      <c r="M260" s="52">
        <f t="shared" si="118"/>
        <v>0</v>
      </c>
      <c r="N260" s="52">
        <f t="shared" si="118"/>
        <v>0</v>
      </c>
      <c r="O260" s="52">
        <f t="shared" si="118"/>
        <v>0</v>
      </c>
      <c r="P260" s="52">
        <f t="shared" si="118"/>
        <v>0</v>
      </c>
      <c r="Q260" s="52">
        <f t="shared" si="118"/>
        <v>0</v>
      </c>
      <c r="DZ260" s="22" t="s">
        <v>2</v>
      </c>
      <c r="EA260" s="23" t="s">
        <v>1</v>
      </c>
      <c r="EB260" s="23" t="s">
        <v>1</v>
      </c>
      <c r="EC260" s="23" t="s">
        <v>1</v>
      </c>
    </row>
    <row r="261" spans="1:133" s="19" customFormat="1" hidden="1" x14ac:dyDescent="0.25">
      <c r="B261" s="67" t="s">
        <v>117</v>
      </c>
      <c r="C261" s="22" t="s">
        <v>47</v>
      </c>
      <c r="E261" s="67"/>
      <c r="F261" s="37">
        <f>-ROUND('[1]Loans - External'!J83,2)</f>
        <v>-194156.12</v>
      </c>
      <c r="G261" s="67"/>
      <c r="H261" s="37">
        <f>-ROUND('[1]Loans - External'!K83,2)</f>
        <v>-155857.18</v>
      </c>
      <c r="I261" s="37">
        <f>-ROUND('[1]Loans - External'!L83,2)</f>
        <v>-125571.66</v>
      </c>
      <c r="J261" s="37">
        <f>-ROUND('[1]Loans - External'!M83,2)</f>
        <v>-95371.97</v>
      </c>
      <c r="K261" s="37">
        <f>-ROUND('[1]Loans - External'!N83,2)</f>
        <v>-66071.42</v>
      </c>
      <c r="L261" s="37">
        <f>-ROUND('[1]Loans - External'!O83,2)</f>
        <v>-43132.7</v>
      </c>
      <c r="M261" s="37">
        <f>-ROUND('[1]Loans - External'!P83,2)</f>
        <v>-17782.88</v>
      </c>
      <c r="N261" s="37">
        <f>-ROUND('[1]Loans - External'!Q83,2)</f>
        <v>-9710.49</v>
      </c>
      <c r="O261" s="37">
        <f>-ROUND('[1]Loans - External'!R83,2)</f>
        <v>-9022.2999999999993</v>
      </c>
      <c r="P261" s="37">
        <f>-ROUND('[1]Loans - External'!S83,2)</f>
        <v>-8329.4699999999993</v>
      </c>
      <c r="Q261" s="37">
        <f>-ROUND('[1]Loans - External'!T83,2)</f>
        <v>-7563.6</v>
      </c>
      <c r="DZ261" s="22" t="s">
        <v>2</v>
      </c>
      <c r="EA261" s="23" t="s">
        <v>1</v>
      </c>
      <c r="EB261" s="23" t="s">
        <v>1</v>
      </c>
      <c r="EC261" s="23" t="s">
        <v>1</v>
      </c>
    </row>
    <row r="262" spans="1:133" s="19" customFormat="1" hidden="1" x14ac:dyDescent="0.25">
      <c r="A262" s="19" t="str">
        <f>'[1]Budget Summary 1'!D43</f>
        <v>Borrowing Costs - Interest on Loans (External)</v>
      </c>
      <c r="B262" s="67" t="s">
        <v>118</v>
      </c>
      <c r="C262" s="22" t="s">
        <v>47</v>
      </c>
      <c r="E262" s="67"/>
      <c r="F262" s="37">
        <f>+SUMIF('[1]Budget Summary 1'!$D:$D,$A262,'[1]Budget Summary 1'!J:J)</f>
        <v>194156.11</v>
      </c>
      <c r="G262" s="67"/>
      <c r="H262" s="37">
        <f>+SUMIF('[1]Budget Summary 1'!$D:$D,$A262,'[1]Budget Summary 1'!L:L)</f>
        <v>155857.10999999999</v>
      </c>
      <c r="I262" s="37">
        <f>+SUMIF('[1]Budget Summary 1'!$D:$D,$A262,'[1]Budget Summary 1'!M:M)</f>
        <v>125572.11</v>
      </c>
      <c r="J262" s="37">
        <f>+SUMIF('[1]Budget Summary 1'!$D:$D,$A262,'[1]Budget Summary 1'!N:N)</f>
        <v>95372.11</v>
      </c>
      <c r="K262" s="37">
        <f>+SUMIF('[1]Budget Summary 1'!$D:$D,$A262,'[1]Budget Summary 1'!O:O)</f>
        <v>66071.11</v>
      </c>
      <c r="L262" s="37">
        <f>+SUMIF('[1]Budget Summary 1'!$D:$D,$A262,'[1]Budget Summary 1'!P:P)</f>
        <v>43133.11</v>
      </c>
      <c r="M262" s="37">
        <f>+SUMIF('[1]Budget Summary 1'!$D:$D,$A262,'[1]Budget Summary 1'!Q:Q)</f>
        <v>17783.11</v>
      </c>
      <c r="N262" s="37">
        <f>+SUMIF('[1]Budget Summary 1'!$D:$D,$A262,'[1]Budget Summary 1'!R:R)</f>
        <v>9710.11</v>
      </c>
      <c r="O262" s="37">
        <f>+SUMIF('[1]Budget Summary 1'!$D:$D,$A262,'[1]Budget Summary 1'!S:S)</f>
        <v>9022.11</v>
      </c>
      <c r="P262" s="37">
        <f>+SUMIF('[1]Budget Summary 1'!$D:$D,$A262,'[1]Budget Summary 1'!T:T)</f>
        <v>8329.11</v>
      </c>
      <c r="Q262" s="37">
        <f>+SUMIF('[1]Budget Summary 1'!$D:$D,$A262,'[1]Budget Summary 1'!U:U)</f>
        <v>7564.11</v>
      </c>
      <c r="DZ262" s="22" t="s">
        <v>2</v>
      </c>
      <c r="EA262" s="23" t="s">
        <v>1</v>
      </c>
      <c r="EB262" s="23" t="s">
        <v>1</v>
      </c>
      <c r="EC262" s="23" t="s">
        <v>1</v>
      </c>
    </row>
    <row r="263" spans="1:133" s="19" customFormat="1" hidden="1" x14ac:dyDescent="0.25">
      <c r="B263" s="67" t="s">
        <v>71</v>
      </c>
      <c r="C263" s="22" t="s">
        <v>47</v>
      </c>
      <c r="E263" s="67"/>
      <c r="F263" s="37">
        <f>ROUND(SUM(F260:F262),0)</f>
        <v>0</v>
      </c>
      <c r="G263" s="67"/>
      <c r="H263" s="37">
        <f t="shared" ref="H263:Q263" si="119">ROUND(SUM(H260:H262),0)</f>
        <v>0</v>
      </c>
      <c r="I263" s="37">
        <f t="shared" si="119"/>
        <v>0</v>
      </c>
      <c r="J263" s="37">
        <f t="shared" si="119"/>
        <v>0</v>
      </c>
      <c r="K263" s="37">
        <f t="shared" si="119"/>
        <v>0</v>
      </c>
      <c r="L263" s="37">
        <f t="shared" si="119"/>
        <v>0</v>
      </c>
      <c r="M263" s="37">
        <f t="shared" si="119"/>
        <v>0</v>
      </c>
      <c r="N263" s="37">
        <f t="shared" si="119"/>
        <v>0</v>
      </c>
      <c r="O263" s="37">
        <f t="shared" si="119"/>
        <v>0</v>
      </c>
      <c r="P263" s="37">
        <f t="shared" si="119"/>
        <v>0</v>
      </c>
      <c r="Q263" s="37">
        <f t="shared" si="119"/>
        <v>1</v>
      </c>
      <c r="DZ263" s="22" t="s">
        <v>2</v>
      </c>
      <c r="EA263" s="23" t="s">
        <v>1</v>
      </c>
      <c r="EB263" s="23" t="s">
        <v>1</v>
      </c>
      <c r="EC263" s="23" t="s">
        <v>1</v>
      </c>
    </row>
    <row r="264" spans="1:133" s="19" customFormat="1" hidden="1" x14ac:dyDescent="0.25">
      <c r="B264" s="67"/>
      <c r="C264" s="22" t="s">
        <v>47</v>
      </c>
      <c r="E264" s="67"/>
      <c r="F264" s="37"/>
      <c r="G264" s="6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DZ264" s="22" t="s">
        <v>2</v>
      </c>
      <c r="EA264" s="23" t="s">
        <v>1</v>
      </c>
      <c r="EB264" s="23" t="s">
        <v>1</v>
      </c>
      <c r="EC264" s="23" t="s">
        <v>1</v>
      </c>
    </row>
    <row r="265" spans="1:133" s="19" customFormat="1" hidden="1" x14ac:dyDescent="0.25">
      <c r="B265" s="67"/>
      <c r="C265" s="22" t="s">
        <v>47</v>
      </c>
      <c r="E265" s="67"/>
      <c r="F265" s="37"/>
      <c r="G265" s="6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DZ265" s="22" t="s">
        <v>2</v>
      </c>
      <c r="EA265" s="23" t="s">
        <v>1</v>
      </c>
      <c r="EB265" s="23" t="s">
        <v>1</v>
      </c>
      <c r="EC265" s="23" t="s">
        <v>1</v>
      </c>
    </row>
    <row r="266" spans="1:133" s="19" customFormat="1" hidden="1" x14ac:dyDescent="0.25">
      <c r="C266" s="22" t="s">
        <v>47</v>
      </c>
      <c r="DZ266" s="22" t="s">
        <v>2</v>
      </c>
      <c r="EA266" s="23" t="s">
        <v>1</v>
      </c>
      <c r="EB266" s="23" t="s">
        <v>1</v>
      </c>
      <c r="EC266" s="23" t="s">
        <v>1</v>
      </c>
    </row>
    <row r="267" spans="1:133" s="19" customFormat="1" hidden="1" x14ac:dyDescent="0.25">
      <c r="B267" s="19" t="str">
        <f>B22</f>
        <v>Materials &amp; Contracts</v>
      </c>
      <c r="C267" s="22" t="s">
        <v>47</v>
      </c>
      <c r="DZ267" s="22" t="s">
        <v>2</v>
      </c>
      <c r="EA267" s="23" t="s">
        <v>1</v>
      </c>
      <c r="EB267" s="23" t="s">
        <v>1</v>
      </c>
      <c r="EC267" s="23" t="s">
        <v>1</v>
      </c>
    </row>
    <row r="268" spans="1:133" s="19" customFormat="1" hidden="1" x14ac:dyDescent="0.25">
      <c r="B268" s="67" t="s">
        <v>99</v>
      </c>
      <c r="C268" s="22" t="s">
        <v>47</v>
      </c>
      <c r="E268" s="67"/>
      <c r="F268" s="19">
        <f>F22</f>
        <v>4112235.8099999982</v>
      </c>
      <c r="G268" s="67"/>
      <c r="H268" s="19">
        <f t="shared" ref="H268:Q268" si="120">H22</f>
        <v>4382256.1299999962</v>
      </c>
      <c r="I268" s="19">
        <f t="shared" si="120"/>
        <v>4612429.5000000056</v>
      </c>
      <c r="J268" s="19">
        <f t="shared" si="120"/>
        <v>4608804.6200000085</v>
      </c>
      <c r="K268" s="19">
        <f t="shared" si="120"/>
        <v>4761440.3699999964</v>
      </c>
      <c r="L268" s="19">
        <f t="shared" si="120"/>
        <v>4825311.9100000048</v>
      </c>
      <c r="M268" s="19">
        <f t="shared" si="120"/>
        <v>4941468.9200000009</v>
      </c>
      <c r="N268" s="19">
        <f t="shared" si="120"/>
        <v>5059961.3500000024</v>
      </c>
      <c r="O268" s="19">
        <f t="shared" si="120"/>
        <v>5150840.4499999844</v>
      </c>
      <c r="P268" s="19">
        <f t="shared" si="120"/>
        <v>5264159.0499999877</v>
      </c>
      <c r="Q268" s="19">
        <f t="shared" si="120"/>
        <v>5379970.3200000003</v>
      </c>
      <c r="DZ268" s="22" t="s">
        <v>2</v>
      </c>
      <c r="EA268" s="23" t="s">
        <v>1</v>
      </c>
      <c r="EB268" s="23" t="s">
        <v>1</v>
      </c>
      <c r="EC268" s="23" t="s">
        <v>1</v>
      </c>
    </row>
    <row r="269" spans="1:133" s="19" customFormat="1" hidden="1" x14ac:dyDescent="0.25">
      <c r="B269" s="67" t="s">
        <v>100</v>
      </c>
      <c r="C269" s="22" t="s">
        <v>47</v>
      </c>
      <c r="E269" s="67"/>
      <c r="F269" s="19">
        <f>SUMIF('[1]Budget Summary 1'!$C:$C,$A22,'[1]Budget Summary 1'!J:J)+'[1]Budget Summary 1'!J166+'[1]Budget Summary 1'!J171</f>
        <v>4112235.8099999982</v>
      </c>
      <c r="G269" s="67"/>
      <c r="H269" s="19">
        <f>SUMIF('[1]Budget Summary 1'!$C:$C,$A22,'[1]Budget Summary 1'!L:L)+'[1]Budget Summary 1'!L166+'[1]Budget Summary 1'!L171</f>
        <v>4382256.1299999962</v>
      </c>
      <c r="I269" s="19">
        <f>SUMIF('[1]Budget Summary 1'!$C:$C,$A22,'[1]Budget Summary 1'!M:M)+'[1]Budget Summary 1'!M166+'[1]Budget Summary 1'!M171</f>
        <v>4612429.5000000056</v>
      </c>
      <c r="J269" s="19">
        <f>SUMIF('[1]Budget Summary 1'!$C:$C,$A22,'[1]Budget Summary 1'!N:N)+'[1]Budget Summary 1'!N166+'[1]Budget Summary 1'!N171</f>
        <v>4608804.6200000085</v>
      </c>
      <c r="K269" s="19">
        <f>SUMIF('[1]Budget Summary 1'!$C:$C,$A22,'[1]Budget Summary 1'!O:O)+'[1]Budget Summary 1'!O166+'[1]Budget Summary 1'!O171</f>
        <v>4761440.3699999964</v>
      </c>
      <c r="L269" s="19">
        <f>SUMIF('[1]Budget Summary 1'!$C:$C,$A22,'[1]Budget Summary 1'!P:P)+'[1]Budget Summary 1'!P166+'[1]Budget Summary 1'!P171</f>
        <v>4825311.9100000048</v>
      </c>
      <c r="M269" s="19">
        <f>SUMIF('[1]Budget Summary 1'!$C:$C,$A22,'[1]Budget Summary 1'!Q:Q)+'[1]Budget Summary 1'!Q166+'[1]Budget Summary 1'!Q171</f>
        <v>4941468.9200000009</v>
      </c>
      <c r="N269" s="19">
        <f>SUMIF('[1]Budget Summary 1'!$C:$C,$A22,'[1]Budget Summary 1'!R:R)+'[1]Budget Summary 1'!R166+'[1]Budget Summary 1'!R171</f>
        <v>5059961.3500000024</v>
      </c>
      <c r="O269" s="19">
        <f>SUMIF('[1]Budget Summary 1'!$C:$C,$A22,'[1]Budget Summary 1'!S:S)+'[1]Budget Summary 1'!S166+'[1]Budget Summary 1'!S171</f>
        <v>5150840.4499999844</v>
      </c>
      <c r="P269" s="19">
        <f>SUMIF('[1]Budget Summary 1'!$C:$C,$A22,'[1]Budget Summary 1'!T:T)+'[1]Budget Summary 1'!T166+'[1]Budget Summary 1'!T171</f>
        <v>5264159.0499999877</v>
      </c>
      <c r="Q269" s="19">
        <f>SUMIF('[1]Budget Summary 1'!$C:$C,$A22,'[1]Budget Summary 1'!U:U)+'[1]Budget Summary 1'!U166+'[1]Budget Summary 1'!U171</f>
        <v>5379970.3200000003</v>
      </c>
      <c r="DZ269" s="22" t="s">
        <v>2</v>
      </c>
      <c r="EA269" s="23" t="s">
        <v>1</v>
      </c>
      <c r="EB269" s="23" t="s">
        <v>1</v>
      </c>
      <c r="EC269" s="23" t="s">
        <v>1</v>
      </c>
    </row>
    <row r="270" spans="1:133" s="19" customFormat="1" hidden="1" x14ac:dyDescent="0.25">
      <c r="B270" s="67" t="s">
        <v>71</v>
      </c>
      <c r="C270" s="22" t="s">
        <v>47</v>
      </c>
      <c r="E270" s="67"/>
      <c r="F270" s="42">
        <f>ROUND(F268-F269,0)</f>
        <v>0</v>
      </c>
      <c r="G270" s="67"/>
      <c r="H270" s="42">
        <f t="shared" ref="H270:Q270" si="121">ROUND(H268-H269,0)</f>
        <v>0</v>
      </c>
      <c r="I270" s="42">
        <f t="shared" si="121"/>
        <v>0</v>
      </c>
      <c r="J270" s="42">
        <f t="shared" si="121"/>
        <v>0</v>
      </c>
      <c r="K270" s="42">
        <f t="shared" si="121"/>
        <v>0</v>
      </c>
      <c r="L270" s="42">
        <f t="shared" si="121"/>
        <v>0</v>
      </c>
      <c r="M270" s="42">
        <f t="shared" si="121"/>
        <v>0</v>
      </c>
      <c r="N270" s="42">
        <f t="shared" si="121"/>
        <v>0</v>
      </c>
      <c r="O270" s="42">
        <f t="shared" si="121"/>
        <v>0</v>
      </c>
      <c r="P270" s="42">
        <f t="shared" si="121"/>
        <v>0</v>
      </c>
      <c r="Q270" s="42">
        <f t="shared" si="121"/>
        <v>0</v>
      </c>
      <c r="DZ270" s="22" t="s">
        <v>2</v>
      </c>
      <c r="EA270" s="23" t="s">
        <v>1</v>
      </c>
      <c r="EB270" s="23" t="s">
        <v>1</v>
      </c>
      <c r="EC270" s="23" t="s">
        <v>1</v>
      </c>
    </row>
    <row r="271" spans="1:133" s="19" customFormat="1" hidden="1" x14ac:dyDescent="0.25">
      <c r="B271" s="67" t="s">
        <v>101</v>
      </c>
      <c r="C271" s="22" t="s">
        <v>47</v>
      </c>
      <c r="E271" s="67"/>
      <c r="F271" s="37">
        <f>+'[1]S94 - Plan Summary'!D24</f>
        <v>0</v>
      </c>
      <c r="G271" s="67"/>
      <c r="H271" s="37">
        <f>+'[1]S94 - Plan Summary'!F24</f>
        <v>0</v>
      </c>
      <c r="I271" s="37">
        <f>+'[1]S94 - Plan Summary'!G24</f>
        <v>0</v>
      </c>
      <c r="J271" s="37">
        <f>+'[1]S94 - Plan Summary'!H24</f>
        <v>0</v>
      </c>
      <c r="K271" s="37">
        <f>+'[1]S94 - Plan Summary'!I24</f>
        <v>0</v>
      </c>
      <c r="L271" s="37">
        <f>+'[1]S94 - Plan Summary'!J24</f>
        <v>0</v>
      </c>
      <c r="M271" s="37">
        <f>+'[1]S94 - Plan Summary'!K24</f>
        <v>0</v>
      </c>
      <c r="N271" s="37">
        <f>+'[1]S94 - Plan Summary'!L24</f>
        <v>0</v>
      </c>
      <c r="O271" s="37">
        <f>+'[1]S94 - Plan Summary'!M24</f>
        <v>0</v>
      </c>
      <c r="P271" s="37">
        <f>+'[1]S94 - Plan Summary'!N24</f>
        <v>0</v>
      </c>
      <c r="Q271" s="37">
        <f>+'[1]S94 - Plan Summary'!O24</f>
        <v>0</v>
      </c>
      <c r="DZ271" s="22" t="s">
        <v>2</v>
      </c>
      <c r="EA271" s="23" t="s">
        <v>1</v>
      </c>
      <c r="EB271" s="23" t="s">
        <v>1</v>
      </c>
      <c r="EC271" s="23" t="s">
        <v>1</v>
      </c>
    </row>
    <row r="272" spans="1:133" s="19" customFormat="1" hidden="1" x14ac:dyDescent="0.25">
      <c r="B272" s="67" t="s">
        <v>102</v>
      </c>
      <c r="C272" s="22" t="s">
        <v>47</v>
      </c>
      <c r="E272" s="67"/>
      <c r="F272" s="37">
        <f>IF('[1]S94 - Plan Summary'!$R68=TRUE,'[1]S94 - Plan Summary'!D68,0)</f>
        <v>0</v>
      </c>
      <c r="G272" s="67"/>
      <c r="H272" s="37">
        <f>IF('[1]S94 - Plan Summary'!$R68=TRUE,'[1]S94 - Plan Summary'!F68,0)</f>
        <v>0</v>
      </c>
      <c r="I272" s="37">
        <f>IF('[1]S94 - Plan Summary'!$R68=TRUE,'[1]S94 - Plan Summary'!G68,0)</f>
        <v>0</v>
      </c>
      <c r="J272" s="37">
        <f>IF('[1]S94 - Plan Summary'!$R68=TRUE,'[1]S94 - Plan Summary'!H68,0)</f>
        <v>0</v>
      </c>
      <c r="K272" s="37">
        <f>IF('[1]S94 - Plan Summary'!$R68=TRUE,'[1]S94 - Plan Summary'!I68,0)</f>
        <v>0</v>
      </c>
      <c r="L272" s="37">
        <f>IF('[1]S94 - Plan Summary'!$R68=TRUE,'[1]S94 - Plan Summary'!J68,0)</f>
        <v>0</v>
      </c>
      <c r="M272" s="37">
        <f>IF('[1]S94 - Plan Summary'!$R68=TRUE,'[1]S94 - Plan Summary'!K68,0)</f>
        <v>0</v>
      </c>
      <c r="N272" s="37">
        <f>IF('[1]S94 - Plan Summary'!$R68=TRUE,'[1]S94 - Plan Summary'!L68,0)</f>
        <v>0</v>
      </c>
      <c r="O272" s="37">
        <f>IF('[1]S94 - Plan Summary'!$R68=TRUE,'[1]S94 - Plan Summary'!M68,0)</f>
        <v>0</v>
      </c>
      <c r="P272" s="37">
        <f>IF('[1]S94 - Plan Summary'!$R68=TRUE,'[1]S94 - Plan Summary'!N68,0)</f>
        <v>0</v>
      </c>
      <c r="Q272" s="37">
        <f>IF('[1]S94 - Plan Summary'!$R68=TRUE,'[1]S94 - Plan Summary'!O68,0)</f>
        <v>0</v>
      </c>
      <c r="DZ272" s="22" t="s">
        <v>2</v>
      </c>
      <c r="EA272" s="23" t="s">
        <v>1</v>
      </c>
      <c r="EB272" s="23" t="s">
        <v>1</v>
      </c>
      <c r="EC272" s="23" t="s">
        <v>1</v>
      </c>
    </row>
    <row r="273" spans="2:133" s="19" customFormat="1" hidden="1" x14ac:dyDescent="0.25">
      <c r="B273" s="67" t="s">
        <v>103</v>
      </c>
      <c r="C273" s="22" t="s">
        <v>47</v>
      </c>
      <c r="E273" s="67"/>
      <c r="F273" s="37">
        <f>IF('[1]CAPEX Summary'!$BS88=TRUE,SUM('[1]CAPEX Summary'!E88),0)</f>
        <v>0</v>
      </c>
      <c r="G273" s="67"/>
      <c r="H273" s="37">
        <f ca="1">IF('[1]CAPEX Summary'!$BS88=TRUE,SUM('[1]CAPEX Summary'!G88),0)</f>
        <v>0</v>
      </c>
      <c r="I273" s="37">
        <f ca="1">IF('[1]CAPEX Summary'!$BS88=TRUE,SUM('[1]CAPEX Summary'!H88),0)</f>
        <v>0</v>
      </c>
      <c r="J273" s="37">
        <f ca="1">IF('[1]CAPEX Summary'!$BS88=TRUE,SUM('[1]CAPEX Summary'!I88),0)</f>
        <v>0</v>
      </c>
      <c r="K273" s="37">
        <f ca="1">IF('[1]CAPEX Summary'!$BS88=TRUE,SUM('[1]CAPEX Summary'!J88),0)</f>
        <v>0</v>
      </c>
      <c r="L273" s="37">
        <f ca="1">IF('[1]CAPEX Summary'!$BS88=TRUE,SUM('[1]CAPEX Summary'!K88),0)</f>
        <v>0</v>
      </c>
      <c r="M273" s="37">
        <f ca="1">IF('[1]CAPEX Summary'!$BS88=TRUE,SUM('[1]CAPEX Summary'!L88),0)</f>
        <v>0</v>
      </c>
      <c r="N273" s="37">
        <f ca="1">IF('[1]CAPEX Summary'!$BS88=TRUE,SUM('[1]CAPEX Summary'!M88),0)</f>
        <v>0</v>
      </c>
      <c r="O273" s="37">
        <f ca="1">IF('[1]CAPEX Summary'!$BS88=TRUE,SUM('[1]CAPEX Summary'!N88),0)</f>
        <v>0</v>
      </c>
      <c r="P273" s="37">
        <f ca="1">IF('[1]CAPEX Summary'!$BS88=TRUE,SUM('[1]CAPEX Summary'!O88),0)</f>
        <v>0</v>
      </c>
      <c r="Q273" s="37">
        <f ca="1">IF('[1]CAPEX Summary'!$BS88=TRUE,SUM('[1]CAPEX Summary'!P88),0)</f>
        <v>0</v>
      </c>
      <c r="DZ273" s="22" t="s">
        <v>2</v>
      </c>
      <c r="EA273" s="23" t="s">
        <v>1</v>
      </c>
      <c r="EB273" s="23" t="s">
        <v>1</v>
      </c>
      <c r="EC273" s="23" t="s">
        <v>1</v>
      </c>
    </row>
    <row r="274" spans="2:133" s="19" customFormat="1" hidden="1" x14ac:dyDescent="0.25">
      <c r="B274" s="67" t="s">
        <v>104</v>
      </c>
      <c r="C274" s="22" t="s">
        <v>47</v>
      </c>
      <c r="E274" s="67"/>
      <c r="F274" s="37">
        <f>'[1]Major Projects summary'!E37</f>
        <v>0</v>
      </c>
      <c r="G274" s="67"/>
      <c r="H274" s="37">
        <f>'[1]Major Projects summary'!G37</f>
        <v>0</v>
      </c>
      <c r="I274" s="37">
        <f>'[1]Major Projects summary'!H37</f>
        <v>0</v>
      </c>
      <c r="J274" s="37">
        <f>'[1]Major Projects summary'!I37</f>
        <v>0</v>
      </c>
      <c r="K274" s="37">
        <f>'[1]Major Projects summary'!J37</f>
        <v>0</v>
      </c>
      <c r="L274" s="37">
        <f>'[1]Major Projects summary'!K37</f>
        <v>0</v>
      </c>
      <c r="M274" s="37">
        <f>'[1]Major Projects summary'!L37</f>
        <v>0</v>
      </c>
      <c r="N274" s="37">
        <f>'[1]Major Projects summary'!M37</f>
        <v>0</v>
      </c>
      <c r="O274" s="37">
        <f>'[1]Major Projects summary'!N37</f>
        <v>0</v>
      </c>
      <c r="P274" s="37">
        <f>'[1]Major Projects summary'!O37</f>
        <v>0</v>
      </c>
      <c r="Q274" s="37">
        <f>'[1]Major Projects summary'!P37</f>
        <v>0</v>
      </c>
      <c r="DZ274" s="22" t="s">
        <v>2</v>
      </c>
      <c r="EA274" s="23" t="s">
        <v>1</v>
      </c>
      <c r="EB274" s="23" t="s">
        <v>1</v>
      </c>
      <c r="EC274" s="23" t="s">
        <v>1</v>
      </c>
    </row>
    <row r="275" spans="2:133" s="19" customFormat="1" hidden="1" x14ac:dyDescent="0.25">
      <c r="B275" s="67" t="s">
        <v>108</v>
      </c>
      <c r="C275" s="22" t="s">
        <v>47</v>
      </c>
      <c r="E275" s="67"/>
      <c r="F275" s="37">
        <f>'[1]Major Projects summary'!E95</f>
        <v>0</v>
      </c>
      <c r="G275" s="67"/>
      <c r="H275" s="37">
        <f>'[1]Major Projects summary'!G95</f>
        <v>0</v>
      </c>
      <c r="I275" s="37">
        <f>'[1]Major Projects summary'!H95</f>
        <v>0</v>
      </c>
      <c r="J275" s="37">
        <f>'[1]Major Projects summary'!I95</f>
        <v>0</v>
      </c>
      <c r="K275" s="37">
        <f>'[1]Major Projects summary'!J95</f>
        <v>0</v>
      </c>
      <c r="L275" s="37">
        <f>'[1]Major Projects summary'!K95</f>
        <v>0</v>
      </c>
      <c r="M275" s="37">
        <f>'[1]Major Projects summary'!L95</f>
        <v>0</v>
      </c>
      <c r="N275" s="37">
        <f>'[1]Major Projects summary'!M95</f>
        <v>0</v>
      </c>
      <c r="O275" s="37">
        <f>'[1]Major Projects summary'!N95</f>
        <v>0</v>
      </c>
      <c r="P275" s="37">
        <f>'[1]Major Projects summary'!O95</f>
        <v>0</v>
      </c>
      <c r="Q275" s="37">
        <f>'[1]Major Projects summary'!P95</f>
        <v>0</v>
      </c>
      <c r="DZ275" s="22" t="s">
        <v>2</v>
      </c>
      <c r="EA275" s="23" t="s">
        <v>1</v>
      </c>
      <c r="EB275" s="23" t="s">
        <v>1</v>
      </c>
      <c r="EC275" s="23" t="s">
        <v>1</v>
      </c>
    </row>
    <row r="276" spans="2:133" s="19" customFormat="1" hidden="1" x14ac:dyDescent="0.25">
      <c r="B276" s="67" t="s">
        <v>109</v>
      </c>
      <c r="C276" s="22" t="s">
        <v>47</v>
      </c>
      <c r="E276" s="67"/>
      <c r="F276" s="37">
        <f>'[1]Major Projects summary'!E96</f>
        <v>0</v>
      </c>
      <c r="G276" s="67"/>
      <c r="H276" s="37">
        <f>'[1]Major Projects summary'!G96</f>
        <v>0</v>
      </c>
      <c r="I276" s="37">
        <f>'[1]Major Projects summary'!H96</f>
        <v>0</v>
      </c>
      <c r="J276" s="37">
        <f>'[1]Major Projects summary'!I96</f>
        <v>0</v>
      </c>
      <c r="K276" s="37">
        <f>'[1]Major Projects summary'!J96</f>
        <v>0</v>
      </c>
      <c r="L276" s="37">
        <f>'[1]Major Projects summary'!K96</f>
        <v>0</v>
      </c>
      <c r="M276" s="37">
        <f>'[1]Major Projects summary'!L96</f>
        <v>0</v>
      </c>
      <c r="N276" s="37">
        <f>'[1]Major Projects summary'!M96</f>
        <v>0</v>
      </c>
      <c r="O276" s="37">
        <f>'[1]Major Projects summary'!N96</f>
        <v>0</v>
      </c>
      <c r="P276" s="37">
        <f>'[1]Major Projects summary'!O96</f>
        <v>0</v>
      </c>
      <c r="Q276" s="37">
        <f>'[1]Major Projects summary'!P96</f>
        <v>0</v>
      </c>
      <c r="DZ276" s="22" t="s">
        <v>2</v>
      </c>
      <c r="EA276" s="23" t="s">
        <v>1</v>
      </c>
      <c r="EB276" s="23" t="s">
        <v>1</v>
      </c>
      <c r="EC276" s="23" t="s">
        <v>1</v>
      </c>
    </row>
    <row r="277" spans="2:133" s="19" customFormat="1" hidden="1" x14ac:dyDescent="0.25">
      <c r="B277" s="67" t="s">
        <v>119</v>
      </c>
      <c r="C277" s="22" t="s">
        <v>47</v>
      </c>
      <c r="E277" s="67"/>
      <c r="F277" s="37">
        <f>'[1]Major Projects summary'!E108</f>
        <v>0</v>
      </c>
      <c r="G277" s="67"/>
      <c r="H277" s="37">
        <f>'[1]Major Projects summary'!G108</f>
        <v>0</v>
      </c>
      <c r="I277" s="37">
        <f>'[1]Major Projects summary'!H108</f>
        <v>0</v>
      </c>
      <c r="J277" s="37">
        <f>'[1]Major Projects summary'!I108</f>
        <v>0</v>
      </c>
      <c r="K277" s="37">
        <f>'[1]Major Projects summary'!J108</f>
        <v>0</v>
      </c>
      <c r="L277" s="37">
        <f>'[1]Major Projects summary'!K108</f>
        <v>0</v>
      </c>
      <c r="M277" s="37">
        <f>'[1]Major Projects summary'!L108</f>
        <v>0</v>
      </c>
      <c r="N277" s="37">
        <f>'[1]Major Projects summary'!M108</f>
        <v>0</v>
      </c>
      <c r="O277" s="37">
        <f>'[1]Major Projects summary'!N108</f>
        <v>0</v>
      </c>
      <c r="P277" s="37">
        <f>'[1]Major Projects summary'!O108</f>
        <v>0</v>
      </c>
      <c r="Q277" s="37">
        <f>'[1]Major Projects summary'!P108</f>
        <v>0</v>
      </c>
      <c r="DZ277" s="22" t="s">
        <v>2</v>
      </c>
      <c r="EA277" s="23" t="s">
        <v>1</v>
      </c>
      <c r="EB277" s="23" t="s">
        <v>1</v>
      </c>
      <c r="EC277" s="23" t="s">
        <v>1</v>
      </c>
    </row>
    <row r="278" spans="2:133" s="19" customFormat="1" hidden="1" x14ac:dyDescent="0.25">
      <c r="B278" s="67" t="s">
        <v>120</v>
      </c>
      <c r="C278" s="22" t="s">
        <v>47</v>
      </c>
      <c r="E278" s="67"/>
      <c r="F278" s="37">
        <f>'[1]RE Dev Summary'!E53</f>
        <v>0</v>
      </c>
      <c r="G278" s="67"/>
      <c r="H278" s="37">
        <f>'[1]RE Dev Summary'!G53</f>
        <v>0</v>
      </c>
      <c r="I278" s="37">
        <f>'[1]RE Dev Summary'!H53</f>
        <v>0</v>
      </c>
      <c r="J278" s="37">
        <f>'[1]RE Dev Summary'!I53</f>
        <v>0</v>
      </c>
      <c r="K278" s="37">
        <f>'[1]RE Dev Summary'!J53</f>
        <v>0</v>
      </c>
      <c r="L278" s="37">
        <f>'[1]RE Dev Summary'!K53</f>
        <v>0</v>
      </c>
      <c r="M278" s="37">
        <f>'[1]RE Dev Summary'!L53</f>
        <v>0</v>
      </c>
      <c r="N278" s="37">
        <f>'[1]RE Dev Summary'!M53</f>
        <v>0</v>
      </c>
      <c r="O278" s="37">
        <f>'[1]RE Dev Summary'!N53</f>
        <v>0</v>
      </c>
      <c r="P278" s="37">
        <f>'[1]RE Dev Summary'!O53</f>
        <v>0</v>
      </c>
      <c r="Q278" s="37">
        <f>'[1]RE Dev Summary'!P53</f>
        <v>0</v>
      </c>
      <c r="DZ278" s="22" t="s">
        <v>2</v>
      </c>
      <c r="EA278" s="23" t="s">
        <v>1</v>
      </c>
      <c r="EB278" s="23" t="s">
        <v>1</v>
      </c>
      <c r="EC278" s="23" t="s">
        <v>1</v>
      </c>
    </row>
    <row r="279" spans="2:133" s="19" customFormat="1" hidden="1" x14ac:dyDescent="0.25">
      <c r="B279" s="67" t="s">
        <v>121</v>
      </c>
      <c r="C279" s="22" t="s">
        <v>47</v>
      </c>
      <c r="E279" s="67"/>
      <c r="F279" s="37">
        <f>'[1]RE Dev Summary'!E63</f>
        <v>0</v>
      </c>
      <c r="G279" s="67"/>
      <c r="H279" s="37">
        <f>'[1]RE Dev Summary'!G63</f>
        <v>0</v>
      </c>
      <c r="I279" s="37">
        <f>'[1]RE Dev Summary'!H63</f>
        <v>0</v>
      </c>
      <c r="J279" s="37">
        <f>'[1]RE Dev Summary'!I63</f>
        <v>0</v>
      </c>
      <c r="K279" s="37">
        <f>'[1]RE Dev Summary'!J63</f>
        <v>0</v>
      </c>
      <c r="L279" s="37">
        <f>'[1]RE Dev Summary'!K63</f>
        <v>0</v>
      </c>
      <c r="M279" s="37">
        <f>'[1]RE Dev Summary'!L63</f>
        <v>0</v>
      </c>
      <c r="N279" s="37">
        <f>'[1]RE Dev Summary'!M63</f>
        <v>0</v>
      </c>
      <c r="O279" s="37">
        <f>'[1]RE Dev Summary'!N63</f>
        <v>0</v>
      </c>
      <c r="P279" s="37">
        <f>'[1]RE Dev Summary'!O63</f>
        <v>0</v>
      </c>
      <c r="Q279" s="37">
        <f>'[1]RE Dev Summary'!P63</f>
        <v>0</v>
      </c>
      <c r="DZ279" s="22" t="s">
        <v>2</v>
      </c>
      <c r="EA279" s="23" t="s">
        <v>1</v>
      </c>
      <c r="EB279" s="23" t="s">
        <v>1</v>
      </c>
      <c r="EC279" s="23" t="s">
        <v>1</v>
      </c>
    </row>
    <row r="280" spans="2:133" s="19" customFormat="1" hidden="1" x14ac:dyDescent="0.25">
      <c r="B280" s="67" t="s">
        <v>122</v>
      </c>
      <c r="C280" s="22" t="s">
        <v>47</v>
      </c>
      <c r="E280" s="67"/>
      <c r="F280" s="37">
        <f>'[1]Assets - Disposals &amp; Transfers'!E517</f>
        <v>0</v>
      </c>
      <c r="G280" s="67"/>
      <c r="H280" s="37">
        <f>'[1]Assets - Disposals &amp; Transfers'!G517</f>
        <v>0</v>
      </c>
      <c r="I280" s="37">
        <f>'[1]Assets - Disposals &amp; Transfers'!H517</f>
        <v>0</v>
      </c>
      <c r="J280" s="37">
        <f>'[1]Assets - Disposals &amp; Transfers'!I517</f>
        <v>0</v>
      </c>
      <c r="K280" s="37">
        <f>'[1]Assets - Disposals &amp; Transfers'!J517</f>
        <v>0</v>
      </c>
      <c r="L280" s="37">
        <f>'[1]Assets - Disposals &amp; Transfers'!K517</f>
        <v>0</v>
      </c>
      <c r="M280" s="37">
        <f>'[1]Assets - Disposals &amp; Transfers'!L517</f>
        <v>0</v>
      </c>
      <c r="N280" s="37">
        <f>'[1]Assets - Disposals &amp; Transfers'!M517</f>
        <v>0</v>
      </c>
      <c r="O280" s="37">
        <f>'[1]Assets - Disposals &amp; Transfers'!N517</f>
        <v>0</v>
      </c>
      <c r="P280" s="37">
        <f>'[1]Assets - Disposals &amp; Transfers'!O517</f>
        <v>0</v>
      </c>
      <c r="Q280" s="37">
        <f>'[1]Assets - Disposals &amp; Transfers'!P517</f>
        <v>0</v>
      </c>
      <c r="DZ280" s="22" t="s">
        <v>2</v>
      </c>
      <c r="EA280" s="23" t="s">
        <v>1</v>
      </c>
      <c r="EB280" s="23" t="s">
        <v>1</v>
      </c>
      <c r="EC280" s="23" t="s">
        <v>1</v>
      </c>
    </row>
    <row r="281" spans="2:133" s="19" customFormat="1" hidden="1" x14ac:dyDescent="0.25">
      <c r="B281" s="67" t="s">
        <v>123</v>
      </c>
      <c r="C281" s="22" t="s">
        <v>47</v>
      </c>
      <c r="E281" s="67"/>
      <c r="F281" s="37">
        <f>+'[1]Budget Summary 1'!J162</f>
        <v>0</v>
      </c>
      <c r="G281" s="67"/>
      <c r="H281" s="37">
        <f>+'[1]Budget Summary 1'!L162</f>
        <v>0</v>
      </c>
      <c r="I281" s="37">
        <f>+'[1]Budget Summary 1'!M162</f>
        <v>0</v>
      </c>
      <c r="J281" s="37">
        <f>+'[1]Budget Summary 1'!N162</f>
        <v>0</v>
      </c>
      <c r="K281" s="37">
        <f>+'[1]Budget Summary 1'!O162</f>
        <v>0</v>
      </c>
      <c r="L281" s="37">
        <f>+'[1]Budget Summary 1'!P162</f>
        <v>0</v>
      </c>
      <c r="M281" s="37">
        <f>+'[1]Budget Summary 1'!Q162</f>
        <v>0</v>
      </c>
      <c r="N281" s="37">
        <f>+'[1]Budget Summary 1'!R162</f>
        <v>0</v>
      </c>
      <c r="O281" s="37">
        <f>+'[1]Budget Summary 1'!S162</f>
        <v>0</v>
      </c>
      <c r="P281" s="37">
        <f>+'[1]Budget Summary 1'!T162</f>
        <v>0</v>
      </c>
      <c r="Q281" s="37">
        <f>+'[1]Budget Summary 1'!U162</f>
        <v>0</v>
      </c>
      <c r="DZ281" s="22" t="s">
        <v>2</v>
      </c>
      <c r="EA281" s="23" t="s">
        <v>1</v>
      </c>
      <c r="EB281" s="23" t="s">
        <v>1</v>
      </c>
      <c r="EC281" s="23" t="s">
        <v>1</v>
      </c>
    </row>
    <row r="282" spans="2:133" s="19" customFormat="1" hidden="1" x14ac:dyDescent="0.25">
      <c r="B282" s="67" t="s">
        <v>124</v>
      </c>
      <c r="C282" s="22" t="s">
        <v>47</v>
      </c>
      <c r="E282" s="67"/>
      <c r="F282" s="37">
        <f>IF('[1]Budget Summary 1'!J659&lt;0,-'[1]Budget Summary 1'!J659,0)-IF('[1]Budget Summary 1'!J659&gt;0,'[1]Budget Summary 1'!J659,0)</f>
        <v>0</v>
      </c>
      <c r="G282" s="67"/>
      <c r="H282" s="37">
        <f>IF('[1]Budget Summary 1'!L659&lt;0,-'[1]Budget Summary 1'!L659,0)-IF('[1]Budget Summary 1'!L659&gt;0,'[1]Budget Summary 1'!L659,0)</f>
        <v>0</v>
      </c>
      <c r="I282" s="37">
        <f>IF('[1]Budget Summary 1'!M659&lt;0,-'[1]Budget Summary 1'!M659,0)-IF('[1]Budget Summary 1'!M659&gt;0,'[1]Budget Summary 1'!M659,0)</f>
        <v>0</v>
      </c>
      <c r="J282" s="37">
        <f>IF('[1]Budget Summary 1'!N659&lt;0,-'[1]Budget Summary 1'!N659,0)-IF('[1]Budget Summary 1'!N659&gt;0,'[1]Budget Summary 1'!N659,0)</f>
        <v>0</v>
      </c>
      <c r="K282" s="37">
        <f>IF('[1]Budget Summary 1'!O659&lt;0,-'[1]Budget Summary 1'!O659,0)-IF('[1]Budget Summary 1'!O659&gt;0,'[1]Budget Summary 1'!O659,0)</f>
        <v>0</v>
      </c>
      <c r="L282" s="37">
        <f>IF('[1]Budget Summary 1'!P659&lt;0,-'[1]Budget Summary 1'!P659,0)-IF('[1]Budget Summary 1'!P659&gt;0,'[1]Budget Summary 1'!P659,0)</f>
        <v>0</v>
      </c>
      <c r="M282" s="37">
        <f>IF('[1]Budget Summary 1'!Q659&lt;0,-'[1]Budget Summary 1'!Q659,0)-IF('[1]Budget Summary 1'!Q659&gt;0,'[1]Budget Summary 1'!Q659,0)</f>
        <v>0</v>
      </c>
      <c r="N282" s="37">
        <f>IF('[1]Budget Summary 1'!R659&lt;0,-'[1]Budget Summary 1'!R659,0)-IF('[1]Budget Summary 1'!R659&gt;0,'[1]Budget Summary 1'!R659,0)</f>
        <v>0</v>
      </c>
      <c r="O282" s="37">
        <f>IF('[1]Budget Summary 1'!S659&lt;0,-'[1]Budget Summary 1'!S659,0)-IF('[1]Budget Summary 1'!S659&gt;0,'[1]Budget Summary 1'!S659,0)</f>
        <v>0</v>
      </c>
      <c r="P282" s="37">
        <f>IF('[1]Budget Summary 1'!T659&lt;0,-'[1]Budget Summary 1'!T659,0)-IF('[1]Budget Summary 1'!T659&gt;0,'[1]Budget Summary 1'!T659,0)</f>
        <v>0</v>
      </c>
      <c r="Q282" s="37">
        <f>IF('[1]Budget Summary 1'!U659&lt;0,-'[1]Budget Summary 1'!U659,0)-IF('[1]Budget Summary 1'!U659&gt;0,'[1]Budget Summary 1'!U659,0)</f>
        <v>0</v>
      </c>
      <c r="DZ282" s="22" t="s">
        <v>2</v>
      </c>
      <c r="EA282" s="23" t="s">
        <v>1</v>
      </c>
      <c r="EB282" s="23" t="s">
        <v>1</v>
      </c>
      <c r="EC282" s="23" t="s">
        <v>1</v>
      </c>
    </row>
    <row r="283" spans="2:133" s="19" customFormat="1" hidden="1" x14ac:dyDescent="0.25">
      <c r="B283" s="67" t="s">
        <v>105</v>
      </c>
      <c r="C283" s="22" t="s">
        <v>47</v>
      </c>
      <c r="E283" s="67"/>
      <c r="F283" s="52">
        <f>ROUND(F270-SUM(F271:F282),0)</f>
        <v>0</v>
      </c>
      <c r="G283" s="67"/>
      <c r="H283" s="52">
        <f ca="1">ROUND(H270-SUM(H271:H282),0)</f>
        <v>0</v>
      </c>
      <c r="I283" s="52">
        <f t="shared" ref="I283:Q283" ca="1" si="122">ROUND(I270-SUM(I271:I282),0)</f>
        <v>0</v>
      </c>
      <c r="J283" s="52">
        <f t="shared" ca="1" si="122"/>
        <v>0</v>
      </c>
      <c r="K283" s="52">
        <f t="shared" ca="1" si="122"/>
        <v>0</v>
      </c>
      <c r="L283" s="52">
        <f t="shared" ca="1" si="122"/>
        <v>0</v>
      </c>
      <c r="M283" s="52">
        <f t="shared" ca="1" si="122"/>
        <v>0</v>
      </c>
      <c r="N283" s="52">
        <f t="shared" ca="1" si="122"/>
        <v>0</v>
      </c>
      <c r="O283" s="52">
        <f t="shared" ca="1" si="122"/>
        <v>0</v>
      </c>
      <c r="P283" s="52">
        <f t="shared" ca="1" si="122"/>
        <v>0</v>
      </c>
      <c r="Q283" s="52">
        <f t="shared" ca="1" si="122"/>
        <v>0</v>
      </c>
      <c r="DZ283" s="22" t="s">
        <v>2</v>
      </c>
      <c r="EA283" s="23" t="s">
        <v>1</v>
      </c>
      <c r="EB283" s="23" t="s">
        <v>1</v>
      </c>
      <c r="EC283" s="23" t="s">
        <v>1</v>
      </c>
    </row>
    <row r="284" spans="2:133" s="19" customFormat="1" hidden="1" x14ac:dyDescent="0.25">
      <c r="C284" s="22" t="s">
        <v>47</v>
      </c>
      <c r="DZ284" s="22" t="s">
        <v>2</v>
      </c>
      <c r="EA284" s="23" t="s">
        <v>1</v>
      </c>
      <c r="EB284" s="23" t="s">
        <v>1</v>
      </c>
      <c r="EC284" s="23" t="s">
        <v>1</v>
      </c>
    </row>
    <row r="285" spans="2:133" s="19" customFormat="1" hidden="1" x14ac:dyDescent="0.25">
      <c r="B285" s="19" t="str">
        <f>B23</f>
        <v>Depreciation &amp; Amortisation</v>
      </c>
      <c r="C285" s="22" t="s">
        <v>47</v>
      </c>
      <c r="DZ285" s="22" t="s">
        <v>2</v>
      </c>
      <c r="EA285" s="23" t="s">
        <v>1</v>
      </c>
      <c r="EB285" s="23" t="s">
        <v>1</v>
      </c>
      <c r="EC285" s="23" t="s">
        <v>1</v>
      </c>
    </row>
    <row r="286" spans="2:133" s="19" customFormat="1" hidden="1" x14ac:dyDescent="0.25">
      <c r="B286" s="67" t="s">
        <v>99</v>
      </c>
      <c r="C286" s="22" t="s">
        <v>47</v>
      </c>
      <c r="E286" s="67"/>
      <c r="F286" s="19">
        <f>F23</f>
        <v>8363957.8600000013</v>
      </c>
      <c r="G286" s="67"/>
      <c r="H286" s="19">
        <f t="shared" ref="H286:Q286" si="123">H23</f>
        <v>8616618.8282974735</v>
      </c>
      <c r="I286" s="19">
        <f t="shared" si="123"/>
        <v>8881002.7246083785</v>
      </c>
      <c r="J286" s="19">
        <f t="shared" si="123"/>
        <v>9091076.9077750873</v>
      </c>
      <c r="K286" s="19">
        <f t="shared" si="123"/>
        <v>9317436.812024314</v>
      </c>
      <c r="L286" s="19">
        <f t="shared" si="123"/>
        <v>9558634.9540841095</v>
      </c>
      <c r="M286" s="19">
        <f t="shared" si="123"/>
        <v>9818131.5440672357</v>
      </c>
      <c r="N286" s="19">
        <f t="shared" si="123"/>
        <v>10062425.193559838</v>
      </c>
      <c r="O286" s="19">
        <f t="shared" si="123"/>
        <v>10314336.82688255</v>
      </c>
      <c r="P286" s="19">
        <f t="shared" si="123"/>
        <v>10569549.220801018</v>
      </c>
      <c r="Q286" s="19">
        <f t="shared" si="123"/>
        <v>10689948.080667615</v>
      </c>
      <c r="DZ286" s="22" t="s">
        <v>2</v>
      </c>
      <c r="EA286" s="23" t="s">
        <v>1</v>
      </c>
      <c r="EB286" s="23" t="s">
        <v>1</v>
      </c>
      <c r="EC286" s="23" t="s">
        <v>1</v>
      </c>
    </row>
    <row r="287" spans="2:133" s="19" customFormat="1" hidden="1" x14ac:dyDescent="0.25">
      <c r="B287" s="67" t="s">
        <v>100</v>
      </c>
      <c r="C287" s="22" t="s">
        <v>47</v>
      </c>
      <c r="E287" s="67"/>
      <c r="F287" s="19">
        <f>SUMIF('[1]Budget Summary 1'!$C:$C,$A23,'[1]Budget Summary 1'!J:J)+'[1]Budget Summary 1'!J167</f>
        <v>8363957.8600000013</v>
      </c>
      <c r="G287" s="67"/>
      <c r="H287" s="19">
        <f>SUMIF('[1]Budget Summary 1'!$C:$C,$A23,'[1]Budget Summary 1'!L:L)+'[1]Budget Summary 1'!L167</f>
        <v>8514509.0999999978</v>
      </c>
      <c r="I287" s="19">
        <f>SUMIF('[1]Budget Summary 1'!$C:$C,$A23,'[1]Budget Summary 1'!M:M)+'[1]Budget Summary 1'!M167</f>
        <v>8701828.290000001</v>
      </c>
      <c r="J287" s="19">
        <f>SUMIF('[1]Budget Summary 1'!$C:$C,$A23,'[1]Budget Summary 1'!N:N)+'[1]Budget Summary 1'!N167</f>
        <v>8893268.5199999977</v>
      </c>
      <c r="K287" s="19">
        <f>SUMIF('[1]Budget Summary 1'!$C:$C,$A23,'[1]Budget Summary 1'!O:O)+'[1]Budget Summary 1'!O167</f>
        <v>9088920.4299999997</v>
      </c>
      <c r="L287" s="19">
        <f>SUMIF('[1]Budget Summary 1'!$C:$C,$A23,'[1]Budget Summary 1'!P:P)+'[1]Budget Summary 1'!P167</f>
        <v>9288876.6900000013</v>
      </c>
      <c r="M287" s="19">
        <f>SUMIF('[1]Budget Summary 1'!$C:$C,$A23,'[1]Budget Summary 1'!Q:Q)+'[1]Budget Summary 1'!Q167</f>
        <v>9493231.9900000002</v>
      </c>
      <c r="N287" s="19">
        <f>SUMIF('[1]Budget Summary 1'!$C:$C,$A23,'[1]Budget Summary 1'!R:R)+'[1]Budget Summary 1'!R167</f>
        <v>9702083.1000000015</v>
      </c>
      <c r="O287" s="19">
        <f>SUMIF('[1]Budget Summary 1'!$C:$C,$A23,'[1]Budget Summary 1'!S:S)+'[1]Budget Summary 1'!S167</f>
        <v>9915528.9299999997</v>
      </c>
      <c r="P287" s="19">
        <f>SUMIF('[1]Budget Summary 1'!$C:$C,$A23,'[1]Budget Summary 1'!T:T)+'[1]Budget Summary 1'!T167</f>
        <v>10129670.57</v>
      </c>
      <c r="Q287" s="19">
        <f>SUMIF('[1]Budget Summary 1'!$C:$C,$A23,'[1]Budget Summary 1'!U:U)+'[1]Budget Summary 1'!U167</f>
        <v>10208523.32</v>
      </c>
      <c r="DZ287" s="22" t="s">
        <v>2</v>
      </c>
      <c r="EA287" s="23" t="s">
        <v>1</v>
      </c>
      <c r="EB287" s="23" t="s">
        <v>1</v>
      </c>
      <c r="EC287" s="23" t="s">
        <v>1</v>
      </c>
    </row>
    <row r="288" spans="2:133" s="19" customFormat="1" hidden="1" x14ac:dyDescent="0.25">
      <c r="B288" s="67" t="s">
        <v>71</v>
      </c>
      <c r="C288" s="22" t="s">
        <v>47</v>
      </c>
      <c r="E288" s="67"/>
      <c r="F288" s="42">
        <f>ROUND(F286-F287,0)</f>
        <v>0</v>
      </c>
      <c r="G288" s="67"/>
      <c r="H288" s="42">
        <f>ROUND(H286-H287,0)</f>
        <v>102110</v>
      </c>
      <c r="I288" s="42">
        <f t="shared" ref="I288:Q288" si="124">ROUND(I286-I287,0)</f>
        <v>179174</v>
      </c>
      <c r="J288" s="42">
        <f t="shared" si="124"/>
        <v>197808</v>
      </c>
      <c r="K288" s="42">
        <f t="shared" si="124"/>
        <v>228516</v>
      </c>
      <c r="L288" s="42">
        <f t="shared" si="124"/>
        <v>269758</v>
      </c>
      <c r="M288" s="42">
        <f t="shared" si="124"/>
        <v>324900</v>
      </c>
      <c r="N288" s="42">
        <f t="shared" si="124"/>
        <v>360342</v>
      </c>
      <c r="O288" s="42">
        <f t="shared" si="124"/>
        <v>398808</v>
      </c>
      <c r="P288" s="42">
        <f t="shared" si="124"/>
        <v>439879</v>
      </c>
      <c r="Q288" s="42">
        <f t="shared" si="124"/>
        <v>481425</v>
      </c>
      <c r="DZ288" s="22" t="s">
        <v>2</v>
      </c>
      <c r="EA288" s="23" t="s">
        <v>1</v>
      </c>
      <c r="EB288" s="23" t="s">
        <v>1</v>
      </c>
      <c r="EC288" s="23" t="s">
        <v>1</v>
      </c>
    </row>
    <row r="289" spans="2:133" s="19" customFormat="1" hidden="1" x14ac:dyDescent="0.25">
      <c r="B289" s="67" t="s">
        <v>101</v>
      </c>
      <c r="C289" s="22" t="s">
        <v>47</v>
      </c>
      <c r="E289" s="67"/>
      <c r="F289" s="37">
        <f>IF('[1]S94 - Plan Summary'!$R70=TRUE,'[1]S94 - Plan Summary'!D70,0)</f>
        <v>0</v>
      </c>
      <c r="G289" s="67"/>
      <c r="H289" s="37">
        <f>IF('[1]S94 - Plan Summary'!$R70=TRUE,'[1]S94 - Plan Summary'!F70,0)</f>
        <v>0</v>
      </c>
      <c r="I289" s="37">
        <f>IF('[1]S94 - Plan Summary'!$R70=TRUE,'[1]S94 - Plan Summary'!G70,0)</f>
        <v>0</v>
      </c>
      <c r="J289" s="37">
        <f>IF('[1]S94 - Plan Summary'!$R70=TRUE,'[1]S94 - Plan Summary'!H70,0)</f>
        <v>0</v>
      </c>
      <c r="K289" s="37">
        <f>IF('[1]S94 - Plan Summary'!$R70=TRUE,'[1]S94 - Plan Summary'!I70,0)</f>
        <v>0</v>
      </c>
      <c r="L289" s="37">
        <f>IF('[1]S94 - Plan Summary'!$R70=TRUE,'[1]S94 - Plan Summary'!J70,0)</f>
        <v>0</v>
      </c>
      <c r="M289" s="37">
        <f>IF('[1]S94 - Plan Summary'!$R70=TRUE,'[1]S94 - Plan Summary'!K70,0)</f>
        <v>0</v>
      </c>
      <c r="N289" s="37">
        <f>IF('[1]S94 - Plan Summary'!$R70=TRUE,'[1]S94 - Plan Summary'!L70,0)</f>
        <v>0</v>
      </c>
      <c r="O289" s="37">
        <f>IF('[1]S94 - Plan Summary'!$R70=TRUE,'[1]S94 - Plan Summary'!M70,0)</f>
        <v>0</v>
      </c>
      <c r="P289" s="37">
        <f>IF('[1]S94 - Plan Summary'!$R70=TRUE,'[1]S94 - Plan Summary'!N70,0)</f>
        <v>0</v>
      </c>
      <c r="Q289" s="37">
        <f>IF('[1]S94 - Plan Summary'!$R70=TRUE,'[1]S94 - Plan Summary'!O70,0)</f>
        <v>0</v>
      </c>
      <c r="DZ289" s="22" t="s">
        <v>2</v>
      </c>
      <c r="EA289" s="23" t="s">
        <v>1</v>
      </c>
      <c r="EB289" s="23" t="s">
        <v>1</v>
      </c>
      <c r="EC289" s="23" t="s">
        <v>1</v>
      </c>
    </row>
    <row r="290" spans="2:133" s="19" customFormat="1" hidden="1" x14ac:dyDescent="0.25">
      <c r="B290" s="67" t="s">
        <v>102</v>
      </c>
      <c r="C290" s="22" t="s">
        <v>47</v>
      </c>
      <c r="E290" s="67"/>
      <c r="F290" s="37">
        <f>IF('[1]CAPEX Summary'!$BS91=TRUE,SUM('[1]CAPEX Summary'!E91),0)</f>
        <v>0</v>
      </c>
      <c r="G290" s="67"/>
      <c r="H290" s="37">
        <f ca="1">IF('[1]CAPEX Summary'!$BS91=TRUE,SUM('[1]CAPEX Summary'!G91),0)</f>
        <v>102109.72829747651</v>
      </c>
      <c r="I290" s="37">
        <f ca="1">IF('[1]CAPEX Summary'!$BS91=TRUE,SUM('[1]CAPEX Summary'!H91),0)</f>
        <v>179174.43460837775</v>
      </c>
      <c r="J290" s="37">
        <f ca="1">IF('[1]CAPEX Summary'!$BS91=TRUE,SUM('[1]CAPEX Summary'!I91),0)</f>
        <v>197808.38777508962</v>
      </c>
      <c r="K290" s="37">
        <f ca="1">IF('[1]CAPEX Summary'!$BS91=TRUE,SUM('[1]CAPEX Summary'!J91),0)</f>
        <v>228516.38202431379</v>
      </c>
      <c r="L290" s="37">
        <f ca="1">IF('[1]CAPEX Summary'!$BS91=TRUE,SUM('[1]CAPEX Summary'!K91),0)</f>
        <v>269758.26408410771</v>
      </c>
      <c r="M290" s="37">
        <f ca="1">IF('[1]CAPEX Summary'!$BS91=TRUE,SUM('[1]CAPEX Summary'!L91),0)</f>
        <v>324899.55406723468</v>
      </c>
      <c r="N290" s="37">
        <f ca="1">IF('[1]CAPEX Summary'!$BS91=TRUE,SUM('[1]CAPEX Summary'!M91),0)</f>
        <v>360342.09355983767</v>
      </c>
      <c r="O290" s="37">
        <f ca="1">IF('[1]CAPEX Summary'!$BS91=TRUE,SUM('[1]CAPEX Summary'!N91),0)</f>
        <v>398807.89688255003</v>
      </c>
      <c r="P290" s="37">
        <f ca="1">IF('[1]CAPEX Summary'!$BS91=TRUE,SUM('[1]CAPEX Summary'!O91),0)</f>
        <v>439878.65080101701</v>
      </c>
      <c r="Q290" s="37">
        <f ca="1">IF('[1]CAPEX Summary'!$BS91=TRUE,SUM('[1]CAPEX Summary'!P91),0)</f>
        <v>481424.76066761441</v>
      </c>
      <c r="DZ290" s="22" t="s">
        <v>2</v>
      </c>
      <c r="EA290" s="23" t="s">
        <v>1</v>
      </c>
      <c r="EB290" s="23" t="s">
        <v>1</v>
      </c>
      <c r="EC290" s="23" t="s">
        <v>1</v>
      </c>
    </row>
    <row r="291" spans="2:133" s="19" customFormat="1" hidden="1" x14ac:dyDescent="0.25">
      <c r="B291" s="67" t="s">
        <v>103</v>
      </c>
      <c r="C291" s="22" t="s">
        <v>47</v>
      </c>
      <c r="E291" s="67"/>
      <c r="F291" s="37">
        <f>'[1]Major Projects summary'!E98</f>
        <v>0</v>
      </c>
      <c r="G291" s="67"/>
      <c r="H291" s="37">
        <f>'[1]Major Projects summary'!G98</f>
        <v>0</v>
      </c>
      <c r="I291" s="37">
        <f>'[1]Major Projects summary'!H98</f>
        <v>0</v>
      </c>
      <c r="J291" s="37">
        <f>'[1]Major Projects summary'!I98</f>
        <v>0</v>
      </c>
      <c r="K291" s="37">
        <f>'[1]Major Projects summary'!J98</f>
        <v>0</v>
      </c>
      <c r="L291" s="37">
        <f>'[1]Major Projects summary'!K98</f>
        <v>0</v>
      </c>
      <c r="M291" s="37">
        <f>'[1]Major Projects summary'!L98</f>
        <v>0</v>
      </c>
      <c r="N291" s="37">
        <f>'[1]Major Projects summary'!M98</f>
        <v>0</v>
      </c>
      <c r="O291" s="37">
        <f>'[1]Major Projects summary'!N98</f>
        <v>0</v>
      </c>
      <c r="P291" s="37">
        <f>'[1]Major Projects summary'!O98</f>
        <v>0</v>
      </c>
      <c r="Q291" s="37">
        <f>'[1]Major Projects summary'!P98</f>
        <v>0</v>
      </c>
      <c r="DZ291" s="22" t="s">
        <v>2</v>
      </c>
      <c r="EA291" s="23" t="s">
        <v>1</v>
      </c>
      <c r="EB291" s="23" t="s">
        <v>1</v>
      </c>
      <c r="EC291" s="23" t="s">
        <v>1</v>
      </c>
    </row>
    <row r="292" spans="2:133" s="19" customFormat="1" hidden="1" x14ac:dyDescent="0.25">
      <c r="B292" s="67" t="s">
        <v>104</v>
      </c>
      <c r="C292" s="22" t="s">
        <v>47</v>
      </c>
      <c r="E292" s="67"/>
      <c r="F292" s="37">
        <f>'[1]Assets - Disposals &amp; Transfers'!E519</f>
        <v>0</v>
      </c>
      <c r="G292" s="67"/>
      <c r="H292" s="37">
        <f>'[1]Assets - Disposals &amp; Transfers'!G519</f>
        <v>0</v>
      </c>
      <c r="I292" s="37">
        <f>'[1]Assets - Disposals &amp; Transfers'!H519</f>
        <v>0</v>
      </c>
      <c r="J292" s="37">
        <f>'[1]Assets - Disposals &amp; Transfers'!I519</f>
        <v>0</v>
      </c>
      <c r="K292" s="37">
        <f>'[1]Assets - Disposals &amp; Transfers'!J519</f>
        <v>0</v>
      </c>
      <c r="L292" s="37">
        <f>'[1]Assets - Disposals &amp; Transfers'!K519</f>
        <v>0</v>
      </c>
      <c r="M292" s="37">
        <f>'[1]Assets - Disposals &amp; Transfers'!L519</f>
        <v>0</v>
      </c>
      <c r="N292" s="37">
        <f>'[1]Assets - Disposals &amp; Transfers'!M519</f>
        <v>0</v>
      </c>
      <c r="O292" s="37">
        <f>'[1]Assets - Disposals &amp; Transfers'!N519</f>
        <v>0</v>
      </c>
      <c r="P292" s="37">
        <f>'[1]Assets - Disposals &amp; Transfers'!O519</f>
        <v>0</v>
      </c>
      <c r="Q292" s="37">
        <f>'[1]Assets - Disposals &amp; Transfers'!P519</f>
        <v>0</v>
      </c>
      <c r="DZ292" s="22" t="s">
        <v>2</v>
      </c>
      <c r="EA292" s="23" t="s">
        <v>1</v>
      </c>
      <c r="EB292" s="23" t="s">
        <v>1</v>
      </c>
      <c r="EC292" s="23" t="s">
        <v>1</v>
      </c>
    </row>
    <row r="293" spans="2:133" s="19" customFormat="1" hidden="1" x14ac:dyDescent="0.25">
      <c r="B293" s="67" t="s">
        <v>108</v>
      </c>
      <c r="C293" s="22" t="s">
        <v>47</v>
      </c>
      <c r="E293" s="67"/>
      <c r="F293" s="37">
        <f>+'[1]IPP&amp;E Reconciliation'!D844</f>
        <v>0</v>
      </c>
      <c r="G293" s="67"/>
      <c r="H293" s="37">
        <f ca="1">+'[1]IPP&amp;E Reconciliation'!E844</f>
        <v>0</v>
      </c>
      <c r="I293" s="37">
        <f ca="1">+'[1]IPP&amp;E Reconciliation'!F844</f>
        <v>0</v>
      </c>
      <c r="J293" s="37">
        <f ca="1">+'[1]IPP&amp;E Reconciliation'!G844</f>
        <v>0</v>
      </c>
      <c r="K293" s="37">
        <f ca="1">+'[1]IPP&amp;E Reconciliation'!H844</f>
        <v>0</v>
      </c>
      <c r="L293" s="37">
        <f ca="1">+'[1]IPP&amp;E Reconciliation'!I844</f>
        <v>0</v>
      </c>
      <c r="M293" s="37">
        <f ca="1">+'[1]IPP&amp;E Reconciliation'!J844</f>
        <v>0</v>
      </c>
      <c r="N293" s="37">
        <f ca="1">+'[1]IPP&amp;E Reconciliation'!K844</f>
        <v>0</v>
      </c>
      <c r="O293" s="37">
        <f ca="1">+'[1]IPP&amp;E Reconciliation'!L844</f>
        <v>0</v>
      </c>
      <c r="P293" s="37">
        <f ca="1">+'[1]IPP&amp;E Reconciliation'!M844</f>
        <v>0</v>
      </c>
      <c r="Q293" s="37">
        <f ca="1">+'[1]IPP&amp;E Reconciliation'!N844</f>
        <v>0</v>
      </c>
      <c r="DZ293" s="22" t="s">
        <v>2</v>
      </c>
      <c r="EA293" s="23" t="s">
        <v>1</v>
      </c>
      <c r="EB293" s="23" t="s">
        <v>1</v>
      </c>
      <c r="EC293" s="23" t="s">
        <v>1</v>
      </c>
    </row>
    <row r="294" spans="2:133" s="19" customFormat="1" hidden="1" x14ac:dyDescent="0.25">
      <c r="B294" s="67" t="s">
        <v>105</v>
      </c>
      <c r="C294" s="22" t="s">
        <v>47</v>
      </c>
      <c r="E294" s="67"/>
      <c r="F294" s="52">
        <f>ROUND(F288-SUM(F289:F293),0)</f>
        <v>0</v>
      </c>
      <c r="G294" s="67"/>
      <c r="H294" s="52">
        <f t="shared" ref="H294:Q294" ca="1" si="125">ROUND(H288-SUM(H289:H293),0)</f>
        <v>0</v>
      </c>
      <c r="I294" s="52">
        <f t="shared" ca="1" si="125"/>
        <v>0</v>
      </c>
      <c r="J294" s="52">
        <f t="shared" ca="1" si="125"/>
        <v>0</v>
      </c>
      <c r="K294" s="52">
        <f t="shared" ca="1" si="125"/>
        <v>0</v>
      </c>
      <c r="L294" s="52">
        <f t="shared" ca="1" si="125"/>
        <v>0</v>
      </c>
      <c r="M294" s="52">
        <f t="shared" ca="1" si="125"/>
        <v>0</v>
      </c>
      <c r="N294" s="52">
        <f t="shared" ca="1" si="125"/>
        <v>0</v>
      </c>
      <c r="O294" s="52">
        <f t="shared" ca="1" si="125"/>
        <v>0</v>
      </c>
      <c r="P294" s="52">
        <f t="shared" ca="1" si="125"/>
        <v>0</v>
      </c>
      <c r="Q294" s="52">
        <f t="shared" ca="1" si="125"/>
        <v>0</v>
      </c>
      <c r="DZ294" s="22" t="s">
        <v>2</v>
      </c>
      <c r="EA294" s="23" t="s">
        <v>1</v>
      </c>
      <c r="EB294" s="23" t="s">
        <v>1</v>
      </c>
      <c r="EC294" s="23" t="s">
        <v>1</v>
      </c>
    </row>
    <row r="295" spans="2:133" s="19" customFormat="1" hidden="1" x14ac:dyDescent="0.25">
      <c r="C295" s="22" t="s">
        <v>47</v>
      </c>
      <c r="DZ295" s="22" t="s">
        <v>2</v>
      </c>
      <c r="EA295" s="23" t="s">
        <v>1</v>
      </c>
      <c r="EB295" s="23" t="s">
        <v>1</v>
      </c>
      <c r="EC295" s="23" t="s">
        <v>1</v>
      </c>
    </row>
    <row r="296" spans="2:133" s="19" customFormat="1" hidden="1" x14ac:dyDescent="0.25">
      <c r="B296" s="19" t="str">
        <f>B24</f>
        <v>Impairment</v>
      </c>
      <c r="C296" s="22" t="s">
        <v>47</v>
      </c>
      <c r="DZ296" s="22" t="s">
        <v>2</v>
      </c>
      <c r="EA296" s="23" t="s">
        <v>1</v>
      </c>
      <c r="EB296" s="23" t="s">
        <v>1</v>
      </c>
      <c r="EC296" s="23" t="s">
        <v>1</v>
      </c>
    </row>
    <row r="297" spans="2:133" s="19" customFormat="1" hidden="1" x14ac:dyDescent="0.25">
      <c r="B297" s="67" t="s">
        <v>99</v>
      </c>
      <c r="C297" s="22" t="s">
        <v>47</v>
      </c>
      <c r="E297" s="67"/>
      <c r="F297" s="19">
        <f>F24</f>
        <v>0</v>
      </c>
      <c r="G297" s="67"/>
      <c r="H297" s="19">
        <f t="shared" ref="H297:Q297" si="126">H24</f>
        <v>0</v>
      </c>
      <c r="I297" s="19">
        <f t="shared" si="126"/>
        <v>0</v>
      </c>
      <c r="J297" s="19">
        <f t="shared" si="126"/>
        <v>0</v>
      </c>
      <c r="K297" s="19">
        <f t="shared" si="126"/>
        <v>0</v>
      </c>
      <c r="L297" s="19">
        <f t="shared" si="126"/>
        <v>0</v>
      </c>
      <c r="M297" s="19">
        <f t="shared" si="126"/>
        <v>0</v>
      </c>
      <c r="N297" s="19">
        <f t="shared" si="126"/>
        <v>0</v>
      </c>
      <c r="O297" s="19">
        <f t="shared" si="126"/>
        <v>0</v>
      </c>
      <c r="P297" s="19">
        <f t="shared" si="126"/>
        <v>0</v>
      </c>
      <c r="Q297" s="19">
        <f t="shared" si="126"/>
        <v>0</v>
      </c>
      <c r="DZ297" s="22" t="s">
        <v>2</v>
      </c>
      <c r="EA297" s="23" t="s">
        <v>1</v>
      </c>
      <c r="EB297" s="23" t="s">
        <v>1</v>
      </c>
      <c r="EC297" s="23" t="s">
        <v>1</v>
      </c>
    </row>
    <row r="298" spans="2:133" s="19" customFormat="1" hidden="1" x14ac:dyDescent="0.25">
      <c r="B298" s="67" t="s">
        <v>100</v>
      </c>
      <c r="C298" s="22" t="s">
        <v>47</v>
      </c>
      <c r="E298" s="67"/>
      <c r="F298" s="19">
        <f>SUMIF('[1]Budget Summary 1'!$C:$C,$A24,'[1]Budget Summary 1'!J:J)+'[1]Budget Summary 1'!J168</f>
        <v>0</v>
      </c>
      <c r="G298" s="67"/>
      <c r="H298" s="19">
        <f>SUMIF('[1]Budget Summary 1'!$C:$C,$A24,'[1]Budget Summary 1'!L:L)+'[1]Budget Summary 1'!L168</f>
        <v>0</v>
      </c>
      <c r="I298" s="19">
        <f>SUMIF('[1]Budget Summary 1'!$C:$C,$A24,'[1]Budget Summary 1'!M:M)+'[1]Budget Summary 1'!M168</f>
        <v>0</v>
      </c>
      <c r="J298" s="19">
        <f>SUMIF('[1]Budget Summary 1'!$C:$C,$A24,'[1]Budget Summary 1'!N:N)+'[1]Budget Summary 1'!N168</f>
        <v>0</v>
      </c>
      <c r="K298" s="19">
        <f>SUMIF('[1]Budget Summary 1'!$C:$C,$A24,'[1]Budget Summary 1'!O:O)+'[1]Budget Summary 1'!O168</f>
        <v>0</v>
      </c>
      <c r="L298" s="19">
        <f>SUMIF('[1]Budget Summary 1'!$C:$C,$A24,'[1]Budget Summary 1'!P:P)+'[1]Budget Summary 1'!P168</f>
        <v>0</v>
      </c>
      <c r="M298" s="19">
        <f>SUMIF('[1]Budget Summary 1'!$C:$C,$A24,'[1]Budget Summary 1'!Q:Q)+'[1]Budget Summary 1'!Q168</f>
        <v>0</v>
      </c>
      <c r="N298" s="19">
        <f>SUMIF('[1]Budget Summary 1'!$C:$C,$A24,'[1]Budget Summary 1'!R:R)+'[1]Budget Summary 1'!R168</f>
        <v>0</v>
      </c>
      <c r="O298" s="19">
        <f>SUMIF('[1]Budget Summary 1'!$C:$C,$A24,'[1]Budget Summary 1'!S:S)+'[1]Budget Summary 1'!S168</f>
        <v>0</v>
      </c>
      <c r="P298" s="19">
        <f>SUMIF('[1]Budget Summary 1'!$C:$C,$A24,'[1]Budget Summary 1'!T:T)+'[1]Budget Summary 1'!T168</f>
        <v>0</v>
      </c>
      <c r="Q298" s="19">
        <f>SUMIF('[1]Budget Summary 1'!$C:$C,$A24,'[1]Budget Summary 1'!U:U)+'[1]Budget Summary 1'!U168</f>
        <v>0</v>
      </c>
      <c r="DZ298" s="22" t="s">
        <v>2</v>
      </c>
      <c r="EA298" s="23" t="s">
        <v>1</v>
      </c>
      <c r="EB298" s="23" t="s">
        <v>1</v>
      </c>
      <c r="EC298" s="23" t="s">
        <v>1</v>
      </c>
    </row>
    <row r="299" spans="2:133" s="19" customFormat="1" hidden="1" x14ac:dyDescent="0.25">
      <c r="B299" s="67" t="s">
        <v>71</v>
      </c>
      <c r="C299" s="22" t="s">
        <v>47</v>
      </c>
      <c r="E299" s="67"/>
      <c r="F299" s="42">
        <f>ROUND(F297-F298,0)</f>
        <v>0</v>
      </c>
      <c r="G299" s="67"/>
      <c r="H299" s="42">
        <f>ROUND(H297-H298,0)</f>
        <v>0</v>
      </c>
      <c r="I299" s="42">
        <f t="shared" ref="I299:Q299" si="127">ROUND(I297-I298,0)</f>
        <v>0</v>
      </c>
      <c r="J299" s="42">
        <f t="shared" si="127"/>
        <v>0</v>
      </c>
      <c r="K299" s="42">
        <f t="shared" si="127"/>
        <v>0</v>
      </c>
      <c r="L299" s="42">
        <f t="shared" si="127"/>
        <v>0</v>
      </c>
      <c r="M299" s="42">
        <f t="shared" si="127"/>
        <v>0</v>
      </c>
      <c r="N299" s="42">
        <f t="shared" si="127"/>
        <v>0</v>
      </c>
      <c r="O299" s="42">
        <f t="shared" si="127"/>
        <v>0</v>
      </c>
      <c r="P299" s="42">
        <f t="shared" si="127"/>
        <v>0</v>
      </c>
      <c r="Q299" s="42">
        <f t="shared" si="127"/>
        <v>0</v>
      </c>
      <c r="DZ299" s="22" t="s">
        <v>2</v>
      </c>
      <c r="EA299" s="23" t="s">
        <v>1</v>
      </c>
      <c r="EB299" s="23" t="s">
        <v>1</v>
      </c>
      <c r="EC299" s="23" t="s">
        <v>1</v>
      </c>
    </row>
    <row r="300" spans="2:133" s="19" customFormat="1" hidden="1" x14ac:dyDescent="0.25">
      <c r="C300" s="22" t="s">
        <v>47</v>
      </c>
      <c r="DZ300" s="22" t="s">
        <v>2</v>
      </c>
      <c r="EA300" s="23" t="s">
        <v>1</v>
      </c>
      <c r="EB300" s="23" t="s">
        <v>1</v>
      </c>
      <c r="EC300" s="23" t="s">
        <v>1</v>
      </c>
    </row>
    <row r="301" spans="2:133" s="19" customFormat="1" hidden="1" x14ac:dyDescent="0.25">
      <c r="B301" s="19" t="str">
        <f>B25</f>
        <v>Other Expenses</v>
      </c>
      <c r="C301" s="22" t="s">
        <v>47</v>
      </c>
      <c r="DZ301" s="22" t="s">
        <v>2</v>
      </c>
      <c r="EA301" s="23" t="s">
        <v>1</v>
      </c>
      <c r="EB301" s="23" t="s">
        <v>1</v>
      </c>
      <c r="EC301" s="23" t="s">
        <v>1</v>
      </c>
    </row>
    <row r="302" spans="2:133" s="19" customFormat="1" hidden="1" x14ac:dyDescent="0.25">
      <c r="B302" s="67" t="s">
        <v>99</v>
      </c>
      <c r="C302" s="22" t="s">
        <v>47</v>
      </c>
      <c r="E302" s="67"/>
      <c r="F302" s="19">
        <f>F25</f>
        <v>4550813.38</v>
      </c>
      <c r="G302" s="67"/>
      <c r="H302" s="19">
        <f t="shared" ref="H302:Q302" si="128">H25</f>
        <v>4548129.05</v>
      </c>
      <c r="I302" s="19">
        <f t="shared" si="128"/>
        <v>4812315.4400000004</v>
      </c>
      <c r="J302" s="19">
        <f t="shared" si="128"/>
        <v>4802769.8300000019</v>
      </c>
      <c r="K302" s="19">
        <f t="shared" si="128"/>
        <v>4899167.459999999</v>
      </c>
      <c r="L302" s="19">
        <f t="shared" si="128"/>
        <v>5006949.1600000011</v>
      </c>
      <c r="M302" s="19">
        <f t="shared" si="128"/>
        <v>5257102.0099999988</v>
      </c>
      <c r="N302" s="19">
        <f t="shared" si="128"/>
        <v>5229678.129999998</v>
      </c>
      <c r="O302" s="19">
        <f t="shared" si="128"/>
        <v>5344730.96</v>
      </c>
      <c r="P302" s="19">
        <f t="shared" si="128"/>
        <v>5462315.0299999993</v>
      </c>
      <c r="Q302" s="19">
        <f t="shared" si="128"/>
        <v>5722485.9400000013</v>
      </c>
      <c r="DZ302" s="22" t="s">
        <v>2</v>
      </c>
      <c r="EA302" s="23" t="s">
        <v>1</v>
      </c>
      <c r="EB302" s="23" t="s">
        <v>1</v>
      </c>
      <c r="EC302" s="23" t="s">
        <v>1</v>
      </c>
    </row>
    <row r="303" spans="2:133" s="19" customFormat="1" hidden="1" x14ac:dyDescent="0.25">
      <c r="B303" s="67" t="s">
        <v>100</v>
      </c>
      <c r="C303" s="22" t="s">
        <v>47</v>
      </c>
      <c r="E303" s="67"/>
      <c r="F303" s="19">
        <f>SUMIF('[1]Budget Summary 1'!$C:$C,$A25,'[1]Budget Summary 1'!J:J)+'[1]Budget Summary 1'!J169</f>
        <v>4550813.38</v>
      </c>
      <c r="G303" s="67"/>
      <c r="H303" s="19">
        <f>SUMIF('[1]Budget Summary 1'!$C:$C,$A25,'[1]Budget Summary 1'!L:L)+'[1]Budget Summary 1'!L169</f>
        <v>4548129.05</v>
      </c>
      <c r="I303" s="19">
        <f>SUMIF('[1]Budget Summary 1'!$C:$C,$A25,'[1]Budget Summary 1'!M:M)+'[1]Budget Summary 1'!M169</f>
        <v>4812315.4400000004</v>
      </c>
      <c r="J303" s="19">
        <f>SUMIF('[1]Budget Summary 1'!$C:$C,$A25,'[1]Budget Summary 1'!N:N)+'[1]Budget Summary 1'!N169</f>
        <v>4802769.8300000019</v>
      </c>
      <c r="K303" s="19">
        <f>SUMIF('[1]Budget Summary 1'!$C:$C,$A25,'[1]Budget Summary 1'!O:O)+'[1]Budget Summary 1'!O169</f>
        <v>4899167.459999999</v>
      </c>
      <c r="L303" s="19">
        <f>SUMIF('[1]Budget Summary 1'!$C:$C,$A25,'[1]Budget Summary 1'!P:P)+'[1]Budget Summary 1'!P169</f>
        <v>5006949.1600000011</v>
      </c>
      <c r="M303" s="19">
        <f>SUMIF('[1]Budget Summary 1'!$C:$C,$A25,'[1]Budget Summary 1'!Q:Q)+'[1]Budget Summary 1'!Q169</f>
        <v>5257102.0099999988</v>
      </c>
      <c r="N303" s="19">
        <f>SUMIF('[1]Budget Summary 1'!$C:$C,$A25,'[1]Budget Summary 1'!R:R)+'[1]Budget Summary 1'!R169</f>
        <v>5229678.129999998</v>
      </c>
      <c r="O303" s="19">
        <f>SUMIF('[1]Budget Summary 1'!$C:$C,$A25,'[1]Budget Summary 1'!S:S)+'[1]Budget Summary 1'!S169</f>
        <v>5344730.96</v>
      </c>
      <c r="P303" s="19">
        <f>SUMIF('[1]Budget Summary 1'!$C:$C,$A25,'[1]Budget Summary 1'!T:T)+'[1]Budget Summary 1'!T169</f>
        <v>5462315.0299999993</v>
      </c>
      <c r="Q303" s="19">
        <f>SUMIF('[1]Budget Summary 1'!$C:$C,$A25,'[1]Budget Summary 1'!U:U)+'[1]Budget Summary 1'!U169</f>
        <v>5722485.9400000013</v>
      </c>
      <c r="DZ303" s="22" t="s">
        <v>2</v>
      </c>
      <c r="EA303" s="23" t="s">
        <v>1</v>
      </c>
      <c r="EB303" s="23" t="s">
        <v>1</v>
      </c>
      <c r="EC303" s="23" t="s">
        <v>1</v>
      </c>
    </row>
    <row r="304" spans="2:133" s="19" customFormat="1" hidden="1" x14ac:dyDescent="0.25">
      <c r="B304" s="67" t="s">
        <v>71</v>
      </c>
      <c r="C304" s="22" t="s">
        <v>47</v>
      </c>
      <c r="E304" s="67"/>
      <c r="F304" s="42">
        <f>ROUND(F302-F303,0)</f>
        <v>0</v>
      </c>
      <c r="G304" s="67"/>
      <c r="H304" s="42">
        <f>ROUND(H302-H303,0)</f>
        <v>0</v>
      </c>
      <c r="I304" s="42">
        <f t="shared" ref="I304:Q304" si="129">ROUND(I302-I303,0)</f>
        <v>0</v>
      </c>
      <c r="J304" s="42">
        <f t="shared" si="129"/>
        <v>0</v>
      </c>
      <c r="K304" s="42">
        <f t="shared" si="129"/>
        <v>0</v>
      </c>
      <c r="L304" s="42">
        <f t="shared" si="129"/>
        <v>0</v>
      </c>
      <c r="M304" s="42">
        <f t="shared" si="129"/>
        <v>0</v>
      </c>
      <c r="N304" s="42">
        <f t="shared" si="129"/>
        <v>0</v>
      </c>
      <c r="O304" s="42">
        <f t="shared" si="129"/>
        <v>0</v>
      </c>
      <c r="P304" s="42">
        <f t="shared" si="129"/>
        <v>0</v>
      </c>
      <c r="Q304" s="42">
        <f t="shared" si="129"/>
        <v>0</v>
      </c>
      <c r="DZ304" s="22" t="s">
        <v>2</v>
      </c>
      <c r="EA304" s="23" t="s">
        <v>1</v>
      </c>
      <c r="EB304" s="23" t="s">
        <v>1</v>
      </c>
      <c r="EC304" s="23" t="s">
        <v>1</v>
      </c>
    </row>
    <row r="305" spans="2:133" s="19" customFormat="1" hidden="1" x14ac:dyDescent="0.25">
      <c r="B305" s="67" t="s">
        <v>101</v>
      </c>
      <c r="C305" s="22" t="s">
        <v>47</v>
      </c>
      <c r="E305" s="67"/>
      <c r="F305" s="37">
        <f>+'[1]S94 - Plan Summary'!D25</f>
        <v>0</v>
      </c>
      <c r="G305" s="67"/>
      <c r="H305" s="37">
        <f>+'[1]S94 - Plan Summary'!F25</f>
        <v>0</v>
      </c>
      <c r="I305" s="37">
        <f>+'[1]S94 - Plan Summary'!G25</f>
        <v>0</v>
      </c>
      <c r="J305" s="37">
        <f>+'[1]S94 - Plan Summary'!H25</f>
        <v>0</v>
      </c>
      <c r="K305" s="37">
        <f>+'[1]S94 - Plan Summary'!I25</f>
        <v>0</v>
      </c>
      <c r="L305" s="37">
        <f>+'[1]S94 - Plan Summary'!J25</f>
        <v>0</v>
      </c>
      <c r="M305" s="37">
        <f>+'[1]S94 - Plan Summary'!K25</f>
        <v>0</v>
      </c>
      <c r="N305" s="37">
        <f>+'[1]S94 - Plan Summary'!L25</f>
        <v>0</v>
      </c>
      <c r="O305" s="37">
        <f>+'[1]S94 - Plan Summary'!M25</f>
        <v>0</v>
      </c>
      <c r="P305" s="37">
        <f>+'[1]S94 - Plan Summary'!N25</f>
        <v>0</v>
      </c>
      <c r="Q305" s="37">
        <f>+'[1]S94 - Plan Summary'!O25</f>
        <v>0</v>
      </c>
      <c r="DZ305" s="22" t="s">
        <v>2</v>
      </c>
      <c r="EA305" s="23" t="s">
        <v>1</v>
      </c>
      <c r="EB305" s="23" t="s">
        <v>1</v>
      </c>
      <c r="EC305" s="23" t="s">
        <v>1</v>
      </c>
    </row>
    <row r="306" spans="2:133" s="19" customFormat="1" hidden="1" x14ac:dyDescent="0.25">
      <c r="B306" s="67" t="s">
        <v>102</v>
      </c>
      <c r="C306" s="22" t="s">
        <v>47</v>
      </c>
      <c r="E306" s="67"/>
      <c r="F306" s="37">
        <f>'[1]Major Projects summary'!E38</f>
        <v>0</v>
      </c>
      <c r="G306" s="67"/>
      <c r="H306" s="37">
        <f>'[1]Major Projects summary'!G38</f>
        <v>0</v>
      </c>
      <c r="I306" s="37">
        <f>'[1]Major Projects summary'!H38</f>
        <v>0</v>
      </c>
      <c r="J306" s="37">
        <f>'[1]Major Projects summary'!I38</f>
        <v>0</v>
      </c>
      <c r="K306" s="37">
        <f>'[1]Major Projects summary'!J38</f>
        <v>0</v>
      </c>
      <c r="L306" s="37">
        <f>'[1]Major Projects summary'!K38</f>
        <v>0</v>
      </c>
      <c r="M306" s="37">
        <f>'[1]Major Projects summary'!L38</f>
        <v>0</v>
      </c>
      <c r="N306" s="37">
        <f>'[1]Major Projects summary'!M38</f>
        <v>0</v>
      </c>
      <c r="O306" s="37">
        <f>'[1]Major Projects summary'!N38</f>
        <v>0</v>
      </c>
      <c r="P306" s="37">
        <f>'[1]Major Projects summary'!O38</f>
        <v>0</v>
      </c>
      <c r="Q306" s="37">
        <f>'[1]Major Projects summary'!P38</f>
        <v>0</v>
      </c>
      <c r="DZ306" s="22" t="s">
        <v>2</v>
      </c>
      <c r="EA306" s="23" t="s">
        <v>1</v>
      </c>
      <c r="EB306" s="23" t="s">
        <v>1</v>
      </c>
      <c r="EC306" s="23" t="s">
        <v>1</v>
      </c>
    </row>
    <row r="307" spans="2:133" s="19" customFormat="1" hidden="1" x14ac:dyDescent="0.25">
      <c r="B307" s="67" t="s">
        <v>103</v>
      </c>
      <c r="C307" s="22" t="s">
        <v>47</v>
      </c>
      <c r="E307" s="67"/>
      <c r="F307" s="37">
        <f>'[1]Major Projects summary'!E99</f>
        <v>0</v>
      </c>
      <c r="G307" s="67"/>
      <c r="H307" s="37">
        <f>'[1]Major Projects summary'!G99</f>
        <v>0</v>
      </c>
      <c r="I307" s="37">
        <f>'[1]Major Projects summary'!H99</f>
        <v>0</v>
      </c>
      <c r="J307" s="37">
        <f>'[1]Major Projects summary'!I99</f>
        <v>0</v>
      </c>
      <c r="K307" s="37">
        <f>'[1]Major Projects summary'!J99</f>
        <v>0</v>
      </c>
      <c r="L307" s="37">
        <f>'[1]Major Projects summary'!K99</f>
        <v>0</v>
      </c>
      <c r="M307" s="37">
        <f>'[1]Major Projects summary'!L99</f>
        <v>0</v>
      </c>
      <c r="N307" s="37">
        <f>'[1]Major Projects summary'!M99</f>
        <v>0</v>
      </c>
      <c r="O307" s="37">
        <f>'[1]Major Projects summary'!N99</f>
        <v>0</v>
      </c>
      <c r="P307" s="37">
        <f>'[1]Major Projects summary'!O99</f>
        <v>0</v>
      </c>
      <c r="Q307" s="37">
        <f>'[1]Major Projects summary'!P99</f>
        <v>0</v>
      </c>
      <c r="DZ307" s="22" t="s">
        <v>2</v>
      </c>
      <c r="EA307" s="23" t="s">
        <v>1</v>
      </c>
      <c r="EB307" s="23" t="s">
        <v>1</v>
      </c>
      <c r="EC307" s="23" t="s">
        <v>1</v>
      </c>
    </row>
    <row r="308" spans="2:133" s="19" customFormat="1" hidden="1" x14ac:dyDescent="0.25">
      <c r="B308" s="67" t="s">
        <v>104</v>
      </c>
      <c r="C308" s="22" t="s">
        <v>47</v>
      </c>
      <c r="E308" s="67"/>
      <c r="F308" s="37">
        <f>'[1]Major Projects summary'!E109</f>
        <v>0</v>
      </c>
      <c r="G308" s="67"/>
      <c r="H308" s="37">
        <f>'[1]Major Projects summary'!G109</f>
        <v>0</v>
      </c>
      <c r="I308" s="37">
        <f>'[1]Major Projects summary'!H109</f>
        <v>0</v>
      </c>
      <c r="J308" s="37">
        <f>'[1]Major Projects summary'!I109</f>
        <v>0</v>
      </c>
      <c r="K308" s="37">
        <f>'[1]Major Projects summary'!J109</f>
        <v>0</v>
      </c>
      <c r="L308" s="37">
        <f>'[1]Major Projects summary'!K109</f>
        <v>0</v>
      </c>
      <c r="M308" s="37">
        <f>'[1]Major Projects summary'!L109</f>
        <v>0</v>
      </c>
      <c r="N308" s="37">
        <f>'[1]Major Projects summary'!M109</f>
        <v>0</v>
      </c>
      <c r="O308" s="37">
        <f>'[1]Major Projects summary'!N109</f>
        <v>0</v>
      </c>
      <c r="P308" s="37">
        <f>'[1]Major Projects summary'!O109</f>
        <v>0</v>
      </c>
      <c r="Q308" s="37">
        <f>'[1]Major Projects summary'!P109</f>
        <v>0</v>
      </c>
      <c r="DZ308" s="22" t="s">
        <v>2</v>
      </c>
      <c r="EA308" s="23" t="s">
        <v>1</v>
      </c>
      <c r="EB308" s="23" t="s">
        <v>1</v>
      </c>
      <c r="EC308" s="23" t="s">
        <v>1</v>
      </c>
    </row>
    <row r="309" spans="2:133" s="19" customFormat="1" hidden="1" x14ac:dyDescent="0.25">
      <c r="B309" s="67" t="s">
        <v>108</v>
      </c>
      <c r="C309" s="22" t="s">
        <v>47</v>
      </c>
      <c r="E309" s="67"/>
      <c r="F309" s="37">
        <f>'[1]RE Dev Summary'!E55</f>
        <v>0</v>
      </c>
      <c r="G309" s="67"/>
      <c r="H309" s="37">
        <f>'[1]RE Dev Summary'!G55</f>
        <v>0</v>
      </c>
      <c r="I309" s="37">
        <f>'[1]RE Dev Summary'!H55</f>
        <v>0</v>
      </c>
      <c r="J309" s="37">
        <f>'[1]RE Dev Summary'!I55</f>
        <v>0</v>
      </c>
      <c r="K309" s="37">
        <f>'[1]RE Dev Summary'!J55</f>
        <v>0</v>
      </c>
      <c r="L309" s="37">
        <f>'[1]RE Dev Summary'!K55</f>
        <v>0</v>
      </c>
      <c r="M309" s="37">
        <f>'[1]RE Dev Summary'!L55</f>
        <v>0</v>
      </c>
      <c r="N309" s="37">
        <f>'[1]RE Dev Summary'!M55</f>
        <v>0</v>
      </c>
      <c r="O309" s="37">
        <f>'[1]RE Dev Summary'!N55</f>
        <v>0</v>
      </c>
      <c r="P309" s="37">
        <f>'[1]RE Dev Summary'!O55</f>
        <v>0</v>
      </c>
      <c r="Q309" s="37">
        <f>'[1]RE Dev Summary'!P55</f>
        <v>0</v>
      </c>
      <c r="DZ309" s="22" t="s">
        <v>2</v>
      </c>
      <c r="EA309" s="23" t="s">
        <v>1</v>
      </c>
      <c r="EB309" s="23" t="s">
        <v>1</v>
      </c>
      <c r="EC309" s="23" t="s">
        <v>1</v>
      </c>
    </row>
    <row r="310" spans="2:133" s="19" customFormat="1" hidden="1" x14ac:dyDescent="0.25">
      <c r="B310" s="67" t="s">
        <v>109</v>
      </c>
      <c r="C310" s="22" t="s">
        <v>47</v>
      </c>
      <c r="E310" s="67"/>
      <c r="F310" s="37">
        <f>'[1]RE Dev Summary'!E64</f>
        <v>0</v>
      </c>
      <c r="G310" s="67"/>
      <c r="H310" s="37">
        <f>'[1]RE Dev Summary'!G64</f>
        <v>0</v>
      </c>
      <c r="I310" s="37">
        <f>'[1]RE Dev Summary'!H64</f>
        <v>0</v>
      </c>
      <c r="J310" s="37">
        <f>'[1]RE Dev Summary'!I64</f>
        <v>0</v>
      </c>
      <c r="K310" s="37">
        <f>'[1]RE Dev Summary'!J64</f>
        <v>0</v>
      </c>
      <c r="L310" s="37">
        <f>'[1]RE Dev Summary'!K64</f>
        <v>0</v>
      </c>
      <c r="M310" s="37">
        <f>'[1]RE Dev Summary'!L64</f>
        <v>0</v>
      </c>
      <c r="N310" s="37">
        <f>'[1]RE Dev Summary'!M64</f>
        <v>0</v>
      </c>
      <c r="O310" s="37">
        <f>'[1]RE Dev Summary'!N64</f>
        <v>0</v>
      </c>
      <c r="P310" s="37">
        <f>'[1]RE Dev Summary'!O64</f>
        <v>0</v>
      </c>
      <c r="Q310" s="37">
        <f>'[1]RE Dev Summary'!P64</f>
        <v>0</v>
      </c>
      <c r="DZ310" s="22" t="s">
        <v>2</v>
      </c>
      <c r="EA310" s="23" t="s">
        <v>1</v>
      </c>
      <c r="EB310" s="23" t="s">
        <v>1</v>
      </c>
      <c r="EC310" s="23" t="s">
        <v>1</v>
      </c>
    </row>
    <row r="311" spans="2:133" s="19" customFormat="1" hidden="1" x14ac:dyDescent="0.25">
      <c r="B311" s="67" t="s">
        <v>105</v>
      </c>
      <c r="C311" s="22" t="s">
        <v>47</v>
      </c>
      <c r="E311" s="67"/>
      <c r="F311" s="52">
        <f>ROUND(F304-SUM(F305:F310),0)</f>
        <v>0</v>
      </c>
      <c r="G311" s="67"/>
      <c r="H311" s="52">
        <f t="shared" ref="H311:Q311" si="130">ROUND(H304-SUM(H305:H310),0)</f>
        <v>0</v>
      </c>
      <c r="I311" s="52">
        <f t="shared" si="130"/>
        <v>0</v>
      </c>
      <c r="J311" s="52">
        <f t="shared" si="130"/>
        <v>0</v>
      </c>
      <c r="K311" s="52">
        <f t="shared" si="130"/>
        <v>0</v>
      </c>
      <c r="L311" s="52">
        <f t="shared" si="130"/>
        <v>0</v>
      </c>
      <c r="M311" s="52">
        <f t="shared" si="130"/>
        <v>0</v>
      </c>
      <c r="N311" s="52">
        <f t="shared" si="130"/>
        <v>0</v>
      </c>
      <c r="O311" s="52">
        <f t="shared" si="130"/>
        <v>0</v>
      </c>
      <c r="P311" s="52">
        <f t="shared" si="130"/>
        <v>0</v>
      </c>
      <c r="Q311" s="52">
        <f t="shared" si="130"/>
        <v>0</v>
      </c>
      <c r="DZ311" s="22" t="s">
        <v>2</v>
      </c>
      <c r="EA311" s="23" t="s">
        <v>1</v>
      </c>
      <c r="EB311" s="23" t="s">
        <v>1</v>
      </c>
      <c r="EC311" s="23" t="s">
        <v>1</v>
      </c>
    </row>
    <row r="312" spans="2:133" s="19" customFormat="1" hidden="1" x14ac:dyDescent="0.25">
      <c r="C312" s="22" t="s">
        <v>47</v>
      </c>
      <c r="DZ312" s="22" t="s">
        <v>2</v>
      </c>
      <c r="EA312" s="23" t="s">
        <v>1</v>
      </c>
      <c r="EB312" s="23" t="s">
        <v>1</v>
      </c>
      <c r="EC312" s="23" t="s">
        <v>1</v>
      </c>
    </row>
    <row r="313" spans="2:133" s="19" customFormat="1" hidden="1" x14ac:dyDescent="0.25">
      <c r="B313" s="19" t="str">
        <f>B26</f>
        <v>Interest &amp; Investment Losses</v>
      </c>
      <c r="C313" s="22" t="s">
        <v>47</v>
      </c>
      <c r="DZ313" s="22" t="s">
        <v>2</v>
      </c>
      <c r="EA313" s="23" t="s">
        <v>1</v>
      </c>
      <c r="EB313" s="23" t="s">
        <v>1</v>
      </c>
      <c r="EC313" s="23" t="s">
        <v>1</v>
      </c>
    </row>
    <row r="314" spans="2:133" s="19" customFormat="1" hidden="1" x14ac:dyDescent="0.25">
      <c r="B314" s="67" t="s">
        <v>99</v>
      </c>
      <c r="C314" s="22" t="s">
        <v>47</v>
      </c>
      <c r="E314" s="67"/>
      <c r="F314" s="19">
        <f>F26</f>
        <v>0</v>
      </c>
      <c r="G314" s="67"/>
      <c r="H314" s="19">
        <f t="shared" ref="H314:Q314" si="131">H26</f>
        <v>0</v>
      </c>
      <c r="I314" s="19">
        <f t="shared" si="131"/>
        <v>0</v>
      </c>
      <c r="J314" s="19">
        <f t="shared" si="131"/>
        <v>0</v>
      </c>
      <c r="K314" s="19">
        <f t="shared" si="131"/>
        <v>0</v>
      </c>
      <c r="L314" s="19">
        <f t="shared" si="131"/>
        <v>0</v>
      </c>
      <c r="M314" s="19">
        <f t="shared" si="131"/>
        <v>0</v>
      </c>
      <c r="N314" s="19">
        <f t="shared" si="131"/>
        <v>0</v>
      </c>
      <c r="O314" s="19">
        <f t="shared" si="131"/>
        <v>0</v>
      </c>
      <c r="P314" s="19">
        <f t="shared" si="131"/>
        <v>0</v>
      </c>
      <c r="Q314" s="19">
        <f t="shared" si="131"/>
        <v>0</v>
      </c>
      <c r="DZ314" s="22" t="s">
        <v>2</v>
      </c>
      <c r="EA314" s="23" t="s">
        <v>1</v>
      </c>
      <c r="EB314" s="23" t="s">
        <v>1</v>
      </c>
      <c r="EC314" s="23" t="s">
        <v>1</v>
      </c>
    </row>
    <row r="315" spans="2:133" s="19" customFormat="1" hidden="1" x14ac:dyDescent="0.25">
      <c r="B315" s="67" t="s">
        <v>100</v>
      </c>
      <c r="C315" s="22" t="s">
        <v>47</v>
      </c>
      <c r="E315" s="67"/>
      <c r="F315" s="24">
        <f>IF(SUMIF('[1]Budget Summary 1'!$C:$C,$A26,'[1]Budget Summary 1'!J:J)&lt;0,-SUMIF('[1]Budget Summary 1'!$C:$C,$A26,'[1]Budget Summary 1'!J:J),0)</f>
        <v>0</v>
      </c>
      <c r="G315" s="67"/>
      <c r="H315" s="24">
        <f>IF(SUMIF('[1]Budget Summary 1'!$C:$C,$A26,'[1]Budget Summary 1'!L:L)&lt;0,-SUMIF('[1]Budget Summary 1'!$C:$C,$A26,'[1]Budget Summary 1'!L:L),0)</f>
        <v>0</v>
      </c>
      <c r="I315" s="24">
        <f>IF(SUMIF('[1]Budget Summary 1'!$C:$C,$A26,'[1]Budget Summary 1'!M:M)&lt;0,-SUMIF('[1]Budget Summary 1'!$C:$C,$A26,'[1]Budget Summary 1'!M:M),0)</f>
        <v>0</v>
      </c>
      <c r="J315" s="24">
        <f>IF(SUMIF('[1]Budget Summary 1'!$C:$C,$A26,'[1]Budget Summary 1'!N:N)&lt;0,-SUMIF('[1]Budget Summary 1'!$C:$C,$A26,'[1]Budget Summary 1'!N:N),0)</f>
        <v>0</v>
      </c>
      <c r="K315" s="24">
        <f>IF(SUMIF('[1]Budget Summary 1'!$C:$C,$A26,'[1]Budget Summary 1'!O:O)&lt;0,-SUMIF('[1]Budget Summary 1'!$C:$C,$A26,'[1]Budget Summary 1'!O:O),0)</f>
        <v>0</v>
      </c>
      <c r="L315" s="24">
        <f>IF(SUMIF('[1]Budget Summary 1'!$C:$C,$A26,'[1]Budget Summary 1'!P:P)&lt;0,-SUMIF('[1]Budget Summary 1'!$C:$C,$A26,'[1]Budget Summary 1'!P:P),0)</f>
        <v>0</v>
      </c>
      <c r="M315" s="24">
        <f>IF(SUMIF('[1]Budget Summary 1'!$C:$C,$A26,'[1]Budget Summary 1'!Q:Q)&lt;0,-SUMIF('[1]Budget Summary 1'!$C:$C,$A26,'[1]Budget Summary 1'!Q:Q),0)</f>
        <v>0</v>
      </c>
      <c r="N315" s="24">
        <f>IF(SUMIF('[1]Budget Summary 1'!$C:$C,$A26,'[1]Budget Summary 1'!R:R)&lt;0,-SUMIF('[1]Budget Summary 1'!$C:$C,$A26,'[1]Budget Summary 1'!R:R),0)</f>
        <v>0</v>
      </c>
      <c r="O315" s="24">
        <f>IF(SUMIF('[1]Budget Summary 1'!$C:$C,$A26,'[1]Budget Summary 1'!S:S)&lt;0,-SUMIF('[1]Budget Summary 1'!$C:$C,$A26,'[1]Budget Summary 1'!S:S),0)</f>
        <v>0</v>
      </c>
      <c r="P315" s="24">
        <f>IF(SUMIF('[1]Budget Summary 1'!$C:$C,$A26,'[1]Budget Summary 1'!T:T)&lt;0,-SUMIF('[1]Budget Summary 1'!$C:$C,$A26,'[1]Budget Summary 1'!T:T),0)</f>
        <v>0</v>
      </c>
      <c r="Q315" s="24">
        <f>IF(SUMIF('[1]Budget Summary 1'!$C:$C,$A26,'[1]Budget Summary 1'!U:U)&lt;0,-SUMIF('[1]Budget Summary 1'!$C:$C,$A26,'[1]Budget Summary 1'!U:U),0)</f>
        <v>0</v>
      </c>
      <c r="DZ315" s="22" t="s">
        <v>2</v>
      </c>
      <c r="EA315" s="23" t="s">
        <v>1</v>
      </c>
      <c r="EB315" s="23" t="s">
        <v>1</v>
      </c>
      <c r="EC315" s="23" t="s">
        <v>1</v>
      </c>
    </row>
    <row r="316" spans="2:133" s="19" customFormat="1" hidden="1" x14ac:dyDescent="0.25">
      <c r="B316" s="67" t="s">
        <v>71</v>
      </c>
      <c r="C316" s="22" t="s">
        <v>47</v>
      </c>
      <c r="E316" s="67"/>
      <c r="F316" s="42">
        <f>ROUND(F314-F315,0)</f>
        <v>0</v>
      </c>
      <c r="G316" s="67"/>
      <c r="H316" s="42">
        <f>ROUND(H314-H315,0)</f>
        <v>0</v>
      </c>
      <c r="I316" s="42">
        <f t="shared" ref="I316:Q316" si="132">ROUND(I314-I315,0)</f>
        <v>0</v>
      </c>
      <c r="J316" s="42">
        <f t="shared" si="132"/>
        <v>0</v>
      </c>
      <c r="K316" s="42">
        <f t="shared" si="132"/>
        <v>0</v>
      </c>
      <c r="L316" s="42">
        <f t="shared" si="132"/>
        <v>0</v>
      </c>
      <c r="M316" s="42">
        <f t="shared" si="132"/>
        <v>0</v>
      </c>
      <c r="N316" s="42">
        <f t="shared" si="132"/>
        <v>0</v>
      </c>
      <c r="O316" s="42">
        <f t="shared" si="132"/>
        <v>0</v>
      </c>
      <c r="P316" s="42">
        <f t="shared" si="132"/>
        <v>0</v>
      </c>
      <c r="Q316" s="42">
        <f t="shared" si="132"/>
        <v>0</v>
      </c>
      <c r="DZ316" s="22" t="s">
        <v>2</v>
      </c>
      <c r="EA316" s="23" t="s">
        <v>1</v>
      </c>
      <c r="EB316" s="23" t="s">
        <v>1</v>
      </c>
      <c r="EC316" s="23" t="s">
        <v>1</v>
      </c>
    </row>
    <row r="317" spans="2:133" s="19" customFormat="1" hidden="1" x14ac:dyDescent="0.25">
      <c r="C317" s="22" t="s">
        <v>47</v>
      </c>
      <c r="DZ317" s="22" t="s">
        <v>2</v>
      </c>
      <c r="EA317" s="23" t="s">
        <v>1</v>
      </c>
      <c r="EB317" s="23" t="s">
        <v>1</v>
      </c>
      <c r="EC317" s="23" t="s">
        <v>1</v>
      </c>
    </row>
    <row r="318" spans="2:133" s="19" customFormat="1" hidden="1" x14ac:dyDescent="0.25">
      <c r="B318" s="19" t="str">
        <f>B27</f>
        <v>Net Losses from the Disposal of Assets</v>
      </c>
      <c r="C318" s="22" t="s">
        <v>47</v>
      </c>
      <c r="DZ318" s="22" t="s">
        <v>2</v>
      </c>
      <c r="EA318" s="23" t="s">
        <v>1</v>
      </c>
      <c r="EB318" s="23" t="s">
        <v>1</v>
      </c>
      <c r="EC318" s="23" t="s">
        <v>1</v>
      </c>
    </row>
    <row r="319" spans="2:133" s="19" customFormat="1" hidden="1" x14ac:dyDescent="0.25">
      <c r="B319" s="67" t="s">
        <v>99</v>
      </c>
      <c r="C319" s="22" t="s">
        <v>47</v>
      </c>
      <c r="E319" s="67"/>
      <c r="F319" s="19">
        <f>F27</f>
        <v>0</v>
      </c>
      <c r="G319" s="67"/>
      <c r="H319" s="19">
        <f t="shared" ref="H319:Q319" si="133">H27</f>
        <v>0</v>
      </c>
      <c r="I319" s="19">
        <f t="shared" si="133"/>
        <v>0</v>
      </c>
      <c r="J319" s="19">
        <f t="shared" si="133"/>
        <v>0</v>
      </c>
      <c r="K319" s="19">
        <f t="shared" si="133"/>
        <v>0</v>
      </c>
      <c r="L319" s="19">
        <f t="shared" si="133"/>
        <v>0</v>
      </c>
      <c r="M319" s="19">
        <f t="shared" si="133"/>
        <v>0</v>
      </c>
      <c r="N319" s="19">
        <f t="shared" si="133"/>
        <v>0</v>
      </c>
      <c r="O319" s="19">
        <f t="shared" si="133"/>
        <v>0</v>
      </c>
      <c r="P319" s="19">
        <f t="shared" si="133"/>
        <v>0</v>
      </c>
      <c r="Q319" s="19">
        <f t="shared" si="133"/>
        <v>0</v>
      </c>
      <c r="DZ319" s="22" t="s">
        <v>2</v>
      </c>
      <c r="EA319" s="23" t="s">
        <v>1</v>
      </c>
      <c r="EB319" s="23" t="s">
        <v>1</v>
      </c>
      <c r="EC319" s="23" t="s">
        <v>1</v>
      </c>
    </row>
    <row r="320" spans="2:133" s="19" customFormat="1" hidden="1" x14ac:dyDescent="0.25">
      <c r="B320" s="67" t="s">
        <v>100</v>
      </c>
      <c r="C320" s="22" t="s">
        <v>47</v>
      </c>
      <c r="E320" s="67"/>
      <c r="F320" s="24">
        <f>IF(F319=0,0,-SUMIF('[1]Budget Summary 1'!$C:$C,$A15,'[1]Budget Summary 1'!J:J)+SUMIF('[1]Budget Summary 1'!$C:$C,$A27,'[1]Budget Summary 1'!J:J))</f>
        <v>0</v>
      </c>
      <c r="G320" s="67"/>
      <c r="H320" s="24">
        <f>IF(H319=0,0,-SUMIF('[1]Budget Summary 1'!$C:$C,$A15,'[1]Budget Summary 1'!L:L)+SUMIF('[1]Budget Summary 1'!$C:$C,$A27,'[1]Budget Summary 1'!L:L))</f>
        <v>0</v>
      </c>
      <c r="I320" s="24">
        <f>IF(I319=0,0,-SUMIF('[1]Budget Summary 1'!$C:$C,$A15,'[1]Budget Summary 1'!M:M)+SUMIF('[1]Budget Summary 1'!$C:$C,$A27,'[1]Budget Summary 1'!M:M))</f>
        <v>0</v>
      </c>
      <c r="J320" s="24">
        <f>IF(J319=0,0,-SUMIF('[1]Budget Summary 1'!$C:$C,$A15,'[1]Budget Summary 1'!N:N)+SUMIF('[1]Budget Summary 1'!$C:$C,$A27,'[1]Budget Summary 1'!N:N))</f>
        <v>0</v>
      </c>
      <c r="K320" s="24">
        <f>IF(K319=0,0,-SUMIF('[1]Budget Summary 1'!$C:$C,$A15,'[1]Budget Summary 1'!O:O)+SUMIF('[1]Budget Summary 1'!$C:$C,$A27,'[1]Budget Summary 1'!O:O))</f>
        <v>0</v>
      </c>
      <c r="L320" s="24">
        <f>IF(L319=0,0,-SUMIF('[1]Budget Summary 1'!$C:$C,$A15,'[1]Budget Summary 1'!P:P)+SUMIF('[1]Budget Summary 1'!$C:$C,$A27,'[1]Budget Summary 1'!P:P))</f>
        <v>0</v>
      </c>
      <c r="M320" s="24">
        <f>IF(M319=0,0,-SUMIF('[1]Budget Summary 1'!$C:$C,$A15,'[1]Budget Summary 1'!Q:Q)+SUMIF('[1]Budget Summary 1'!$C:$C,$A27,'[1]Budget Summary 1'!Q:Q))</f>
        <v>0</v>
      </c>
      <c r="N320" s="24">
        <f>IF(N319=0,0,-SUMIF('[1]Budget Summary 1'!$C:$C,$A15,'[1]Budget Summary 1'!R:R)+SUMIF('[1]Budget Summary 1'!$C:$C,$A27,'[1]Budget Summary 1'!R:R))</f>
        <v>0</v>
      </c>
      <c r="O320" s="24">
        <f>IF(O319=0,0,-SUMIF('[1]Budget Summary 1'!$C:$C,$A15,'[1]Budget Summary 1'!S:S)+SUMIF('[1]Budget Summary 1'!$C:$C,$A27,'[1]Budget Summary 1'!S:S))</f>
        <v>0</v>
      </c>
      <c r="P320" s="24">
        <f>IF(P319=0,0,-SUMIF('[1]Budget Summary 1'!$C:$C,$A15,'[1]Budget Summary 1'!T:T)+SUMIF('[1]Budget Summary 1'!$C:$C,$A27,'[1]Budget Summary 1'!T:T))</f>
        <v>0</v>
      </c>
      <c r="Q320" s="24">
        <f>IF(Q319=0,0,-SUMIF('[1]Budget Summary 1'!$C:$C,$A15,'[1]Budget Summary 1'!U:U)+SUMIF('[1]Budget Summary 1'!$C:$C,$A27,'[1]Budget Summary 1'!U:U))</f>
        <v>0</v>
      </c>
      <c r="DZ320" s="22" t="s">
        <v>2</v>
      </c>
      <c r="EA320" s="23" t="s">
        <v>1</v>
      </c>
      <c r="EB320" s="23" t="s">
        <v>1</v>
      </c>
      <c r="EC320" s="23" t="s">
        <v>1</v>
      </c>
    </row>
    <row r="321" spans="2:133" s="19" customFormat="1" hidden="1" x14ac:dyDescent="0.25">
      <c r="B321" s="67" t="s">
        <v>71</v>
      </c>
      <c r="C321" s="22" t="s">
        <v>47</v>
      </c>
      <c r="E321" s="67"/>
      <c r="F321" s="42">
        <f>ROUND(F319-F320,0)</f>
        <v>0</v>
      </c>
      <c r="G321" s="67"/>
      <c r="H321" s="42">
        <f>ROUND(H319-H320,0)</f>
        <v>0</v>
      </c>
      <c r="I321" s="42">
        <f t="shared" ref="I321:Q321" si="134">ROUND(I319-I320,0)</f>
        <v>0</v>
      </c>
      <c r="J321" s="42">
        <f t="shared" si="134"/>
        <v>0</v>
      </c>
      <c r="K321" s="42">
        <f t="shared" si="134"/>
        <v>0</v>
      </c>
      <c r="L321" s="42">
        <f t="shared" si="134"/>
        <v>0</v>
      </c>
      <c r="M321" s="42">
        <f t="shared" si="134"/>
        <v>0</v>
      </c>
      <c r="N321" s="42">
        <f t="shared" si="134"/>
        <v>0</v>
      </c>
      <c r="O321" s="42">
        <f t="shared" si="134"/>
        <v>0</v>
      </c>
      <c r="P321" s="42">
        <f t="shared" si="134"/>
        <v>0</v>
      </c>
      <c r="Q321" s="42">
        <f t="shared" si="134"/>
        <v>0</v>
      </c>
      <c r="DZ321" s="22" t="s">
        <v>2</v>
      </c>
      <c r="EA321" s="23" t="s">
        <v>1</v>
      </c>
      <c r="EB321" s="23" t="s">
        <v>1</v>
      </c>
      <c r="EC321" s="23" t="s">
        <v>1</v>
      </c>
    </row>
    <row r="322" spans="2:133" s="19" customFormat="1" hidden="1" x14ac:dyDescent="0.25">
      <c r="B322" s="67" t="s">
        <v>101</v>
      </c>
      <c r="C322" s="22" t="s">
        <v>47</v>
      </c>
      <c r="E322" s="67"/>
      <c r="F322" s="37">
        <f>+IF(('[1]BS workings'!E439+'[1]BS workings'!E552+'[1]BS workings'!E579+'[1]BS workings'!E600+'[1]BS workings'!E632)&lt;0,-('[1]BS workings'!E439),0)</f>
        <v>0</v>
      </c>
      <c r="G322" s="67"/>
      <c r="H322" s="37">
        <f>+IF(('[1]BS workings'!G439+'[1]BS workings'!G552+'[1]BS workings'!G579+'[1]BS workings'!G600+'[1]BS workings'!G632)&lt;0,-('[1]BS workings'!G439),0)</f>
        <v>0</v>
      </c>
      <c r="I322" s="37">
        <f>+IF(('[1]BS workings'!H439+'[1]BS workings'!H552+'[1]BS workings'!H579+'[1]BS workings'!H600+'[1]BS workings'!H632)&lt;0,-('[1]BS workings'!H439),0)</f>
        <v>0</v>
      </c>
      <c r="J322" s="37">
        <f>+IF(('[1]BS workings'!I439+'[1]BS workings'!I552+'[1]BS workings'!I579+'[1]BS workings'!I600+'[1]BS workings'!I632)&lt;0,-('[1]BS workings'!I439),0)</f>
        <v>0</v>
      </c>
      <c r="K322" s="37">
        <f>+IF(('[1]BS workings'!J439+'[1]BS workings'!J552+'[1]BS workings'!J579+'[1]BS workings'!J600+'[1]BS workings'!J632)&lt;0,-('[1]BS workings'!J439),0)</f>
        <v>0</v>
      </c>
      <c r="L322" s="37">
        <f>+IF(('[1]BS workings'!K439+'[1]BS workings'!K552+'[1]BS workings'!K579+'[1]BS workings'!K600+'[1]BS workings'!K632)&lt;0,-('[1]BS workings'!K439),0)</f>
        <v>0</v>
      </c>
      <c r="M322" s="37">
        <f>+IF(('[1]BS workings'!L439+'[1]BS workings'!L552+'[1]BS workings'!L579+'[1]BS workings'!L600+'[1]BS workings'!L632)&lt;0,-('[1]BS workings'!L439),0)</f>
        <v>0</v>
      </c>
      <c r="N322" s="37">
        <f>+IF(('[1]BS workings'!M439+'[1]BS workings'!M552+'[1]BS workings'!M579+'[1]BS workings'!M600+'[1]BS workings'!M632)&lt;0,-('[1]BS workings'!M439),0)</f>
        <v>0</v>
      </c>
      <c r="O322" s="37">
        <f>+IF(('[1]BS workings'!N439+'[1]BS workings'!N552+'[1]BS workings'!N579+'[1]BS workings'!N600+'[1]BS workings'!N632)&lt;0,-('[1]BS workings'!N439),0)</f>
        <v>0</v>
      </c>
      <c r="P322" s="37">
        <f>+IF(('[1]BS workings'!O439+'[1]BS workings'!O552+'[1]BS workings'!O579+'[1]BS workings'!O600+'[1]BS workings'!O632)&lt;0,-('[1]BS workings'!O439),0)</f>
        <v>0</v>
      </c>
      <c r="Q322" s="37">
        <f>+IF(('[1]BS workings'!P439+'[1]BS workings'!P552+'[1]BS workings'!P579+'[1]BS workings'!P600+'[1]BS workings'!P632)&lt;0,-('[1]BS workings'!P439),0)</f>
        <v>0</v>
      </c>
      <c r="DZ322" s="22" t="s">
        <v>2</v>
      </c>
      <c r="EA322" s="23" t="s">
        <v>1</v>
      </c>
      <c r="EB322" s="23" t="s">
        <v>1</v>
      </c>
      <c r="EC322" s="23" t="s">
        <v>1</v>
      </c>
    </row>
    <row r="323" spans="2:133" s="19" customFormat="1" hidden="1" x14ac:dyDescent="0.25">
      <c r="B323" s="67" t="s">
        <v>102</v>
      </c>
      <c r="C323" s="22" t="s">
        <v>47</v>
      </c>
      <c r="E323" s="67"/>
      <c r="F323" s="37">
        <f>+IF(('[1]BS workings'!E439+'[1]BS workings'!E552+'[1]BS workings'!E579+'[1]BS workings'!E600+'[1]BS workings'!E632)&lt;0,-('[1]BS workings'!E552),0)</f>
        <v>0</v>
      </c>
      <c r="G323" s="67"/>
      <c r="H323" s="37">
        <f>+IF(('[1]BS workings'!G439+'[1]BS workings'!G552+'[1]BS workings'!G579+'[1]BS workings'!G600+'[1]BS workings'!G632)&lt;0,-('[1]BS workings'!G552),0)</f>
        <v>0</v>
      </c>
      <c r="I323" s="37">
        <f>+IF(('[1]BS workings'!H439+'[1]BS workings'!H552+'[1]BS workings'!H579+'[1]BS workings'!H600+'[1]BS workings'!H632)&lt;0,-('[1]BS workings'!H552),0)</f>
        <v>0</v>
      </c>
      <c r="J323" s="37">
        <f>+IF(('[1]BS workings'!I439+'[1]BS workings'!I552+'[1]BS workings'!I579+'[1]BS workings'!I600+'[1]BS workings'!I632)&lt;0,-('[1]BS workings'!I552),0)</f>
        <v>0</v>
      </c>
      <c r="K323" s="37">
        <f>+IF(('[1]BS workings'!J439+'[1]BS workings'!J552+'[1]BS workings'!J579+'[1]BS workings'!J600+'[1]BS workings'!J632)&lt;0,-('[1]BS workings'!J552),0)</f>
        <v>0</v>
      </c>
      <c r="L323" s="37">
        <f>+IF(('[1]BS workings'!K439+'[1]BS workings'!K552+'[1]BS workings'!K579+'[1]BS workings'!K600+'[1]BS workings'!K632)&lt;0,-('[1]BS workings'!K552),0)</f>
        <v>0</v>
      </c>
      <c r="M323" s="37">
        <f>+IF(('[1]BS workings'!L439+'[1]BS workings'!L552+'[1]BS workings'!L579+'[1]BS workings'!L600+'[1]BS workings'!L632)&lt;0,-('[1]BS workings'!L552),0)</f>
        <v>0</v>
      </c>
      <c r="N323" s="37">
        <f>+IF(('[1]BS workings'!M439+'[1]BS workings'!M552+'[1]BS workings'!M579+'[1]BS workings'!M600+'[1]BS workings'!M632)&lt;0,-('[1]BS workings'!M552),0)</f>
        <v>0</v>
      </c>
      <c r="O323" s="37">
        <f>+IF(('[1]BS workings'!N439+'[1]BS workings'!N552+'[1]BS workings'!N579+'[1]BS workings'!N600+'[1]BS workings'!N632)&lt;0,-('[1]BS workings'!N552),0)</f>
        <v>0</v>
      </c>
      <c r="P323" s="37">
        <f>+IF(('[1]BS workings'!O439+'[1]BS workings'!O552+'[1]BS workings'!O579+'[1]BS workings'!O600+'[1]BS workings'!O632)&lt;0,-('[1]BS workings'!O552),0)</f>
        <v>0</v>
      </c>
      <c r="Q323" s="37">
        <f>+IF(('[1]BS workings'!P439+'[1]BS workings'!P552+'[1]BS workings'!P579+'[1]BS workings'!P600+'[1]BS workings'!P632)&lt;0,-('[1]BS workings'!P552),0)</f>
        <v>0</v>
      </c>
      <c r="DZ323" s="22" t="s">
        <v>2</v>
      </c>
      <c r="EA323" s="23" t="s">
        <v>1</v>
      </c>
      <c r="EB323" s="23" t="s">
        <v>1</v>
      </c>
      <c r="EC323" s="23" t="s">
        <v>1</v>
      </c>
    </row>
    <row r="324" spans="2:133" s="19" customFormat="1" hidden="1" x14ac:dyDescent="0.25">
      <c r="B324" s="67" t="s">
        <v>103</v>
      </c>
      <c r="C324" s="22" t="s">
        <v>47</v>
      </c>
      <c r="E324" s="67"/>
      <c r="F324" s="37">
        <f>+IF(('[1]BS workings'!E439+'[1]BS workings'!E552+'[1]BS workings'!E579+'[1]BS workings'!E600+'[1]BS workings'!E632)&lt;0,-('[1]BS workings'!E579),0)</f>
        <v>0</v>
      </c>
      <c r="G324" s="67"/>
      <c r="H324" s="37">
        <f>+IF(('[1]BS workings'!G439+'[1]BS workings'!G552+'[1]BS workings'!G579+'[1]BS workings'!G600+'[1]BS workings'!G632)&lt;0,-('[1]BS workings'!G579),0)</f>
        <v>0</v>
      </c>
      <c r="I324" s="37">
        <f>+IF(('[1]BS workings'!H439+'[1]BS workings'!H552+'[1]BS workings'!H579+'[1]BS workings'!H600+'[1]BS workings'!H632)&lt;0,-('[1]BS workings'!H579),0)</f>
        <v>0</v>
      </c>
      <c r="J324" s="37">
        <f>+IF(('[1]BS workings'!I439+'[1]BS workings'!I552+'[1]BS workings'!I579+'[1]BS workings'!I600+'[1]BS workings'!I632)&lt;0,-('[1]BS workings'!I579),0)</f>
        <v>0</v>
      </c>
      <c r="K324" s="37">
        <f>+IF(('[1]BS workings'!J439+'[1]BS workings'!J552+'[1]BS workings'!J579+'[1]BS workings'!J600+'[1]BS workings'!J632)&lt;0,-('[1]BS workings'!J579),0)</f>
        <v>0</v>
      </c>
      <c r="L324" s="37">
        <f>+IF(('[1]BS workings'!K439+'[1]BS workings'!K552+'[1]BS workings'!K579+'[1]BS workings'!K600+'[1]BS workings'!K632)&lt;0,-('[1]BS workings'!K579),0)</f>
        <v>0</v>
      </c>
      <c r="M324" s="37">
        <f>+IF(('[1]BS workings'!L439+'[1]BS workings'!L552+'[1]BS workings'!L579+'[1]BS workings'!L600+'[1]BS workings'!L632)&lt;0,-('[1]BS workings'!L579),0)</f>
        <v>0</v>
      </c>
      <c r="N324" s="37">
        <f>+IF(('[1]BS workings'!M439+'[1]BS workings'!M552+'[1]BS workings'!M579+'[1]BS workings'!M600+'[1]BS workings'!M632)&lt;0,-('[1]BS workings'!M579),0)</f>
        <v>0</v>
      </c>
      <c r="O324" s="37">
        <f>+IF(('[1]BS workings'!N439+'[1]BS workings'!N552+'[1]BS workings'!N579+'[1]BS workings'!N600+'[1]BS workings'!N632)&lt;0,-('[1]BS workings'!N579),0)</f>
        <v>0</v>
      </c>
      <c r="P324" s="37">
        <f>+IF(('[1]BS workings'!O439+'[1]BS workings'!O552+'[1]BS workings'!O579+'[1]BS workings'!O600+'[1]BS workings'!O632)&lt;0,-('[1]BS workings'!O579),0)</f>
        <v>0</v>
      </c>
      <c r="Q324" s="37">
        <f>+IF(('[1]BS workings'!P439+'[1]BS workings'!P552+'[1]BS workings'!P579+'[1]BS workings'!P600+'[1]BS workings'!P632)&lt;0,-('[1]BS workings'!P579),0)</f>
        <v>0</v>
      </c>
      <c r="DZ324" s="22" t="s">
        <v>2</v>
      </c>
      <c r="EA324" s="23" t="s">
        <v>1</v>
      </c>
      <c r="EB324" s="23" t="s">
        <v>1</v>
      </c>
      <c r="EC324" s="23" t="s">
        <v>1</v>
      </c>
    </row>
    <row r="325" spans="2:133" s="19" customFormat="1" hidden="1" x14ac:dyDescent="0.25">
      <c r="B325" s="67" t="s">
        <v>104</v>
      </c>
      <c r="C325" s="22" t="s">
        <v>47</v>
      </c>
      <c r="E325" s="67"/>
      <c r="F325" s="37">
        <f>+IF(('[1]BS workings'!E439+'[1]BS workings'!E552+'[1]BS workings'!E579+'[1]BS workings'!E600+'[1]BS workings'!E632)&lt;0,-('[1]BS workings'!E600),0)</f>
        <v>0</v>
      </c>
      <c r="G325" s="67"/>
      <c r="H325" s="37">
        <f>+IF(('[1]BS workings'!G439+'[1]BS workings'!G552+'[1]BS workings'!G579+'[1]BS workings'!G600+'[1]BS workings'!G632)&lt;0,-('[1]BS workings'!G600),0)</f>
        <v>0</v>
      </c>
      <c r="I325" s="37">
        <f>+IF(('[1]BS workings'!H439+'[1]BS workings'!H552+'[1]BS workings'!H579+'[1]BS workings'!H600+'[1]BS workings'!H632)&lt;0,-('[1]BS workings'!H600),0)</f>
        <v>0</v>
      </c>
      <c r="J325" s="37">
        <f>+IF(('[1]BS workings'!I439+'[1]BS workings'!I552+'[1]BS workings'!I579+'[1]BS workings'!I600+'[1]BS workings'!I632)&lt;0,-('[1]BS workings'!I600),0)</f>
        <v>0</v>
      </c>
      <c r="K325" s="37">
        <f>+IF(('[1]BS workings'!J439+'[1]BS workings'!J552+'[1]BS workings'!J579+'[1]BS workings'!J600+'[1]BS workings'!J632)&lt;0,-('[1]BS workings'!J600),0)</f>
        <v>0</v>
      </c>
      <c r="L325" s="37">
        <f>+IF(('[1]BS workings'!K439+'[1]BS workings'!K552+'[1]BS workings'!K579+'[1]BS workings'!K600+'[1]BS workings'!K632)&lt;0,-('[1]BS workings'!K600),0)</f>
        <v>0</v>
      </c>
      <c r="M325" s="37">
        <f>+IF(('[1]BS workings'!L439+'[1]BS workings'!L552+'[1]BS workings'!L579+'[1]BS workings'!L600+'[1]BS workings'!L632)&lt;0,-('[1]BS workings'!L600),0)</f>
        <v>0</v>
      </c>
      <c r="N325" s="37">
        <f>+IF(('[1]BS workings'!M439+'[1]BS workings'!M552+'[1]BS workings'!M579+'[1]BS workings'!M600+'[1]BS workings'!M632)&lt;0,-('[1]BS workings'!M600),0)</f>
        <v>0</v>
      </c>
      <c r="O325" s="37">
        <f>+IF(('[1]BS workings'!N439+'[1]BS workings'!N552+'[1]BS workings'!N579+'[1]BS workings'!N600+'[1]BS workings'!N632)&lt;0,-('[1]BS workings'!N600),0)</f>
        <v>0</v>
      </c>
      <c r="P325" s="37">
        <f>+IF(('[1]BS workings'!O439+'[1]BS workings'!O552+'[1]BS workings'!O579+'[1]BS workings'!O600+'[1]BS workings'!O632)&lt;0,-('[1]BS workings'!O600),0)</f>
        <v>0</v>
      </c>
      <c r="Q325" s="37">
        <f>+IF(('[1]BS workings'!P439+'[1]BS workings'!P552+'[1]BS workings'!P579+'[1]BS workings'!P600+'[1]BS workings'!P632)&lt;0,-('[1]BS workings'!P600),0)</f>
        <v>0</v>
      </c>
      <c r="DZ325" s="22" t="s">
        <v>2</v>
      </c>
      <c r="EA325" s="23" t="s">
        <v>1</v>
      </c>
      <c r="EB325" s="23" t="s">
        <v>1</v>
      </c>
      <c r="EC325" s="23" t="s">
        <v>1</v>
      </c>
    </row>
    <row r="326" spans="2:133" s="19" customFormat="1" hidden="1" x14ac:dyDescent="0.25">
      <c r="B326" s="67" t="s">
        <v>108</v>
      </c>
      <c r="C326" s="22" t="s">
        <v>47</v>
      </c>
      <c r="E326" s="67"/>
      <c r="F326" s="37">
        <f>+IF(('[1]BS workings'!E439+'[1]BS workings'!E552+'[1]BS workings'!E579+'[1]BS workings'!E600+'[1]BS workings'!E632)&lt;0,-('[1]BS workings'!E632),0)</f>
        <v>0</v>
      </c>
      <c r="G326" s="67"/>
      <c r="H326" s="37">
        <f>+IF(('[1]BS workings'!G439+'[1]BS workings'!G552+'[1]BS workings'!G579+'[1]BS workings'!G600+'[1]BS workings'!G632)&lt;0,-('[1]BS workings'!G632),0)</f>
        <v>0</v>
      </c>
      <c r="I326" s="37">
        <f>+IF(('[1]BS workings'!H439+'[1]BS workings'!H552+'[1]BS workings'!H579+'[1]BS workings'!H600+'[1]BS workings'!H632)&lt;0,-('[1]BS workings'!H632),0)</f>
        <v>0</v>
      </c>
      <c r="J326" s="37">
        <f>+IF(('[1]BS workings'!I439+'[1]BS workings'!I552+'[1]BS workings'!I579+'[1]BS workings'!I600+'[1]BS workings'!I632)&lt;0,-('[1]BS workings'!I632),0)</f>
        <v>0</v>
      </c>
      <c r="K326" s="37">
        <f>+IF(('[1]BS workings'!J439+'[1]BS workings'!J552+'[1]BS workings'!J579+'[1]BS workings'!J600+'[1]BS workings'!J632)&lt;0,-('[1]BS workings'!J632),0)</f>
        <v>0</v>
      </c>
      <c r="L326" s="37">
        <f>+IF(('[1]BS workings'!K439+'[1]BS workings'!K552+'[1]BS workings'!K579+'[1]BS workings'!K600+'[1]BS workings'!K632)&lt;0,-('[1]BS workings'!K632),0)</f>
        <v>0</v>
      </c>
      <c r="M326" s="37">
        <f>+IF(('[1]BS workings'!L439+'[1]BS workings'!L552+'[1]BS workings'!L579+'[1]BS workings'!L600+'[1]BS workings'!L632)&lt;0,-('[1]BS workings'!L632),0)</f>
        <v>0</v>
      </c>
      <c r="N326" s="37">
        <f>+IF(('[1]BS workings'!M439+'[1]BS workings'!M552+'[1]BS workings'!M579+'[1]BS workings'!M600+'[1]BS workings'!M632)&lt;0,-('[1]BS workings'!M632),0)</f>
        <v>0</v>
      </c>
      <c r="O326" s="37">
        <f>+IF(('[1]BS workings'!N439+'[1]BS workings'!N552+'[1]BS workings'!N579+'[1]BS workings'!N600+'[1]BS workings'!N632)&lt;0,-('[1]BS workings'!N632),0)</f>
        <v>0</v>
      </c>
      <c r="P326" s="37">
        <f>+IF(('[1]BS workings'!O439+'[1]BS workings'!O552+'[1]BS workings'!O579+'[1]BS workings'!O600+'[1]BS workings'!O632)&lt;0,-('[1]BS workings'!O632),0)</f>
        <v>0</v>
      </c>
      <c r="Q326" s="37">
        <f>+IF(('[1]BS workings'!P439+'[1]BS workings'!P552+'[1]BS workings'!P579+'[1]BS workings'!P600+'[1]BS workings'!P632)&lt;0,-('[1]BS workings'!P632),0)</f>
        <v>0</v>
      </c>
      <c r="DZ326" s="22" t="s">
        <v>2</v>
      </c>
      <c r="EA326" s="23" t="s">
        <v>1</v>
      </c>
      <c r="EB326" s="23" t="s">
        <v>1</v>
      </c>
      <c r="EC326" s="23" t="s">
        <v>1</v>
      </c>
    </row>
    <row r="327" spans="2:133" s="19" customFormat="1" hidden="1" x14ac:dyDescent="0.25">
      <c r="B327" s="67" t="s">
        <v>109</v>
      </c>
      <c r="C327" s="22" t="s">
        <v>47</v>
      </c>
      <c r="E327" s="67"/>
      <c r="F327" s="37">
        <f>IF(F319=0,0,-'[1]Assets - Disposals &amp; Transfers'!E300-'[1]Assets - Disposals &amp; Transfers'!E301)</f>
        <v>0</v>
      </c>
      <c r="G327" s="67"/>
      <c r="H327" s="37">
        <f>IF(H319=0,0,-'[1]Assets - Disposals &amp; Transfers'!G300-'[1]Assets - Disposals &amp; Transfers'!G301)</f>
        <v>0</v>
      </c>
      <c r="I327" s="37">
        <f>IF(I319=0,0,-'[1]Assets - Disposals &amp; Transfers'!H300-'[1]Assets - Disposals &amp; Transfers'!H301)</f>
        <v>0</v>
      </c>
      <c r="J327" s="37">
        <f>IF(J319=0,0,-'[1]Assets - Disposals &amp; Transfers'!I300-'[1]Assets - Disposals &amp; Transfers'!I301)</f>
        <v>0</v>
      </c>
      <c r="K327" s="37">
        <f>IF(K319=0,0,-'[1]Assets - Disposals &amp; Transfers'!J300-'[1]Assets - Disposals &amp; Transfers'!J301)</f>
        <v>0</v>
      </c>
      <c r="L327" s="37">
        <f>IF(L319=0,0,-'[1]Assets - Disposals &amp; Transfers'!K300-'[1]Assets - Disposals &amp; Transfers'!K301)</f>
        <v>0</v>
      </c>
      <c r="M327" s="37">
        <f>IF(M319=0,0,-'[1]Assets - Disposals &amp; Transfers'!L300-'[1]Assets - Disposals &amp; Transfers'!L301)</f>
        <v>0</v>
      </c>
      <c r="N327" s="37">
        <f>IF(N319=0,0,-'[1]Assets - Disposals &amp; Transfers'!M300-'[1]Assets - Disposals &amp; Transfers'!M301)</f>
        <v>0</v>
      </c>
      <c r="O327" s="37">
        <f>IF(O319=0,0,-'[1]Assets - Disposals &amp; Transfers'!N300-'[1]Assets - Disposals &amp; Transfers'!N301)</f>
        <v>0</v>
      </c>
      <c r="P327" s="37">
        <f>IF(P319=0,0,-'[1]Assets - Disposals &amp; Transfers'!O300-'[1]Assets - Disposals &amp; Transfers'!O301)</f>
        <v>0</v>
      </c>
      <c r="Q327" s="37">
        <f>IF(Q319=0,0,-'[1]Assets - Disposals &amp; Transfers'!P300-'[1]Assets - Disposals &amp; Transfers'!P301)</f>
        <v>0</v>
      </c>
      <c r="DZ327" s="22" t="s">
        <v>2</v>
      </c>
      <c r="EA327" s="23" t="s">
        <v>1</v>
      </c>
      <c r="EB327" s="23" t="s">
        <v>1</v>
      </c>
      <c r="EC327" s="23" t="s">
        <v>1</v>
      </c>
    </row>
    <row r="328" spans="2:133" s="19" customFormat="1" hidden="1" x14ac:dyDescent="0.25">
      <c r="B328" s="67" t="s">
        <v>105</v>
      </c>
      <c r="C328" s="22" t="s">
        <v>47</v>
      </c>
      <c r="E328" s="67"/>
      <c r="F328" s="52">
        <f>ROUND(F321-SUM(F322:F327),0)</f>
        <v>0</v>
      </c>
      <c r="G328" s="67"/>
      <c r="H328" s="52">
        <f>ROUND(H321-SUM(H322:H327),0)</f>
        <v>0</v>
      </c>
      <c r="I328" s="52">
        <f t="shared" ref="I328:Q328" si="135">ROUND(I321-SUM(I322:I327),0)</f>
        <v>0</v>
      </c>
      <c r="J328" s="52">
        <f t="shared" si="135"/>
        <v>0</v>
      </c>
      <c r="K328" s="52">
        <f t="shared" si="135"/>
        <v>0</v>
      </c>
      <c r="L328" s="52">
        <f t="shared" si="135"/>
        <v>0</v>
      </c>
      <c r="M328" s="52">
        <f t="shared" si="135"/>
        <v>0</v>
      </c>
      <c r="N328" s="52">
        <f t="shared" si="135"/>
        <v>0</v>
      </c>
      <c r="O328" s="52">
        <f t="shared" si="135"/>
        <v>0</v>
      </c>
      <c r="P328" s="52">
        <f t="shared" si="135"/>
        <v>0</v>
      </c>
      <c r="Q328" s="52">
        <f t="shared" si="135"/>
        <v>0</v>
      </c>
      <c r="DZ328" s="22" t="s">
        <v>2</v>
      </c>
      <c r="EA328" s="23" t="s">
        <v>1</v>
      </c>
      <c r="EB328" s="23" t="s">
        <v>1</v>
      </c>
      <c r="EC328" s="23" t="s">
        <v>1</v>
      </c>
    </row>
    <row r="329" spans="2:133" s="19" customFormat="1" hidden="1" x14ac:dyDescent="0.25">
      <c r="C329" s="22" t="s">
        <v>47</v>
      </c>
      <c r="DZ329" s="22" t="s">
        <v>2</v>
      </c>
      <c r="EA329" s="23" t="s">
        <v>1</v>
      </c>
      <c r="EB329" s="23" t="s">
        <v>1</v>
      </c>
      <c r="EC329" s="23" t="s">
        <v>1</v>
      </c>
    </row>
    <row r="330" spans="2:133" s="19" customFormat="1" hidden="1" x14ac:dyDescent="0.25">
      <c r="B330" s="19" t="str">
        <f>B28</f>
        <v>Joint Ventures &amp; Associated Entities</v>
      </c>
      <c r="C330" s="22" t="s">
        <v>47</v>
      </c>
      <c r="DZ330" s="22" t="s">
        <v>2</v>
      </c>
      <c r="EA330" s="23" t="s">
        <v>1</v>
      </c>
      <c r="EB330" s="23" t="s">
        <v>1</v>
      </c>
      <c r="EC330" s="23" t="s">
        <v>1</v>
      </c>
    </row>
    <row r="331" spans="2:133" s="19" customFormat="1" hidden="1" x14ac:dyDescent="0.25">
      <c r="B331" s="67" t="s">
        <v>99</v>
      </c>
      <c r="C331" s="22" t="s">
        <v>47</v>
      </c>
      <c r="E331" s="67"/>
      <c r="F331" s="19">
        <f>F28</f>
        <v>0</v>
      </c>
      <c r="G331" s="67"/>
      <c r="H331" s="19">
        <f t="shared" ref="H331:Q331" si="136">H28</f>
        <v>0</v>
      </c>
      <c r="I331" s="19">
        <f t="shared" si="136"/>
        <v>0</v>
      </c>
      <c r="J331" s="19">
        <f t="shared" si="136"/>
        <v>0</v>
      </c>
      <c r="K331" s="19">
        <f t="shared" si="136"/>
        <v>0</v>
      </c>
      <c r="L331" s="19">
        <f t="shared" si="136"/>
        <v>0</v>
      </c>
      <c r="M331" s="19">
        <f t="shared" si="136"/>
        <v>0</v>
      </c>
      <c r="N331" s="19">
        <f t="shared" si="136"/>
        <v>0</v>
      </c>
      <c r="O331" s="19">
        <f t="shared" si="136"/>
        <v>0</v>
      </c>
      <c r="P331" s="19">
        <f t="shared" si="136"/>
        <v>0</v>
      </c>
      <c r="Q331" s="19">
        <f t="shared" si="136"/>
        <v>0</v>
      </c>
      <c r="DZ331" s="22" t="s">
        <v>2</v>
      </c>
      <c r="EA331" s="23" t="s">
        <v>1</v>
      </c>
      <c r="EB331" s="23" t="s">
        <v>1</v>
      </c>
      <c r="EC331" s="23" t="s">
        <v>1</v>
      </c>
    </row>
    <row r="332" spans="2:133" s="19" customFormat="1" hidden="1" x14ac:dyDescent="0.25">
      <c r="B332" s="67" t="s">
        <v>100</v>
      </c>
      <c r="C332" s="22" t="s">
        <v>47</v>
      </c>
      <c r="E332" s="67"/>
      <c r="F332" s="19">
        <f>IF(SUMIF('[1]Budget Summary 1'!$C:$C,$A16,'[1]Budget Summary 1'!J:J)-SUMIF('[1]Budget Summary 1'!$C:$C,$A28,'[1]Budget Summary 1'!J:J)&lt;0,-(SUMIF('[1]Budget Summary 1'!$C:$C,$A16,'[1]Budget Summary 1'!J:J)-SUMIF('[1]Budget Summary 1'!$C:$C,$A28,'[1]Budget Summary 1'!J:J)),0)</f>
        <v>0</v>
      </c>
      <c r="G332" s="67"/>
      <c r="H332" s="19">
        <f>IF(SUMIF('[1]Budget Summary 1'!$C:$C,$A16,'[1]Budget Summary 1'!L:L)-SUMIF('[1]Budget Summary 1'!$C:$C,$A28,'[1]Budget Summary 1'!L:L)&lt;0,-(SUMIF('[1]Budget Summary 1'!$C:$C,$A16,'[1]Budget Summary 1'!L:L)-SUMIF('[1]Budget Summary 1'!$C:$C,$A28,'[1]Budget Summary 1'!L:L)),0)</f>
        <v>0</v>
      </c>
      <c r="I332" s="19">
        <f>IF(SUMIF('[1]Budget Summary 1'!$C:$C,$A16,'[1]Budget Summary 1'!M:M)-SUMIF('[1]Budget Summary 1'!$C:$C,$A28,'[1]Budget Summary 1'!M:M)&lt;0,-(SUMIF('[1]Budget Summary 1'!$C:$C,$A16,'[1]Budget Summary 1'!M:M)-SUMIF('[1]Budget Summary 1'!$C:$C,$A28,'[1]Budget Summary 1'!M:M)),0)</f>
        <v>0</v>
      </c>
      <c r="J332" s="19">
        <f>IF(SUMIF('[1]Budget Summary 1'!$C:$C,$A16,'[1]Budget Summary 1'!N:N)-SUMIF('[1]Budget Summary 1'!$C:$C,$A28,'[1]Budget Summary 1'!N:N)&lt;0,-(SUMIF('[1]Budget Summary 1'!$C:$C,$A16,'[1]Budget Summary 1'!N:N)-SUMIF('[1]Budget Summary 1'!$C:$C,$A28,'[1]Budget Summary 1'!N:N)),0)</f>
        <v>0</v>
      </c>
      <c r="K332" s="19">
        <f>IF(SUMIF('[1]Budget Summary 1'!$C:$C,$A16,'[1]Budget Summary 1'!O:O)-SUMIF('[1]Budget Summary 1'!$C:$C,$A28,'[1]Budget Summary 1'!O:O)&lt;0,-(SUMIF('[1]Budget Summary 1'!$C:$C,$A16,'[1]Budget Summary 1'!O:O)-SUMIF('[1]Budget Summary 1'!$C:$C,$A28,'[1]Budget Summary 1'!O:O)),0)</f>
        <v>0</v>
      </c>
      <c r="L332" s="19">
        <f>IF(SUMIF('[1]Budget Summary 1'!$C:$C,$A16,'[1]Budget Summary 1'!P:P)-SUMIF('[1]Budget Summary 1'!$C:$C,$A28,'[1]Budget Summary 1'!P:P)&lt;0,-(SUMIF('[1]Budget Summary 1'!$C:$C,$A16,'[1]Budget Summary 1'!P:P)-SUMIF('[1]Budget Summary 1'!$C:$C,$A28,'[1]Budget Summary 1'!P:P)),0)</f>
        <v>0</v>
      </c>
      <c r="M332" s="19">
        <f>IF(SUMIF('[1]Budget Summary 1'!$C:$C,$A16,'[1]Budget Summary 1'!Q:Q)-SUMIF('[1]Budget Summary 1'!$C:$C,$A28,'[1]Budget Summary 1'!Q:Q)&lt;0,-(SUMIF('[1]Budget Summary 1'!$C:$C,$A16,'[1]Budget Summary 1'!Q:Q)-SUMIF('[1]Budget Summary 1'!$C:$C,$A28,'[1]Budget Summary 1'!Q:Q)),0)</f>
        <v>0</v>
      </c>
      <c r="N332" s="19">
        <f>IF(SUMIF('[1]Budget Summary 1'!$C:$C,$A16,'[1]Budget Summary 1'!R:R)-SUMIF('[1]Budget Summary 1'!$C:$C,$A28,'[1]Budget Summary 1'!R:R)&lt;0,-(SUMIF('[1]Budget Summary 1'!$C:$C,$A16,'[1]Budget Summary 1'!R:R)-SUMIF('[1]Budget Summary 1'!$C:$C,$A28,'[1]Budget Summary 1'!R:R)),0)</f>
        <v>0</v>
      </c>
      <c r="O332" s="19">
        <f>IF(SUMIF('[1]Budget Summary 1'!$C:$C,$A16,'[1]Budget Summary 1'!S:S)-SUMIF('[1]Budget Summary 1'!$C:$C,$A28,'[1]Budget Summary 1'!S:S)&lt;0,-(SUMIF('[1]Budget Summary 1'!$C:$C,$A16,'[1]Budget Summary 1'!S:S)-SUMIF('[1]Budget Summary 1'!$C:$C,$A28,'[1]Budget Summary 1'!S:S)),0)</f>
        <v>0</v>
      </c>
      <c r="P332" s="19">
        <f>IF(SUMIF('[1]Budget Summary 1'!$C:$C,$A16,'[1]Budget Summary 1'!T:T)-SUMIF('[1]Budget Summary 1'!$C:$C,$A28,'[1]Budget Summary 1'!T:T)&lt;0,-(SUMIF('[1]Budget Summary 1'!$C:$C,$A16,'[1]Budget Summary 1'!T:T)-SUMIF('[1]Budget Summary 1'!$C:$C,$A28,'[1]Budget Summary 1'!T:T)),0)</f>
        <v>0</v>
      </c>
      <c r="Q332" s="19">
        <f>IF(SUMIF('[1]Budget Summary 1'!$C:$C,$A16,'[1]Budget Summary 1'!U:U)-SUMIF('[1]Budget Summary 1'!$C:$C,$A28,'[1]Budget Summary 1'!U:U)&lt;0,-(SUMIF('[1]Budget Summary 1'!$C:$C,$A16,'[1]Budget Summary 1'!U:U)-SUMIF('[1]Budget Summary 1'!$C:$C,$A28,'[1]Budget Summary 1'!U:U)),0)</f>
        <v>0</v>
      </c>
      <c r="DZ332" s="22" t="s">
        <v>2</v>
      </c>
      <c r="EA332" s="23" t="s">
        <v>1</v>
      </c>
      <c r="EB332" s="23" t="s">
        <v>1</v>
      </c>
      <c r="EC332" s="23" t="s">
        <v>1</v>
      </c>
    </row>
    <row r="333" spans="2:133" s="19" customFormat="1" hidden="1" x14ac:dyDescent="0.25">
      <c r="B333" s="67" t="s">
        <v>71</v>
      </c>
      <c r="C333" s="22" t="s">
        <v>47</v>
      </c>
      <c r="E333" s="67"/>
      <c r="F333" s="42">
        <f>ROUND(F331-F332,0)</f>
        <v>0</v>
      </c>
      <c r="G333" s="67"/>
      <c r="H333" s="42">
        <f>ROUND(H331-H332,0)</f>
        <v>0</v>
      </c>
      <c r="I333" s="42">
        <f t="shared" ref="I333:Q333" si="137">ROUND(I331-I332,0)</f>
        <v>0</v>
      </c>
      <c r="J333" s="42">
        <f t="shared" si="137"/>
        <v>0</v>
      </c>
      <c r="K333" s="42">
        <f t="shared" si="137"/>
        <v>0</v>
      </c>
      <c r="L333" s="42">
        <f t="shared" si="137"/>
        <v>0</v>
      </c>
      <c r="M333" s="42">
        <f t="shared" si="137"/>
        <v>0</v>
      </c>
      <c r="N333" s="42">
        <f t="shared" si="137"/>
        <v>0</v>
      </c>
      <c r="O333" s="42">
        <f t="shared" si="137"/>
        <v>0</v>
      </c>
      <c r="P333" s="42">
        <f t="shared" si="137"/>
        <v>0</v>
      </c>
      <c r="Q333" s="42">
        <f t="shared" si="137"/>
        <v>0</v>
      </c>
      <c r="DZ333" s="22" t="s">
        <v>2</v>
      </c>
      <c r="EA333" s="23" t="s">
        <v>1</v>
      </c>
      <c r="EB333" s="23" t="s">
        <v>1</v>
      </c>
      <c r="EC333" s="23" t="s">
        <v>1</v>
      </c>
    </row>
    <row r="334" spans="2:133" s="19" customFormat="1" hidden="1" x14ac:dyDescent="0.25">
      <c r="C334" s="22" t="s">
        <v>47</v>
      </c>
      <c r="DZ334" s="22" t="s">
        <v>2</v>
      </c>
      <c r="EA334" s="23" t="s">
        <v>1</v>
      </c>
      <c r="EB334" s="23" t="s">
        <v>1</v>
      </c>
      <c r="EC334" s="23" t="s">
        <v>1</v>
      </c>
    </row>
    <row r="335" spans="2:133" s="19" customFormat="1" hidden="1" x14ac:dyDescent="0.25">
      <c r="C335" s="22" t="s">
        <v>47</v>
      </c>
      <c r="DZ335" s="22" t="s">
        <v>2</v>
      </c>
      <c r="EA335" s="23" t="s">
        <v>1</v>
      </c>
      <c r="EB335" s="23" t="s">
        <v>1</v>
      </c>
      <c r="EC335" s="23" t="s">
        <v>1</v>
      </c>
    </row>
    <row r="336" spans="2:133" s="19" customFormat="1" hidden="1" x14ac:dyDescent="0.25">
      <c r="C336" s="22" t="s">
        <v>47</v>
      </c>
      <c r="DZ336" s="22" t="s">
        <v>2</v>
      </c>
      <c r="EA336" s="23" t="s">
        <v>1</v>
      </c>
      <c r="EB336" s="23" t="s">
        <v>1</v>
      </c>
      <c r="EC336" s="23" t="s">
        <v>1</v>
      </c>
    </row>
    <row r="337" spans="1:133" s="19" customFormat="1" hidden="1" x14ac:dyDescent="0.25">
      <c r="C337" s="22" t="s">
        <v>47</v>
      </c>
      <c r="DZ337" s="22" t="s">
        <v>2</v>
      </c>
      <c r="EA337" s="23" t="s">
        <v>1</v>
      </c>
      <c r="EB337" s="23" t="s">
        <v>1</v>
      </c>
      <c r="EC337" s="23" t="s">
        <v>1</v>
      </c>
    </row>
    <row r="338" spans="1:133" s="19" customFormat="1" hidden="1" x14ac:dyDescent="0.25">
      <c r="A338" s="22" t="s">
        <v>2</v>
      </c>
      <c r="B338" s="22" t="s">
        <v>2</v>
      </c>
      <c r="C338" s="22" t="s">
        <v>2</v>
      </c>
      <c r="D338" s="22" t="s">
        <v>2</v>
      </c>
      <c r="E338" s="22" t="s">
        <v>2</v>
      </c>
      <c r="F338" s="22" t="s">
        <v>2</v>
      </c>
      <c r="G338" s="22" t="s">
        <v>2</v>
      </c>
      <c r="H338" s="22" t="s">
        <v>2</v>
      </c>
      <c r="I338" s="22" t="s">
        <v>2</v>
      </c>
      <c r="J338" s="22" t="s">
        <v>2</v>
      </c>
      <c r="K338" s="22" t="s">
        <v>2</v>
      </c>
      <c r="L338" s="22" t="s">
        <v>2</v>
      </c>
      <c r="M338" s="22" t="s">
        <v>2</v>
      </c>
      <c r="N338" s="22" t="s">
        <v>2</v>
      </c>
      <c r="O338" s="22" t="s">
        <v>2</v>
      </c>
      <c r="P338" s="22" t="s">
        <v>2</v>
      </c>
      <c r="Q338" s="22" t="s">
        <v>2</v>
      </c>
      <c r="R338" s="22" t="s">
        <v>2</v>
      </c>
      <c r="S338" s="22" t="s">
        <v>2</v>
      </c>
      <c r="T338" s="22" t="s">
        <v>2</v>
      </c>
      <c r="U338" s="22" t="s">
        <v>2</v>
      </c>
      <c r="V338" s="22" t="s">
        <v>2</v>
      </c>
      <c r="W338" s="22" t="s">
        <v>2</v>
      </c>
      <c r="X338" s="22" t="s">
        <v>2</v>
      </c>
      <c r="Y338" s="22" t="s">
        <v>2</v>
      </c>
      <c r="Z338" s="22" t="s">
        <v>2</v>
      </c>
      <c r="AA338" s="22" t="s">
        <v>2</v>
      </c>
      <c r="AB338" s="22" t="s">
        <v>2</v>
      </c>
      <c r="AC338" s="22" t="s">
        <v>2</v>
      </c>
      <c r="AD338" s="22" t="s">
        <v>2</v>
      </c>
      <c r="AE338" s="22" t="s">
        <v>2</v>
      </c>
      <c r="AF338" s="22" t="s">
        <v>2</v>
      </c>
      <c r="AG338" s="22" t="s">
        <v>2</v>
      </c>
      <c r="AH338" s="22" t="s">
        <v>2</v>
      </c>
      <c r="AI338" s="22" t="s">
        <v>2</v>
      </c>
      <c r="AJ338" s="22" t="s">
        <v>2</v>
      </c>
      <c r="AK338" s="22" t="s">
        <v>2</v>
      </c>
      <c r="AL338" s="22" t="s">
        <v>2</v>
      </c>
      <c r="AM338" s="22" t="s">
        <v>2</v>
      </c>
      <c r="AN338" s="22" t="s">
        <v>2</v>
      </c>
      <c r="AO338" s="22" t="s">
        <v>2</v>
      </c>
      <c r="AP338" s="22" t="s">
        <v>2</v>
      </c>
      <c r="AQ338" s="22" t="s">
        <v>2</v>
      </c>
      <c r="AR338" s="22" t="s">
        <v>2</v>
      </c>
      <c r="AS338" s="22" t="s">
        <v>2</v>
      </c>
      <c r="AT338" s="22" t="s">
        <v>2</v>
      </c>
      <c r="AU338" s="22" t="s">
        <v>2</v>
      </c>
      <c r="AV338" s="22" t="s">
        <v>2</v>
      </c>
      <c r="AW338" s="22" t="s">
        <v>2</v>
      </c>
      <c r="AX338" s="22" t="s">
        <v>2</v>
      </c>
      <c r="AY338" s="22" t="s">
        <v>2</v>
      </c>
      <c r="AZ338" s="22" t="s">
        <v>2</v>
      </c>
      <c r="BA338" s="22" t="s">
        <v>2</v>
      </c>
      <c r="BB338" s="22" t="s">
        <v>2</v>
      </c>
      <c r="BC338" s="22" t="s">
        <v>2</v>
      </c>
      <c r="BD338" s="22" t="s">
        <v>2</v>
      </c>
      <c r="BE338" s="22" t="s">
        <v>2</v>
      </c>
      <c r="BF338" s="22" t="s">
        <v>2</v>
      </c>
      <c r="BG338" s="22" t="s">
        <v>2</v>
      </c>
      <c r="BH338" s="22" t="s">
        <v>2</v>
      </c>
      <c r="BI338" s="22" t="s">
        <v>2</v>
      </c>
      <c r="BJ338" s="22" t="s">
        <v>2</v>
      </c>
      <c r="BK338" s="22" t="s">
        <v>2</v>
      </c>
      <c r="BL338" s="22" t="s">
        <v>2</v>
      </c>
      <c r="BM338" s="22" t="s">
        <v>2</v>
      </c>
      <c r="BN338" s="22" t="s">
        <v>2</v>
      </c>
      <c r="BO338" s="22" t="s">
        <v>2</v>
      </c>
      <c r="BP338" s="22" t="s">
        <v>2</v>
      </c>
      <c r="BQ338" s="22" t="s">
        <v>2</v>
      </c>
      <c r="BR338" s="22" t="s">
        <v>2</v>
      </c>
      <c r="BS338" s="22" t="s">
        <v>2</v>
      </c>
      <c r="BT338" s="22" t="s">
        <v>2</v>
      </c>
      <c r="BU338" s="22" t="s">
        <v>2</v>
      </c>
      <c r="BV338" s="22" t="s">
        <v>2</v>
      </c>
      <c r="BW338" s="22" t="s">
        <v>2</v>
      </c>
      <c r="BX338" s="22" t="s">
        <v>2</v>
      </c>
      <c r="BY338" s="22" t="s">
        <v>2</v>
      </c>
      <c r="BZ338" s="22" t="s">
        <v>2</v>
      </c>
      <c r="CA338" s="22" t="s">
        <v>2</v>
      </c>
      <c r="CB338" s="22" t="s">
        <v>2</v>
      </c>
      <c r="CC338" s="22" t="s">
        <v>2</v>
      </c>
      <c r="CD338" s="22" t="s">
        <v>2</v>
      </c>
      <c r="CE338" s="22" t="s">
        <v>2</v>
      </c>
      <c r="CF338" s="22" t="s">
        <v>2</v>
      </c>
      <c r="CG338" s="22" t="s">
        <v>2</v>
      </c>
      <c r="CH338" s="22" t="s">
        <v>2</v>
      </c>
      <c r="CI338" s="22" t="s">
        <v>2</v>
      </c>
      <c r="CJ338" s="22" t="s">
        <v>2</v>
      </c>
      <c r="CK338" s="22" t="s">
        <v>2</v>
      </c>
      <c r="CL338" s="22" t="s">
        <v>2</v>
      </c>
      <c r="CM338" s="22" t="s">
        <v>2</v>
      </c>
      <c r="CN338" s="22" t="s">
        <v>2</v>
      </c>
      <c r="CO338" s="22" t="s">
        <v>2</v>
      </c>
      <c r="CP338" s="22" t="s">
        <v>2</v>
      </c>
      <c r="CQ338" s="22" t="s">
        <v>2</v>
      </c>
      <c r="CR338" s="22" t="s">
        <v>2</v>
      </c>
      <c r="CS338" s="22" t="s">
        <v>2</v>
      </c>
      <c r="CT338" s="22" t="s">
        <v>2</v>
      </c>
      <c r="CU338" s="22" t="s">
        <v>2</v>
      </c>
      <c r="CV338" s="22" t="s">
        <v>2</v>
      </c>
      <c r="CW338" s="22" t="s">
        <v>2</v>
      </c>
      <c r="CX338" s="22" t="s">
        <v>2</v>
      </c>
      <c r="CY338" s="22" t="s">
        <v>2</v>
      </c>
      <c r="CZ338" s="22" t="s">
        <v>2</v>
      </c>
      <c r="DA338" s="22" t="s">
        <v>2</v>
      </c>
      <c r="DB338" s="22" t="s">
        <v>2</v>
      </c>
      <c r="DC338" s="22" t="s">
        <v>2</v>
      </c>
      <c r="DD338" s="22" t="s">
        <v>2</v>
      </c>
      <c r="DE338" s="22" t="s">
        <v>2</v>
      </c>
      <c r="DF338" s="22" t="s">
        <v>2</v>
      </c>
      <c r="DG338" s="22" t="s">
        <v>2</v>
      </c>
      <c r="DH338" s="22" t="s">
        <v>2</v>
      </c>
      <c r="DI338" s="22" t="s">
        <v>2</v>
      </c>
      <c r="DJ338" s="22" t="s">
        <v>2</v>
      </c>
      <c r="DK338" s="22" t="s">
        <v>2</v>
      </c>
      <c r="DL338" s="22" t="s">
        <v>2</v>
      </c>
      <c r="DM338" s="22" t="s">
        <v>2</v>
      </c>
      <c r="DN338" s="22" t="s">
        <v>2</v>
      </c>
      <c r="DO338" s="22" t="s">
        <v>2</v>
      </c>
      <c r="DP338" s="22" t="s">
        <v>2</v>
      </c>
      <c r="DQ338" s="22" t="s">
        <v>2</v>
      </c>
      <c r="DR338" s="22" t="s">
        <v>2</v>
      </c>
      <c r="DS338" s="22" t="s">
        <v>2</v>
      </c>
      <c r="DT338" s="22" t="s">
        <v>2</v>
      </c>
      <c r="DU338" s="22" t="s">
        <v>2</v>
      </c>
      <c r="DV338" s="22" t="s">
        <v>2</v>
      </c>
      <c r="DW338" s="22" t="s">
        <v>2</v>
      </c>
      <c r="DX338" s="22" t="s">
        <v>2</v>
      </c>
      <c r="DY338" s="22" t="s">
        <v>2</v>
      </c>
      <c r="DZ338" s="22" t="s">
        <v>2</v>
      </c>
      <c r="EA338" s="23" t="s">
        <v>1</v>
      </c>
      <c r="EB338" s="23" t="s">
        <v>1</v>
      </c>
      <c r="EC338" s="23" t="s">
        <v>1</v>
      </c>
    </row>
    <row r="339" spans="1:133" s="19" customFormat="1" ht="30" customHeight="1" x14ac:dyDescent="0.25">
      <c r="B339" s="23" t="s">
        <v>1</v>
      </c>
      <c r="C339" s="23" t="s">
        <v>1</v>
      </c>
      <c r="D339" s="23" t="s">
        <v>1</v>
      </c>
      <c r="E339" s="23" t="s">
        <v>1</v>
      </c>
      <c r="F339" s="23" t="s">
        <v>1</v>
      </c>
      <c r="G339" s="23" t="s">
        <v>1</v>
      </c>
      <c r="H339" s="23" t="s">
        <v>1</v>
      </c>
      <c r="I339" s="23" t="s">
        <v>1</v>
      </c>
      <c r="J339" s="23" t="s">
        <v>1</v>
      </c>
      <c r="K339" s="23" t="s">
        <v>1</v>
      </c>
      <c r="L339" s="23" t="s">
        <v>1</v>
      </c>
      <c r="M339" s="23" t="s">
        <v>1</v>
      </c>
      <c r="N339" s="23" t="s">
        <v>1</v>
      </c>
      <c r="O339" s="23" t="s">
        <v>1</v>
      </c>
      <c r="P339" s="23" t="s">
        <v>1</v>
      </c>
      <c r="Q339" s="23" t="s">
        <v>1</v>
      </c>
      <c r="R339" s="24" t="s">
        <v>1</v>
      </c>
      <c r="S339" s="24" t="s">
        <v>1</v>
      </c>
      <c r="T339" s="24" t="s">
        <v>1</v>
      </c>
      <c r="U339" s="24" t="s">
        <v>1</v>
      </c>
      <c r="V339" s="24" t="s">
        <v>1</v>
      </c>
      <c r="W339" s="24" t="s">
        <v>1</v>
      </c>
      <c r="X339" s="24" t="s">
        <v>1</v>
      </c>
      <c r="Y339" s="24" t="s">
        <v>1</v>
      </c>
      <c r="Z339" s="24" t="s">
        <v>1</v>
      </c>
      <c r="AA339" s="24" t="s">
        <v>1</v>
      </c>
      <c r="AB339" s="24" t="s">
        <v>1</v>
      </c>
      <c r="AC339" s="24" t="s">
        <v>1</v>
      </c>
      <c r="AD339" s="24" t="s">
        <v>1</v>
      </c>
      <c r="AE339" s="24" t="s">
        <v>1</v>
      </c>
      <c r="AF339" s="24" t="s">
        <v>1</v>
      </c>
      <c r="AG339" s="24" t="s">
        <v>1</v>
      </c>
      <c r="AH339" s="24" t="s">
        <v>1</v>
      </c>
      <c r="AI339" s="24" t="s">
        <v>1</v>
      </c>
      <c r="AJ339" s="24" t="s">
        <v>1</v>
      </c>
      <c r="AK339" s="24" t="s">
        <v>1</v>
      </c>
      <c r="AL339" s="24" t="s">
        <v>1</v>
      </c>
      <c r="AM339" s="24" t="s">
        <v>1</v>
      </c>
      <c r="AN339" s="24" t="s">
        <v>1</v>
      </c>
      <c r="AO339" s="24" t="s">
        <v>1</v>
      </c>
      <c r="AP339" s="24" t="s">
        <v>1</v>
      </c>
      <c r="AQ339" s="24" t="s">
        <v>1</v>
      </c>
      <c r="AR339" s="24" t="s">
        <v>1</v>
      </c>
      <c r="AS339" s="24" t="s">
        <v>1</v>
      </c>
      <c r="AT339" s="24" t="s">
        <v>1</v>
      </c>
      <c r="AU339" s="24" t="s">
        <v>1</v>
      </c>
      <c r="AV339" s="24" t="s">
        <v>1</v>
      </c>
      <c r="AW339" s="24" t="s">
        <v>1</v>
      </c>
      <c r="AX339" s="24" t="s">
        <v>1</v>
      </c>
      <c r="AY339" s="24" t="s">
        <v>1</v>
      </c>
      <c r="AZ339" s="24" t="s">
        <v>1</v>
      </c>
      <c r="BA339" s="24" t="s">
        <v>1</v>
      </c>
      <c r="BB339" s="24" t="s">
        <v>1</v>
      </c>
      <c r="BC339" s="24" t="s">
        <v>1</v>
      </c>
      <c r="BD339" s="24" t="s">
        <v>1</v>
      </c>
      <c r="BE339" s="24" t="s">
        <v>1</v>
      </c>
      <c r="BF339" s="24" t="s">
        <v>1</v>
      </c>
      <c r="BG339" s="24" t="s">
        <v>1</v>
      </c>
      <c r="BH339" s="24" t="s">
        <v>1</v>
      </c>
      <c r="BI339" s="24" t="s">
        <v>1</v>
      </c>
      <c r="BJ339" s="24" t="s">
        <v>1</v>
      </c>
      <c r="BK339" s="24" t="s">
        <v>1</v>
      </c>
      <c r="BL339" s="24" t="s">
        <v>1</v>
      </c>
      <c r="BM339" s="24" t="s">
        <v>1</v>
      </c>
      <c r="BN339" s="24" t="s">
        <v>1</v>
      </c>
      <c r="BO339" s="24" t="s">
        <v>1</v>
      </c>
      <c r="BP339" s="24" t="s">
        <v>1</v>
      </c>
      <c r="BQ339" s="24" t="s">
        <v>1</v>
      </c>
      <c r="BR339" s="24" t="s">
        <v>1</v>
      </c>
      <c r="BS339" s="24" t="s">
        <v>1</v>
      </c>
      <c r="BT339" s="24" t="s">
        <v>1</v>
      </c>
      <c r="BU339" s="24" t="s">
        <v>1</v>
      </c>
      <c r="BV339" s="24" t="s">
        <v>1</v>
      </c>
      <c r="BW339" s="24" t="s">
        <v>1</v>
      </c>
      <c r="BX339" s="24" t="s">
        <v>1</v>
      </c>
      <c r="BY339" s="24" t="s">
        <v>1</v>
      </c>
      <c r="BZ339" s="24" t="s">
        <v>1</v>
      </c>
      <c r="CA339" s="24" t="s">
        <v>1</v>
      </c>
      <c r="CB339" s="24" t="s">
        <v>1</v>
      </c>
      <c r="CC339" s="24" t="s">
        <v>1</v>
      </c>
      <c r="CD339" s="24" t="s">
        <v>1</v>
      </c>
      <c r="CE339" s="24" t="s">
        <v>1</v>
      </c>
      <c r="CF339" s="24" t="s">
        <v>1</v>
      </c>
      <c r="CG339" s="24" t="s">
        <v>1</v>
      </c>
      <c r="CH339" s="24" t="s">
        <v>1</v>
      </c>
      <c r="CI339" s="24" t="s">
        <v>1</v>
      </c>
      <c r="CJ339" s="24" t="s">
        <v>1</v>
      </c>
      <c r="CK339" s="24" t="s">
        <v>1</v>
      </c>
      <c r="CL339" s="24" t="s">
        <v>1</v>
      </c>
      <c r="CM339" s="24" t="s">
        <v>1</v>
      </c>
      <c r="CN339" s="24" t="s">
        <v>1</v>
      </c>
      <c r="CO339" s="24" t="s">
        <v>1</v>
      </c>
      <c r="CP339" s="24" t="s">
        <v>1</v>
      </c>
      <c r="CQ339" s="24" t="s">
        <v>1</v>
      </c>
      <c r="CR339" s="24" t="s">
        <v>1</v>
      </c>
      <c r="CS339" s="24" t="s">
        <v>1</v>
      </c>
      <c r="CT339" s="24" t="s">
        <v>1</v>
      </c>
      <c r="CU339" s="24" t="s">
        <v>1</v>
      </c>
      <c r="CV339" s="24" t="s">
        <v>1</v>
      </c>
      <c r="CW339" s="24" t="s">
        <v>1</v>
      </c>
      <c r="CX339" s="24" t="s">
        <v>1</v>
      </c>
      <c r="CY339" s="24" t="s">
        <v>1</v>
      </c>
      <c r="CZ339" s="24" t="s">
        <v>1</v>
      </c>
      <c r="DA339" s="24" t="s">
        <v>1</v>
      </c>
      <c r="DB339" s="24" t="s">
        <v>1</v>
      </c>
      <c r="DC339" s="24" t="s">
        <v>1</v>
      </c>
      <c r="DD339" s="24" t="s">
        <v>1</v>
      </c>
      <c r="DE339" s="24" t="s">
        <v>1</v>
      </c>
      <c r="DF339" s="24" t="s">
        <v>1</v>
      </c>
      <c r="DG339" s="24" t="s">
        <v>1</v>
      </c>
      <c r="DH339" s="24" t="s">
        <v>1</v>
      </c>
      <c r="DI339" s="24" t="s">
        <v>1</v>
      </c>
      <c r="DJ339" s="24" t="s">
        <v>1</v>
      </c>
      <c r="DK339" s="24" t="s">
        <v>1</v>
      </c>
      <c r="DL339" s="24" t="s">
        <v>1</v>
      </c>
      <c r="DM339" s="24" t="s">
        <v>1</v>
      </c>
      <c r="DN339" s="24" t="s">
        <v>1</v>
      </c>
      <c r="DO339" s="24" t="s">
        <v>1</v>
      </c>
      <c r="DP339" s="24" t="s">
        <v>1</v>
      </c>
      <c r="DQ339" s="24" t="s">
        <v>1</v>
      </c>
      <c r="DR339" s="24" t="s">
        <v>1</v>
      </c>
      <c r="DS339" s="24" t="s">
        <v>1</v>
      </c>
      <c r="DT339" s="24" t="s">
        <v>1</v>
      </c>
      <c r="DU339" s="24" t="s">
        <v>1</v>
      </c>
      <c r="DV339" s="24" t="s">
        <v>1</v>
      </c>
      <c r="DW339" s="24" t="s">
        <v>1</v>
      </c>
      <c r="DX339" s="24" t="s">
        <v>1</v>
      </c>
      <c r="DY339" s="24" t="s">
        <v>1</v>
      </c>
      <c r="DZ339" s="24" t="s">
        <v>1</v>
      </c>
      <c r="EA339" s="23" t="s">
        <v>1</v>
      </c>
      <c r="EB339" s="23" t="s">
        <v>1</v>
      </c>
      <c r="EC339" s="23" t="s">
        <v>1</v>
      </c>
    </row>
    <row r="340" spans="1:133" s="19" customFormat="1" ht="30" customHeight="1" x14ac:dyDescent="0.25">
      <c r="B340" s="23" t="s">
        <v>1</v>
      </c>
      <c r="C340" s="23" t="s">
        <v>1</v>
      </c>
      <c r="D340" s="23" t="s">
        <v>1</v>
      </c>
      <c r="E340" s="23" t="s">
        <v>1</v>
      </c>
      <c r="F340" s="23" t="s">
        <v>1</v>
      </c>
      <c r="G340" s="23" t="s">
        <v>1</v>
      </c>
      <c r="H340" s="23" t="s">
        <v>1</v>
      </c>
      <c r="I340" s="23" t="s">
        <v>1</v>
      </c>
      <c r="J340" s="23" t="s">
        <v>1</v>
      </c>
      <c r="K340" s="23" t="s">
        <v>1</v>
      </c>
      <c r="L340" s="23" t="s">
        <v>1</v>
      </c>
      <c r="M340" s="23" t="s">
        <v>1</v>
      </c>
      <c r="N340" s="23" t="s">
        <v>1</v>
      </c>
      <c r="O340" s="23" t="s">
        <v>1</v>
      </c>
      <c r="P340" s="23" t="s">
        <v>1</v>
      </c>
      <c r="Q340" s="23" t="s">
        <v>1</v>
      </c>
      <c r="R340" s="24" t="s">
        <v>1</v>
      </c>
      <c r="S340" s="24" t="s">
        <v>1</v>
      </c>
      <c r="T340" s="24" t="s">
        <v>1</v>
      </c>
      <c r="U340" s="24" t="s">
        <v>1</v>
      </c>
      <c r="V340" s="24" t="s">
        <v>1</v>
      </c>
      <c r="W340" s="24" t="s">
        <v>1</v>
      </c>
      <c r="X340" s="24" t="s">
        <v>1</v>
      </c>
      <c r="Y340" s="24" t="s">
        <v>1</v>
      </c>
      <c r="Z340" s="24" t="s">
        <v>1</v>
      </c>
      <c r="AA340" s="24" t="s">
        <v>1</v>
      </c>
      <c r="AB340" s="24" t="s">
        <v>1</v>
      </c>
      <c r="AC340" s="24" t="s">
        <v>1</v>
      </c>
      <c r="AD340" s="24" t="s">
        <v>1</v>
      </c>
      <c r="AE340" s="24" t="s">
        <v>1</v>
      </c>
      <c r="AF340" s="24" t="s">
        <v>1</v>
      </c>
      <c r="AG340" s="24" t="s">
        <v>1</v>
      </c>
      <c r="AH340" s="24" t="s">
        <v>1</v>
      </c>
      <c r="AI340" s="24" t="s">
        <v>1</v>
      </c>
      <c r="AJ340" s="24" t="s">
        <v>1</v>
      </c>
      <c r="AK340" s="24" t="s">
        <v>1</v>
      </c>
      <c r="AL340" s="24" t="s">
        <v>1</v>
      </c>
      <c r="AM340" s="24" t="s">
        <v>1</v>
      </c>
      <c r="AN340" s="24" t="s">
        <v>1</v>
      </c>
      <c r="AO340" s="24" t="s">
        <v>1</v>
      </c>
      <c r="AP340" s="24" t="s">
        <v>1</v>
      </c>
      <c r="AQ340" s="24" t="s">
        <v>1</v>
      </c>
      <c r="AR340" s="24" t="s">
        <v>1</v>
      </c>
      <c r="AS340" s="24" t="s">
        <v>1</v>
      </c>
      <c r="AT340" s="24" t="s">
        <v>1</v>
      </c>
      <c r="AU340" s="24" t="s">
        <v>1</v>
      </c>
      <c r="AV340" s="24" t="s">
        <v>1</v>
      </c>
      <c r="AW340" s="24" t="s">
        <v>1</v>
      </c>
      <c r="AX340" s="24" t="s">
        <v>1</v>
      </c>
      <c r="AY340" s="24" t="s">
        <v>1</v>
      </c>
      <c r="AZ340" s="24" t="s">
        <v>1</v>
      </c>
      <c r="BA340" s="24" t="s">
        <v>1</v>
      </c>
      <c r="BB340" s="24" t="s">
        <v>1</v>
      </c>
      <c r="BC340" s="24" t="s">
        <v>1</v>
      </c>
      <c r="BD340" s="24" t="s">
        <v>1</v>
      </c>
      <c r="BE340" s="24" t="s">
        <v>1</v>
      </c>
      <c r="BF340" s="24" t="s">
        <v>1</v>
      </c>
      <c r="BG340" s="24" t="s">
        <v>1</v>
      </c>
      <c r="BH340" s="24" t="s">
        <v>1</v>
      </c>
      <c r="BI340" s="24" t="s">
        <v>1</v>
      </c>
      <c r="BJ340" s="24" t="s">
        <v>1</v>
      </c>
      <c r="BK340" s="24" t="s">
        <v>1</v>
      </c>
      <c r="BL340" s="24" t="s">
        <v>1</v>
      </c>
      <c r="BM340" s="24" t="s">
        <v>1</v>
      </c>
      <c r="BN340" s="24" t="s">
        <v>1</v>
      </c>
      <c r="BO340" s="24" t="s">
        <v>1</v>
      </c>
      <c r="BP340" s="24" t="s">
        <v>1</v>
      </c>
      <c r="BQ340" s="24" t="s">
        <v>1</v>
      </c>
      <c r="BR340" s="24" t="s">
        <v>1</v>
      </c>
      <c r="BS340" s="24" t="s">
        <v>1</v>
      </c>
      <c r="BT340" s="24" t="s">
        <v>1</v>
      </c>
      <c r="BU340" s="24" t="s">
        <v>1</v>
      </c>
      <c r="BV340" s="24" t="s">
        <v>1</v>
      </c>
      <c r="BW340" s="24" t="s">
        <v>1</v>
      </c>
      <c r="BX340" s="24" t="s">
        <v>1</v>
      </c>
      <c r="BY340" s="24" t="s">
        <v>1</v>
      </c>
      <c r="BZ340" s="24" t="s">
        <v>1</v>
      </c>
      <c r="CA340" s="24" t="s">
        <v>1</v>
      </c>
      <c r="CB340" s="24" t="s">
        <v>1</v>
      </c>
      <c r="CC340" s="24" t="s">
        <v>1</v>
      </c>
      <c r="CD340" s="24" t="s">
        <v>1</v>
      </c>
      <c r="CE340" s="24" t="s">
        <v>1</v>
      </c>
      <c r="CF340" s="24" t="s">
        <v>1</v>
      </c>
      <c r="CG340" s="24" t="s">
        <v>1</v>
      </c>
      <c r="CH340" s="24" t="s">
        <v>1</v>
      </c>
      <c r="CI340" s="24" t="s">
        <v>1</v>
      </c>
      <c r="CJ340" s="24" t="s">
        <v>1</v>
      </c>
      <c r="CK340" s="24" t="s">
        <v>1</v>
      </c>
      <c r="CL340" s="24" t="s">
        <v>1</v>
      </c>
      <c r="CM340" s="24" t="s">
        <v>1</v>
      </c>
      <c r="CN340" s="24" t="s">
        <v>1</v>
      </c>
      <c r="CO340" s="24" t="s">
        <v>1</v>
      </c>
      <c r="CP340" s="24" t="s">
        <v>1</v>
      </c>
      <c r="CQ340" s="24" t="s">
        <v>1</v>
      </c>
      <c r="CR340" s="24" t="s">
        <v>1</v>
      </c>
      <c r="CS340" s="24" t="s">
        <v>1</v>
      </c>
      <c r="CT340" s="24" t="s">
        <v>1</v>
      </c>
      <c r="CU340" s="24" t="s">
        <v>1</v>
      </c>
      <c r="CV340" s="24" t="s">
        <v>1</v>
      </c>
      <c r="CW340" s="24" t="s">
        <v>1</v>
      </c>
      <c r="CX340" s="24" t="s">
        <v>1</v>
      </c>
      <c r="CY340" s="24" t="s">
        <v>1</v>
      </c>
      <c r="CZ340" s="24" t="s">
        <v>1</v>
      </c>
      <c r="DA340" s="24" t="s">
        <v>1</v>
      </c>
      <c r="DB340" s="24" t="s">
        <v>1</v>
      </c>
      <c r="DC340" s="24" t="s">
        <v>1</v>
      </c>
      <c r="DD340" s="24" t="s">
        <v>1</v>
      </c>
      <c r="DE340" s="24" t="s">
        <v>1</v>
      </c>
      <c r="DF340" s="24" t="s">
        <v>1</v>
      </c>
      <c r="DG340" s="24" t="s">
        <v>1</v>
      </c>
      <c r="DH340" s="24" t="s">
        <v>1</v>
      </c>
      <c r="DI340" s="24" t="s">
        <v>1</v>
      </c>
      <c r="DJ340" s="24" t="s">
        <v>1</v>
      </c>
      <c r="DK340" s="24" t="s">
        <v>1</v>
      </c>
      <c r="DL340" s="24" t="s">
        <v>1</v>
      </c>
      <c r="DM340" s="24" t="s">
        <v>1</v>
      </c>
      <c r="DN340" s="24" t="s">
        <v>1</v>
      </c>
      <c r="DO340" s="24" t="s">
        <v>1</v>
      </c>
      <c r="DP340" s="24" t="s">
        <v>1</v>
      </c>
      <c r="DQ340" s="24" t="s">
        <v>1</v>
      </c>
      <c r="DR340" s="24" t="s">
        <v>1</v>
      </c>
      <c r="DS340" s="24" t="s">
        <v>1</v>
      </c>
      <c r="DT340" s="24" t="s">
        <v>1</v>
      </c>
      <c r="DU340" s="24" t="s">
        <v>1</v>
      </c>
      <c r="DV340" s="24" t="s">
        <v>1</v>
      </c>
      <c r="DW340" s="24" t="s">
        <v>1</v>
      </c>
      <c r="DX340" s="24" t="s">
        <v>1</v>
      </c>
      <c r="DY340" s="24" t="s">
        <v>1</v>
      </c>
      <c r="DZ340" s="24" t="s">
        <v>1</v>
      </c>
      <c r="EA340" s="23" t="s">
        <v>1</v>
      </c>
      <c r="EB340" s="23" t="s">
        <v>1</v>
      </c>
      <c r="EC340" s="23" t="s">
        <v>1</v>
      </c>
    </row>
    <row r="341" spans="1:133" s="19" customFormat="1" ht="30" customHeight="1" x14ac:dyDescent="0.25">
      <c r="B341" s="23" t="s">
        <v>1</v>
      </c>
      <c r="C341" s="23" t="s">
        <v>1</v>
      </c>
      <c r="D341" s="23" t="s">
        <v>1</v>
      </c>
      <c r="E341" s="23" t="s">
        <v>1</v>
      </c>
      <c r="F341" s="23" t="s">
        <v>1</v>
      </c>
      <c r="G341" s="23" t="s">
        <v>1</v>
      </c>
      <c r="H341" s="23" t="s">
        <v>1</v>
      </c>
      <c r="I341" s="23" t="s">
        <v>1</v>
      </c>
      <c r="J341" s="23" t="s">
        <v>1</v>
      </c>
      <c r="K341" s="23" t="s">
        <v>1</v>
      </c>
      <c r="L341" s="23" t="s">
        <v>1</v>
      </c>
      <c r="M341" s="23" t="s">
        <v>1</v>
      </c>
      <c r="N341" s="23" t="s">
        <v>1</v>
      </c>
      <c r="O341" s="23" t="s">
        <v>1</v>
      </c>
      <c r="P341" s="23" t="s">
        <v>1</v>
      </c>
      <c r="Q341" s="23" t="s">
        <v>1</v>
      </c>
      <c r="R341" s="24" t="s">
        <v>1</v>
      </c>
      <c r="S341" s="24" t="s">
        <v>1</v>
      </c>
      <c r="T341" s="24" t="s">
        <v>1</v>
      </c>
      <c r="U341" s="24" t="s">
        <v>1</v>
      </c>
      <c r="V341" s="24" t="s">
        <v>1</v>
      </c>
      <c r="W341" s="24" t="s">
        <v>1</v>
      </c>
      <c r="X341" s="24" t="s">
        <v>1</v>
      </c>
      <c r="Y341" s="24" t="s">
        <v>1</v>
      </c>
      <c r="Z341" s="24" t="s">
        <v>1</v>
      </c>
      <c r="AA341" s="24" t="s">
        <v>1</v>
      </c>
      <c r="AB341" s="24" t="s">
        <v>1</v>
      </c>
      <c r="AC341" s="24" t="s">
        <v>1</v>
      </c>
      <c r="AD341" s="24" t="s">
        <v>1</v>
      </c>
      <c r="AE341" s="24" t="s">
        <v>1</v>
      </c>
      <c r="AF341" s="24" t="s">
        <v>1</v>
      </c>
      <c r="AG341" s="24" t="s">
        <v>1</v>
      </c>
      <c r="AH341" s="24" t="s">
        <v>1</v>
      </c>
      <c r="AI341" s="24" t="s">
        <v>1</v>
      </c>
      <c r="AJ341" s="24" t="s">
        <v>1</v>
      </c>
      <c r="AK341" s="24" t="s">
        <v>1</v>
      </c>
      <c r="AL341" s="24" t="s">
        <v>1</v>
      </c>
      <c r="AM341" s="24" t="s">
        <v>1</v>
      </c>
      <c r="AN341" s="24" t="s">
        <v>1</v>
      </c>
      <c r="AO341" s="24" t="s">
        <v>1</v>
      </c>
      <c r="AP341" s="24" t="s">
        <v>1</v>
      </c>
      <c r="AQ341" s="24" t="s">
        <v>1</v>
      </c>
      <c r="AR341" s="24" t="s">
        <v>1</v>
      </c>
      <c r="AS341" s="24" t="s">
        <v>1</v>
      </c>
      <c r="AT341" s="24" t="s">
        <v>1</v>
      </c>
      <c r="AU341" s="24" t="s">
        <v>1</v>
      </c>
      <c r="AV341" s="24" t="s">
        <v>1</v>
      </c>
      <c r="AW341" s="24" t="s">
        <v>1</v>
      </c>
      <c r="AX341" s="24" t="s">
        <v>1</v>
      </c>
      <c r="AY341" s="24" t="s">
        <v>1</v>
      </c>
      <c r="AZ341" s="24" t="s">
        <v>1</v>
      </c>
      <c r="BA341" s="24" t="s">
        <v>1</v>
      </c>
      <c r="BB341" s="24" t="s">
        <v>1</v>
      </c>
      <c r="BC341" s="24" t="s">
        <v>1</v>
      </c>
      <c r="BD341" s="24" t="s">
        <v>1</v>
      </c>
      <c r="BE341" s="24" t="s">
        <v>1</v>
      </c>
      <c r="BF341" s="24" t="s">
        <v>1</v>
      </c>
      <c r="BG341" s="24" t="s">
        <v>1</v>
      </c>
      <c r="BH341" s="24" t="s">
        <v>1</v>
      </c>
      <c r="BI341" s="24" t="s">
        <v>1</v>
      </c>
      <c r="BJ341" s="24" t="s">
        <v>1</v>
      </c>
      <c r="BK341" s="24" t="s">
        <v>1</v>
      </c>
      <c r="BL341" s="24" t="s">
        <v>1</v>
      </c>
      <c r="BM341" s="24" t="s">
        <v>1</v>
      </c>
      <c r="BN341" s="24" t="s">
        <v>1</v>
      </c>
      <c r="BO341" s="24" t="s">
        <v>1</v>
      </c>
      <c r="BP341" s="24" t="s">
        <v>1</v>
      </c>
      <c r="BQ341" s="24" t="s">
        <v>1</v>
      </c>
      <c r="BR341" s="24" t="s">
        <v>1</v>
      </c>
      <c r="BS341" s="24" t="s">
        <v>1</v>
      </c>
      <c r="BT341" s="24" t="s">
        <v>1</v>
      </c>
      <c r="BU341" s="24" t="s">
        <v>1</v>
      </c>
      <c r="BV341" s="24" t="s">
        <v>1</v>
      </c>
      <c r="BW341" s="24" t="s">
        <v>1</v>
      </c>
      <c r="BX341" s="24" t="s">
        <v>1</v>
      </c>
      <c r="BY341" s="24" t="s">
        <v>1</v>
      </c>
      <c r="BZ341" s="24" t="s">
        <v>1</v>
      </c>
      <c r="CA341" s="24" t="s">
        <v>1</v>
      </c>
      <c r="CB341" s="24" t="s">
        <v>1</v>
      </c>
      <c r="CC341" s="24" t="s">
        <v>1</v>
      </c>
      <c r="CD341" s="24" t="s">
        <v>1</v>
      </c>
      <c r="CE341" s="24" t="s">
        <v>1</v>
      </c>
      <c r="CF341" s="24" t="s">
        <v>1</v>
      </c>
      <c r="CG341" s="24" t="s">
        <v>1</v>
      </c>
      <c r="CH341" s="24" t="s">
        <v>1</v>
      </c>
      <c r="CI341" s="24" t="s">
        <v>1</v>
      </c>
      <c r="CJ341" s="24" t="s">
        <v>1</v>
      </c>
      <c r="CK341" s="24" t="s">
        <v>1</v>
      </c>
      <c r="CL341" s="24" t="s">
        <v>1</v>
      </c>
      <c r="CM341" s="24" t="s">
        <v>1</v>
      </c>
      <c r="CN341" s="24" t="s">
        <v>1</v>
      </c>
      <c r="CO341" s="24" t="s">
        <v>1</v>
      </c>
      <c r="CP341" s="24" t="s">
        <v>1</v>
      </c>
      <c r="CQ341" s="24" t="s">
        <v>1</v>
      </c>
      <c r="CR341" s="24" t="s">
        <v>1</v>
      </c>
      <c r="CS341" s="24" t="s">
        <v>1</v>
      </c>
      <c r="CT341" s="24" t="s">
        <v>1</v>
      </c>
      <c r="CU341" s="24" t="s">
        <v>1</v>
      </c>
      <c r="CV341" s="24" t="s">
        <v>1</v>
      </c>
      <c r="CW341" s="24" t="s">
        <v>1</v>
      </c>
      <c r="CX341" s="24" t="s">
        <v>1</v>
      </c>
      <c r="CY341" s="24" t="s">
        <v>1</v>
      </c>
      <c r="CZ341" s="24" t="s">
        <v>1</v>
      </c>
      <c r="DA341" s="24" t="s">
        <v>1</v>
      </c>
      <c r="DB341" s="24" t="s">
        <v>1</v>
      </c>
      <c r="DC341" s="24" t="s">
        <v>1</v>
      </c>
      <c r="DD341" s="24" t="s">
        <v>1</v>
      </c>
      <c r="DE341" s="24" t="s">
        <v>1</v>
      </c>
      <c r="DF341" s="24" t="s">
        <v>1</v>
      </c>
      <c r="DG341" s="24" t="s">
        <v>1</v>
      </c>
      <c r="DH341" s="24" t="s">
        <v>1</v>
      </c>
      <c r="DI341" s="24" t="s">
        <v>1</v>
      </c>
      <c r="DJ341" s="24" t="s">
        <v>1</v>
      </c>
      <c r="DK341" s="24" t="s">
        <v>1</v>
      </c>
      <c r="DL341" s="24" t="s">
        <v>1</v>
      </c>
      <c r="DM341" s="24" t="s">
        <v>1</v>
      </c>
      <c r="DN341" s="24" t="s">
        <v>1</v>
      </c>
      <c r="DO341" s="24" t="s">
        <v>1</v>
      </c>
      <c r="DP341" s="24" t="s">
        <v>1</v>
      </c>
      <c r="DQ341" s="24" t="s">
        <v>1</v>
      </c>
      <c r="DR341" s="24" t="s">
        <v>1</v>
      </c>
      <c r="DS341" s="24" t="s">
        <v>1</v>
      </c>
      <c r="DT341" s="24" t="s">
        <v>1</v>
      </c>
      <c r="DU341" s="24" t="s">
        <v>1</v>
      </c>
      <c r="DV341" s="24" t="s">
        <v>1</v>
      </c>
      <c r="DW341" s="24" t="s">
        <v>1</v>
      </c>
      <c r="DX341" s="24" t="s">
        <v>1</v>
      </c>
      <c r="DY341" s="24" t="s">
        <v>1</v>
      </c>
      <c r="DZ341" s="24" t="s">
        <v>1</v>
      </c>
      <c r="EA341" s="23" t="s">
        <v>1</v>
      </c>
      <c r="EB341" s="23" t="s">
        <v>1</v>
      </c>
      <c r="EC341" s="23" t="s">
        <v>1</v>
      </c>
    </row>
    <row r="342" spans="1:133" s="19" customFormat="1" ht="30" customHeight="1" x14ac:dyDescent="0.25">
      <c r="B342" s="23" t="s">
        <v>1</v>
      </c>
      <c r="C342" s="23" t="s">
        <v>1</v>
      </c>
      <c r="D342" s="23" t="s">
        <v>1</v>
      </c>
      <c r="E342" s="23" t="s">
        <v>1</v>
      </c>
      <c r="F342" s="23" t="s">
        <v>1</v>
      </c>
      <c r="G342" s="23" t="s">
        <v>1</v>
      </c>
      <c r="H342" s="23" t="s">
        <v>1</v>
      </c>
      <c r="I342" s="23" t="s">
        <v>1</v>
      </c>
      <c r="J342" s="23" t="s">
        <v>1</v>
      </c>
      <c r="K342" s="23" t="s">
        <v>1</v>
      </c>
      <c r="L342" s="23" t="s">
        <v>1</v>
      </c>
      <c r="M342" s="23" t="s">
        <v>1</v>
      </c>
      <c r="N342" s="23" t="s">
        <v>1</v>
      </c>
      <c r="O342" s="23" t="s">
        <v>1</v>
      </c>
      <c r="P342" s="23" t="s">
        <v>1</v>
      </c>
      <c r="Q342" s="23" t="s">
        <v>1</v>
      </c>
      <c r="R342" s="24" t="s">
        <v>1</v>
      </c>
      <c r="S342" s="24" t="s">
        <v>1</v>
      </c>
      <c r="T342" s="24" t="s">
        <v>1</v>
      </c>
      <c r="U342" s="24" t="s">
        <v>1</v>
      </c>
      <c r="V342" s="24" t="s">
        <v>1</v>
      </c>
      <c r="W342" s="24" t="s">
        <v>1</v>
      </c>
      <c r="X342" s="24" t="s">
        <v>1</v>
      </c>
      <c r="Y342" s="24" t="s">
        <v>1</v>
      </c>
      <c r="Z342" s="24" t="s">
        <v>1</v>
      </c>
      <c r="AA342" s="24" t="s">
        <v>1</v>
      </c>
      <c r="AB342" s="24" t="s">
        <v>1</v>
      </c>
      <c r="AC342" s="24" t="s">
        <v>1</v>
      </c>
      <c r="AD342" s="24" t="s">
        <v>1</v>
      </c>
      <c r="AE342" s="24" t="s">
        <v>1</v>
      </c>
      <c r="AF342" s="24" t="s">
        <v>1</v>
      </c>
      <c r="AG342" s="24" t="s">
        <v>1</v>
      </c>
      <c r="AH342" s="24" t="s">
        <v>1</v>
      </c>
      <c r="AI342" s="24" t="s">
        <v>1</v>
      </c>
      <c r="AJ342" s="24" t="s">
        <v>1</v>
      </c>
      <c r="AK342" s="24" t="s">
        <v>1</v>
      </c>
      <c r="AL342" s="24" t="s">
        <v>1</v>
      </c>
      <c r="AM342" s="24" t="s">
        <v>1</v>
      </c>
      <c r="AN342" s="24" t="s">
        <v>1</v>
      </c>
      <c r="AO342" s="24" t="s">
        <v>1</v>
      </c>
      <c r="AP342" s="24" t="s">
        <v>1</v>
      </c>
      <c r="AQ342" s="24" t="s">
        <v>1</v>
      </c>
      <c r="AR342" s="24" t="s">
        <v>1</v>
      </c>
      <c r="AS342" s="24" t="s">
        <v>1</v>
      </c>
      <c r="AT342" s="24" t="s">
        <v>1</v>
      </c>
      <c r="AU342" s="24" t="s">
        <v>1</v>
      </c>
      <c r="AV342" s="24" t="s">
        <v>1</v>
      </c>
      <c r="AW342" s="24" t="s">
        <v>1</v>
      </c>
      <c r="AX342" s="24" t="s">
        <v>1</v>
      </c>
      <c r="AY342" s="24" t="s">
        <v>1</v>
      </c>
      <c r="AZ342" s="24" t="s">
        <v>1</v>
      </c>
      <c r="BA342" s="24" t="s">
        <v>1</v>
      </c>
      <c r="BB342" s="24" t="s">
        <v>1</v>
      </c>
      <c r="BC342" s="24" t="s">
        <v>1</v>
      </c>
      <c r="BD342" s="24" t="s">
        <v>1</v>
      </c>
      <c r="BE342" s="24" t="s">
        <v>1</v>
      </c>
      <c r="BF342" s="24" t="s">
        <v>1</v>
      </c>
      <c r="BG342" s="24" t="s">
        <v>1</v>
      </c>
      <c r="BH342" s="24" t="s">
        <v>1</v>
      </c>
      <c r="BI342" s="24" t="s">
        <v>1</v>
      </c>
      <c r="BJ342" s="24" t="s">
        <v>1</v>
      </c>
      <c r="BK342" s="24" t="s">
        <v>1</v>
      </c>
      <c r="BL342" s="24" t="s">
        <v>1</v>
      </c>
      <c r="BM342" s="24" t="s">
        <v>1</v>
      </c>
      <c r="BN342" s="24" t="s">
        <v>1</v>
      </c>
      <c r="BO342" s="24" t="s">
        <v>1</v>
      </c>
      <c r="BP342" s="24" t="s">
        <v>1</v>
      </c>
      <c r="BQ342" s="24" t="s">
        <v>1</v>
      </c>
      <c r="BR342" s="24" t="s">
        <v>1</v>
      </c>
      <c r="BS342" s="24" t="s">
        <v>1</v>
      </c>
      <c r="BT342" s="24" t="s">
        <v>1</v>
      </c>
      <c r="BU342" s="24" t="s">
        <v>1</v>
      </c>
      <c r="BV342" s="24" t="s">
        <v>1</v>
      </c>
      <c r="BW342" s="24" t="s">
        <v>1</v>
      </c>
      <c r="BX342" s="24" t="s">
        <v>1</v>
      </c>
      <c r="BY342" s="24" t="s">
        <v>1</v>
      </c>
      <c r="BZ342" s="24" t="s">
        <v>1</v>
      </c>
      <c r="CA342" s="24" t="s">
        <v>1</v>
      </c>
      <c r="CB342" s="24" t="s">
        <v>1</v>
      </c>
      <c r="CC342" s="24" t="s">
        <v>1</v>
      </c>
      <c r="CD342" s="24" t="s">
        <v>1</v>
      </c>
      <c r="CE342" s="24" t="s">
        <v>1</v>
      </c>
      <c r="CF342" s="24" t="s">
        <v>1</v>
      </c>
      <c r="CG342" s="24" t="s">
        <v>1</v>
      </c>
      <c r="CH342" s="24" t="s">
        <v>1</v>
      </c>
      <c r="CI342" s="24" t="s">
        <v>1</v>
      </c>
      <c r="CJ342" s="24" t="s">
        <v>1</v>
      </c>
      <c r="CK342" s="24" t="s">
        <v>1</v>
      </c>
      <c r="CL342" s="24" t="s">
        <v>1</v>
      </c>
      <c r="CM342" s="24" t="s">
        <v>1</v>
      </c>
      <c r="CN342" s="24" t="s">
        <v>1</v>
      </c>
      <c r="CO342" s="24" t="s">
        <v>1</v>
      </c>
      <c r="CP342" s="24" t="s">
        <v>1</v>
      </c>
      <c r="CQ342" s="24" t="s">
        <v>1</v>
      </c>
      <c r="CR342" s="24" t="s">
        <v>1</v>
      </c>
      <c r="CS342" s="24" t="s">
        <v>1</v>
      </c>
      <c r="CT342" s="24" t="s">
        <v>1</v>
      </c>
      <c r="CU342" s="24" t="s">
        <v>1</v>
      </c>
      <c r="CV342" s="24" t="s">
        <v>1</v>
      </c>
      <c r="CW342" s="24" t="s">
        <v>1</v>
      </c>
      <c r="CX342" s="24" t="s">
        <v>1</v>
      </c>
      <c r="CY342" s="24" t="s">
        <v>1</v>
      </c>
      <c r="CZ342" s="24" t="s">
        <v>1</v>
      </c>
      <c r="DA342" s="24" t="s">
        <v>1</v>
      </c>
      <c r="DB342" s="24" t="s">
        <v>1</v>
      </c>
      <c r="DC342" s="24" t="s">
        <v>1</v>
      </c>
      <c r="DD342" s="24" t="s">
        <v>1</v>
      </c>
      <c r="DE342" s="24" t="s">
        <v>1</v>
      </c>
      <c r="DF342" s="24" t="s">
        <v>1</v>
      </c>
      <c r="DG342" s="24" t="s">
        <v>1</v>
      </c>
      <c r="DH342" s="24" t="s">
        <v>1</v>
      </c>
      <c r="DI342" s="24" t="s">
        <v>1</v>
      </c>
      <c r="DJ342" s="24" t="s">
        <v>1</v>
      </c>
      <c r="DK342" s="24" t="s">
        <v>1</v>
      </c>
      <c r="DL342" s="24" t="s">
        <v>1</v>
      </c>
      <c r="DM342" s="24" t="s">
        <v>1</v>
      </c>
      <c r="DN342" s="24" t="s">
        <v>1</v>
      </c>
      <c r="DO342" s="24" t="s">
        <v>1</v>
      </c>
      <c r="DP342" s="24" t="s">
        <v>1</v>
      </c>
      <c r="DQ342" s="24" t="s">
        <v>1</v>
      </c>
      <c r="DR342" s="24" t="s">
        <v>1</v>
      </c>
      <c r="DS342" s="24" t="s">
        <v>1</v>
      </c>
      <c r="DT342" s="24" t="s">
        <v>1</v>
      </c>
      <c r="DU342" s="24" t="s">
        <v>1</v>
      </c>
      <c r="DV342" s="24" t="s">
        <v>1</v>
      </c>
      <c r="DW342" s="24" t="s">
        <v>1</v>
      </c>
      <c r="DX342" s="24" t="s">
        <v>1</v>
      </c>
      <c r="DY342" s="24" t="s">
        <v>1</v>
      </c>
      <c r="DZ342" s="24" t="s">
        <v>1</v>
      </c>
      <c r="EA342" s="23" t="s">
        <v>1</v>
      </c>
      <c r="EB342" s="23" t="s">
        <v>1</v>
      </c>
      <c r="EC342" s="23" t="s">
        <v>1</v>
      </c>
    </row>
    <row r="343" spans="1:133" s="19" customFormat="1" ht="30" customHeight="1" x14ac:dyDescent="0.25">
      <c r="B343" s="23" t="s">
        <v>1</v>
      </c>
      <c r="C343" s="23" t="s">
        <v>1</v>
      </c>
      <c r="D343" s="23" t="s">
        <v>1</v>
      </c>
      <c r="E343" s="23" t="s">
        <v>1</v>
      </c>
      <c r="F343" s="23" t="s">
        <v>1</v>
      </c>
      <c r="G343" s="23" t="s">
        <v>1</v>
      </c>
      <c r="H343" s="23" t="s">
        <v>1</v>
      </c>
      <c r="I343" s="23" t="s">
        <v>1</v>
      </c>
      <c r="J343" s="23" t="s">
        <v>1</v>
      </c>
      <c r="K343" s="23" t="s">
        <v>1</v>
      </c>
      <c r="L343" s="23" t="s">
        <v>1</v>
      </c>
      <c r="M343" s="23" t="s">
        <v>1</v>
      </c>
      <c r="N343" s="23" t="s">
        <v>1</v>
      </c>
      <c r="O343" s="23" t="s">
        <v>1</v>
      </c>
      <c r="P343" s="23" t="s">
        <v>1</v>
      </c>
      <c r="Q343" s="23" t="s">
        <v>1</v>
      </c>
      <c r="R343" s="24" t="s">
        <v>1</v>
      </c>
      <c r="S343" s="24" t="s">
        <v>1</v>
      </c>
      <c r="T343" s="24" t="s">
        <v>1</v>
      </c>
      <c r="U343" s="24" t="s">
        <v>1</v>
      </c>
      <c r="V343" s="24" t="s">
        <v>1</v>
      </c>
      <c r="W343" s="24" t="s">
        <v>1</v>
      </c>
      <c r="X343" s="24" t="s">
        <v>1</v>
      </c>
      <c r="Y343" s="24" t="s">
        <v>1</v>
      </c>
      <c r="Z343" s="24" t="s">
        <v>1</v>
      </c>
      <c r="AA343" s="24" t="s">
        <v>1</v>
      </c>
      <c r="AB343" s="24" t="s">
        <v>1</v>
      </c>
      <c r="AC343" s="24" t="s">
        <v>1</v>
      </c>
      <c r="AD343" s="24" t="s">
        <v>1</v>
      </c>
      <c r="AE343" s="24" t="s">
        <v>1</v>
      </c>
      <c r="AF343" s="24" t="s">
        <v>1</v>
      </c>
      <c r="AG343" s="24" t="s">
        <v>1</v>
      </c>
      <c r="AH343" s="24" t="s">
        <v>1</v>
      </c>
      <c r="AI343" s="24" t="s">
        <v>1</v>
      </c>
      <c r="AJ343" s="24" t="s">
        <v>1</v>
      </c>
      <c r="AK343" s="24" t="s">
        <v>1</v>
      </c>
      <c r="AL343" s="24" t="s">
        <v>1</v>
      </c>
      <c r="AM343" s="24" t="s">
        <v>1</v>
      </c>
      <c r="AN343" s="24" t="s">
        <v>1</v>
      </c>
      <c r="AO343" s="24" t="s">
        <v>1</v>
      </c>
      <c r="AP343" s="24" t="s">
        <v>1</v>
      </c>
      <c r="AQ343" s="24" t="s">
        <v>1</v>
      </c>
      <c r="AR343" s="24" t="s">
        <v>1</v>
      </c>
      <c r="AS343" s="24" t="s">
        <v>1</v>
      </c>
      <c r="AT343" s="24" t="s">
        <v>1</v>
      </c>
      <c r="AU343" s="24" t="s">
        <v>1</v>
      </c>
      <c r="AV343" s="24" t="s">
        <v>1</v>
      </c>
      <c r="AW343" s="24" t="s">
        <v>1</v>
      </c>
      <c r="AX343" s="24" t="s">
        <v>1</v>
      </c>
      <c r="AY343" s="24" t="s">
        <v>1</v>
      </c>
      <c r="AZ343" s="24" t="s">
        <v>1</v>
      </c>
      <c r="BA343" s="24" t="s">
        <v>1</v>
      </c>
      <c r="BB343" s="24" t="s">
        <v>1</v>
      </c>
      <c r="BC343" s="24" t="s">
        <v>1</v>
      </c>
      <c r="BD343" s="24" t="s">
        <v>1</v>
      </c>
      <c r="BE343" s="24" t="s">
        <v>1</v>
      </c>
      <c r="BF343" s="24" t="s">
        <v>1</v>
      </c>
      <c r="BG343" s="24" t="s">
        <v>1</v>
      </c>
      <c r="BH343" s="24" t="s">
        <v>1</v>
      </c>
      <c r="BI343" s="24" t="s">
        <v>1</v>
      </c>
      <c r="BJ343" s="24" t="s">
        <v>1</v>
      </c>
      <c r="BK343" s="24" t="s">
        <v>1</v>
      </c>
      <c r="BL343" s="24" t="s">
        <v>1</v>
      </c>
      <c r="BM343" s="24" t="s">
        <v>1</v>
      </c>
      <c r="BN343" s="24" t="s">
        <v>1</v>
      </c>
      <c r="BO343" s="24" t="s">
        <v>1</v>
      </c>
      <c r="BP343" s="24" t="s">
        <v>1</v>
      </c>
      <c r="BQ343" s="24" t="s">
        <v>1</v>
      </c>
      <c r="BR343" s="24" t="s">
        <v>1</v>
      </c>
      <c r="BS343" s="24" t="s">
        <v>1</v>
      </c>
      <c r="BT343" s="24" t="s">
        <v>1</v>
      </c>
      <c r="BU343" s="24" t="s">
        <v>1</v>
      </c>
      <c r="BV343" s="24" t="s">
        <v>1</v>
      </c>
      <c r="BW343" s="24" t="s">
        <v>1</v>
      </c>
      <c r="BX343" s="24" t="s">
        <v>1</v>
      </c>
      <c r="BY343" s="24" t="s">
        <v>1</v>
      </c>
      <c r="BZ343" s="24" t="s">
        <v>1</v>
      </c>
      <c r="CA343" s="24" t="s">
        <v>1</v>
      </c>
      <c r="CB343" s="24" t="s">
        <v>1</v>
      </c>
      <c r="CC343" s="24" t="s">
        <v>1</v>
      </c>
      <c r="CD343" s="24" t="s">
        <v>1</v>
      </c>
      <c r="CE343" s="24" t="s">
        <v>1</v>
      </c>
      <c r="CF343" s="24" t="s">
        <v>1</v>
      </c>
      <c r="CG343" s="24" t="s">
        <v>1</v>
      </c>
      <c r="CH343" s="24" t="s">
        <v>1</v>
      </c>
      <c r="CI343" s="24" t="s">
        <v>1</v>
      </c>
      <c r="CJ343" s="24" t="s">
        <v>1</v>
      </c>
      <c r="CK343" s="24" t="s">
        <v>1</v>
      </c>
      <c r="CL343" s="24" t="s">
        <v>1</v>
      </c>
      <c r="CM343" s="24" t="s">
        <v>1</v>
      </c>
      <c r="CN343" s="24" t="s">
        <v>1</v>
      </c>
      <c r="CO343" s="24" t="s">
        <v>1</v>
      </c>
      <c r="CP343" s="24" t="s">
        <v>1</v>
      </c>
      <c r="CQ343" s="24" t="s">
        <v>1</v>
      </c>
      <c r="CR343" s="24" t="s">
        <v>1</v>
      </c>
      <c r="CS343" s="24" t="s">
        <v>1</v>
      </c>
      <c r="CT343" s="24" t="s">
        <v>1</v>
      </c>
      <c r="CU343" s="24" t="s">
        <v>1</v>
      </c>
      <c r="CV343" s="24" t="s">
        <v>1</v>
      </c>
      <c r="CW343" s="24" t="s">
        <v>1</v>
      </c>
      <c r="CX343" s="24" t="s">
        <v>1</v>
      </c>
      <c r="CY343" s="24" t="s">
        <v>1</v>
      </c>
      <c r="CZ343" s="24" t="s">
        <v>1</v>
      </c>
      <c r="DA343" s="24" t="s">
        <v>1</v>
      </c>
      <c r="DB343" s="24" t="s">
        <v>1</v>
      </c>
      <c r="DC343" s="24" t="s">
        <v>1</v>
      </c>
      <c r="DD343" s="24" t="s">
        <v>1</v>
      </c>
      <c r="DE343" s="24" t="s">
        <v>1</v>
      </c>
      <c r="DF343" s="24" t="s">
        <v>1</v>
      </c>
      <c r="DG343" s="24" t="s">
        <v>1</v>
      </c>
      <c r="DH343" s="24" t="s">
        <v>1</v>
      </c>
      <c r="DI343" s="24" t="s">
        <v>1</v>
      </c>
      <c r="DJ343" s="24" t="s">
        <v>1</v>
      </c>
      <c r="DK343" s="24" t="s">
        <v>1</v>
      </c>
      <c r="DL343" s="24" t="s">
        <v>1</v>
      </c>
      <c r="DM343" s="24" t="s">
        <v>1</v>
      </c>
      <c r="DN343" s="24" t="s">
        <v>1</v>
      </c>
      <c r="DO343" s="24" t="s">
        <v>1</v>
      </c>
      <c r="DP343" s="24" t="s">
        <v>1</v>
      </c>
      <c r="DQ343" s="24" t="s">
        <v>1</v>
      </c>
      <c r="DR343" s="24" t="s">
        <v>1</v>
      </c>
      <c r="DS343" s="24" t="s">
        <v>1</v>
      </c>
      <c r="DT343" s="24" t="s">
        <v>1</v>
      </c>
      <c r="DU343" s="24" t="s">
        <v>1</v>
      </c>
      <c r="DV343" s="24" t="s">
        <v>1</v>
      </c>
      <c r="DW343" s="24" t="s">
        <v>1</v>
      </c>
      <c r="DX343" s="24" t="s">
        <v>1</v>
      </c>
      <c r="DY343" s="24" t="s">
        <v>1</v>
      </c>
      <c r="DZ343" s="24" t="s">
        <v>1</v>
      </c>
      <c r="EA343" s="23" t="s">
        <v>1</v>
      </c>
      <c r="EB343" s="23" t="s">
        <v>1</v>
      </c>
      <c r="EC343" s="23" t="s">
        <v>1</v>
      </c>
    </row>
    <row r="344" spans="1:133" s="19" customFormat="1" ht="30" customHeight="1" x14ac:dyDescent="0.25">
      <c r="B344" s="23" t="s">
        <v>1</v>
      </c>
      <c r="C344" s="23" t="s">
        <v>1</v>
      </c>
      <c r="D344" s="23" t="s">
        <v>1</v>
      </c>
      <c r="E344" s="23" t="s">
        <v>1</v>
      </c>
      <c r="F344" s="23" t="s">
        <v>1</v>
      </c>
      <c r="G344" s="23" t="s">
        <v>1</v>
      </c>
      <c r="H344" s="23" t="s">
        <v>1</v>
      </c>
      <c r="I344" s="23" t="s">
        <v>1</v>
      </c>
      <c r="J344" s="23" t="s">
        <v>1</v>
      </c>
      <c r="K344" s="23" t="s">
        <v>1</v>
      </c>
      <c r="L344" s="23" t="s">
        <v>1</v>
      </c>
      <c r="M344" s="23" t="s">
        <v>1</v>
      </c>
      <c r="N344" s="23" t="s">
        <v>1</v>
      </c>
      <c r="O344" s="23" t="s">
        <v>1</v>
      </c>
      <c r="P344" s="23" t="s">
        <v>1</v>
      </c>
      <c r="Q344" s="23" t="s">
        <v>1</v>
      </c>
      <c r="R344" s="24" t="s">
        <v>1</v>
      </c>
      <c r="S344" s="24" t="s">
        <v>1</v>
      </c>
      <c r="T344" s="24" t="s">
        <v>1</v>
      </c>
      <c r="U344" s="24" t="s">
        <v>1</v>
      </c>
      <c r="V344" s="24" t="s">
        <v>1</v>
      </c>
      <c r="W344" s="24" t="s">
        <v>1</v>
      </c>
      <c r="X344" s="24" t="s">
        <v>1</v>
      </c>
      <c r="Y344" s="24" t="s">
        <v>1</v>
      </c>
      <c r="Z344" s="24" t="s">
        <v>1</v>
      </c>
      <c r="AA344" s="24" t="s">
        <v>1</v>
      </c>
      <c r="AB344" s="24" t="s">
        <v>1</v>
      </c>
      <c r="AC344" s="24" t="s">
        <v>1</v>
      </c>
      <c r="AD344" s="24" t="s">
        <v>1</v>
      </c>
      <c r="AE344" s="24" t="s">
        <v>1</v>
      </c>
      <c r="AF344" s="24" t="s">
        <v>1</v>
      </c>
      <c r="AG344" s="24" t="s">
        <v>1</v>
      </c>
      <c r="AH344" s="24" t="s">
        <v>1</v>
      </c>
      <c r="AI344" s="24" t="s">
        <v>1</v>
      </c>
      <c r="AJ344" s="24" t="s">
        <v>1</v>
      </c>
      <c r="AK344" s="24" t="s">
        <v>1</v>
      </c>
      <c r="AL344" s="24" t="s">
        <v>1</v>
      </c>
      <c r="AM344" s="24" t="s">
        <v>1</v>
      </c>
      <c r="AN344" s="24" t="s">
        <v>1</v>
      </c>
      <c r="AO344" s="24" t="s">
        <v>1</v>
      </c>
      <c r="AP344" s="24" t="s">
        <v>1</v>
      </c>
      <c r="AQ344" s="24" t="s">
        <v>1</v>
      </c>
      <c r="AR344" s="24" t="s">
        <v>1</v>
      </c>
      <c r="AS344" s="24" t="s">
        <v>1</v>
      </c>
      <c r="AT344" s="24" t="s">
        <v>1</v>
      </c>
      <c r="AU344" s="24" t="s">
        <v>1</v>
      </c>
      <c r="AV344" s="24" t="s">
        <v>1</v>
      </c>
      <c r="AW344" s="24" t="s">
        <v>1</v>
      </c>
      <c r="AX344" s="24" t="s">
        <v>1</v>
      </c>
      <c r="AY344" s="24" t="s">
        <v>1</v>
      </c>
      <c r="AZ344" s="24" t="s">
        <v>1</v>
      </c>
      <c r="BA344" s="24" t="s">
        <v>1</v>
      </c>
      <c r="BB344" s="24" t="s">
        <v>1</v>
      </c>
      <c r="BC344" s="24" t="s">
        <v>1</v>
      </c>
      <c r="BD344" s="24" t="s">
        <v>1</v>
      </c>
      <c r="BE344" s="24" t="s">
        <v>1</v>
      </c>
      <c r="BF344" s="24" t="s">
        <v>1</v>
      </c>
      <c r="BG344" s="24" t="s">
        <v>1</v>
      </c>
      <c r="BH344" s="24" t="s">
        <v>1</v>
      </c>
      <c r="BI344" s="24" t="s">
        <v>1</v>
      </c>
      <c r="BJ344" s="24" t="s">
        <v>1</v>
      </c>
      <c r="BK344" s="24" t="s">
        <v>1</v>
      </c>
      <c r="BL344" s="24" t="s">
        <v>1</v>
      </c>
      <c r="BM344" s="24" t="s">
        <v>1</v>
      </c>
      <c r="BN344" s="24" t="s">
        <v>1</v>
      </c>
      <c r="BO344" s="24" t="s">
        <v>1</v>
      </c>
      <c r="BP344" s="24" t="s">
        <v>1</v>
      </c>
      <c r="BQ344" s="24" t="s">
        <v>1</v>
      </c>
      <c r="BR344" s="24" t="s">
        <v>1</v>
      </c>
      <c r="BS344" s="24" t="s">
        <v>1</v>
      </c>
      <c r="BT344" s="24" t="s">
        <v>1</v>
      </c>
      <c r="BU344" s="24" t="s">
        <v>1</v>
      </c>
      <c r="BV344" s="24" t="s">
        <v>1</v>
      </c>
      <c r="BW344" s="24" t="s">
        <v>1</v>
      </c>
      <c r="BX344" s="24" t="s">
        <v>1</v>
      </c>
      <c r="BY344" s="24" t="s">
        <v>1</v>
      </c>
      <c r="BZ344" s="24" t="s">
        <v>1</v>
      </c>
      <c r="CA344" s="24" t="s">
        <v>1</v>
      </c>
      <c r="CB344" s="24" t="s">
        <v>1</v>
      </c>
      <c r="CC344" s="24" t="s">
        <v>1</v>
      </c>
      <c r="CD344" s="24" t="s">
        <v>1</v>
      </c>
      <c r="CE344" s="24" t="s">
        <v>1</v>
      </c>
      <c r="CF344" s="24" t="s">
        <v>1</v>
      </c>
      <c r="CG344" s="24" t="s">
        <v>1</v>
      </c>
      <c r="CH344" s="24" t="s">
        <v>1</v>
      </c>
      <c r="CI344" s="24" t="s">
        <v>1</v>
      </c>
      <c r="CJ344" s="24" t="s">
        <v>1</v>
      </c>
      <c r="CK344" s="24" t="s">
        <v>1</v>
      </c>
      <c r="CL344" s="24" t="s">
        <v>1</v>
      </c>
      <c r="CM344" s="24" t="s">
        <v>1</v>
      </c>
      <c r="CN344" s="24" t="s">
        <v>1</v>
      </c>
      <c r="CO344" s="24" t="s">
        <v>1</v>
      </c>
      <c r="CP344" s="24" t="s">
        <v>1</v>
      </c>
      <c r="CQ344" s="24" t="s">
        <v>1</v>
      </c>
      <c r="CR344" s="24" t="s">
        <v>1</v>
      </c>
      <c r="CS344" s="24" t="s">
        <v>1</v>
      </c>
      <c r="CT344" s="24" t="s">
        <v>1</v>
      </c>
      <c r="CU344" s="24" t="s">
        <v>1</v>
      </c>
      <c r="CV344" s="24" t="s">
        <v>1</v>
      </c>
      <c r="CW344" s="24" t="s">
        <v>1</v>
      </c>
      <c r="CX344" s="24" t="s">
        <v>1</v>
      </c>
      <c r="CY344" s="24" t="s">
        <v>1</v>
      </c>
      <c r="CZ344" s="24" t="s">
        <v>1</v>
      </c>
      <c r="DA344" s="24" t="s">
        <v>1</v>
      </c>
      <c r="DB344" s="24" t="s">
        <v>1</v>
      </c>
      <c r="DC344" s="24" t="s">
        <v>1</v>
      </c>
      <c r="DD344" s="24" t="s">
        <v>1</v>
      </c>
      <c r="DE344" s="24" t="s">
        <v>1</v>
      </c>
      <c r="DF344" s="24" t="s">
        <v>1</v>
      </c>
      <c r="DG344" s="24" t="s">
        <v>1</v>
      </c>
      <c r="DH344" s="24" t="s">
        <v>1</v>
      </c>
      <c r="DI344" s="24" t="s">
        <v>1</v>
      </c>
      <c r="DJ344" s="24" t="s">
        <v>1</v>
      </c>
      <c r="DK344" s="24" t="s">
        <v>1</v>
      </c>
      <c r="DL344" s="24" t="s">
        <v>1</v>
      </c>
      <c r="DM344" s="24" t="s">
        <v>1</v>
      </c>
      <c r="DN344" s="24" t="s">
        <v>1</v>
      </c>
      <c r="DO344" s="24" t="s">
        <v>1</v>
      </c>
      <c r="DP344" s="24" t="s">
        <v>1</v>
      </c>
      <c r="DQ344" s="24" t="s">
        <v>1</v>
      </c>
      <c r="DR344" s="24" t="s">
        <v>1</v>
      </c>
      <c r="DS344" s="24" t="s">
        <v>1</v>
      </c>
      <c r="DT344" s="24" t="s">
        <v>1</v>
      </c>
      <c r="DU344" s="24" t="s">
        <v>1</v>
      </c>
      <c r="DV344" s="24" t="s">
        <v>1</v>
      </c>
      <c r="DW344" s="24" t="s">
        <v>1</v>
      </c>
      <c r="DX344" s="24" t="s">
        <v>1</v>
      </c>
      <c r="DY344" s="24" t="s">
        <v>1</v>
      </c>
      <c r="DZ344" s="24" t="s">
        <v>1</v>
      </c>
      <c r="EA344" s="23" t="s">
        <v>1</v>
      </c>
      <c r="EB344" s="23" t="s">
        <v>1</v>
      </c>
      <c r="EC344" s="23" t="s">
        <v>1</v>
      </c>
    </row>
    <row r="345" spans="1:133" s="19" customFormat="1" ht="30" customHeight="1" x14ac:dyDescent="0.25">
      <c r="B345" s="23" t="s">
        <v>1</v>
      </c>
      <c r="C345" s="23" t="s">
        <v>1</v>
      </c>
      <c r="D345" s="23" t="s">
        <v>1</v>
      </c>
      <c r="E345" s="23" t="s">
        <v>1</v>
      </c>
      <c r="F345" s="23" t="s">
        <v>1</v>
      </c>
      <c r="G345" s="23" t="s">
        <v>1</v>
      </c>
      <c r="H345" s="23" t="s">
        <v>1</v>
      </c>
      <c r="I345" s="23" t="s">
        <v>1</v>
      </c>
      <c r="J345" s="23" t="s">
        <v>1</v>
      </c>
      <c r="K345" s="23" t="s">
        <v>1</v>
      </c>
      <c r="L345" s="23" t="s">
        <v>1</v>
      </c>
      <c r="M345" s="23" t="s">
        <v>1</v>
      </c>
      <c r="N345" s="23" t="s">
        <v>1</v>
      </c>
      <c r="O345" s="23" t="s">
        <v>1</v>
      </c>
      <c r="P345" s="23" t="s">
        <v>1</v>
      </c>
      <c r="Q345" s="23" t="s">
        <v>1</v>
      </c>
      <c r="R345" s="24" t="s">
        <v>1</v>
      </c>
      <c r="S345" s="24" t="s">
        <v>1</v>
      </c>
      <c r="T345" s="24" t="s">
        <v>1</v>
      </c>
      <c r="U345" s="24" t="s">
        <v>1</v>
      </c>
      <c r="V345" s="24" t="s">
        <v>1</v>
      </c>
      <c r="W345" s="24" t="s">
        <v>1</v>
      </c>
      <c r="X345" s="24" t="s">
        <v>1</v>
      </c>
      <c r="Y345" s="24" t="s">
        <v>1</v>
      </c>
      <c r="Z345" s="24" t="s">
        <v>1</v>
      </c>
      <c r="AA345" s="24" t="s">
        <v>1</v>
      </c>
      <c r="AB345" s="24" t="s">
        <v>1</v>
      </c>
      <c r="AC345" s="24" t="s">
        <v>1</v>
      </c>
      <c r="AD345" s="24" t="s">
        <v>1</v>
      </c>
      <c r="AE345" s="24" t="s">
        <v>1</v>
      </c>
      <c r="AF345" s="24" t="s">
        <v>1</v>
      </c>
      <c r="AG345" s="24" t="s">
        <v>1</v>
      </c>
      <c r="AH345" s="24" t="s">
        <v>1</v>
      </c>
      <c r="AI345" s="24" t="s">
        <v>1</v>
      </c>
      <c r="AJ345" s="24" t="s">
        <v>1</v>
      </c>
      <c r="AK345" s="24" t="s">
        <v>1</v>
      </c>
      <c r="AL345" s="24" t="s">
        <v>1</v>
      </c>
      <c r="AM345" s="24" t="s">
        <v>1</v>
      </c>
      <c r="AN345" s="24" t="s">
        <v>1</v>
      </c>
      <c r="AO345" s="24" t="s">
        <v>1</v>
      </c>
      <c r="AP345" s="24" t="s">
        <v>1</v>
      </c>
      <c r="AQ345" s="24" t="s">
        <v>1</v>
      </c>
      <c r="AR345" s="24" t="s">
        <v>1</v>
      </c>
      <c r="AS345" s="24" t="s">
        <v>1</v>
      </c>
      <c r="AT345" s="24" t="s">
        <v>1</v>
      </c>
      <c r="AU345" s="24" t="s">
        <v>1</v>
      </c>
      <c r="AV345" s="24" t="s">
        <v>1</v>
      </c>
      <c r="AW345" s="24" t="s">
        <v>1</v>
      </c>
      <c r="AX345" s="24" t="s">
        <v>1</v>
      </c>
      <c r="AY345" s="24" t="s">
        <v>1</v>
      </c>
      <c r="AZ345" s="24" t="s">
        <v>1</v>
      </c>
      <c r="BA345" s="24" t="s">
        <v>1</v>
      </c>
      <c r="BB345" s="24" t="s">
        <v>1</v>
      </c>
      <c r="BC345" s="24" t="s">
        <v>1</v>
      </c>
      <c r="BD345" s="24" t="s">
        <v>1</v>
      </c>
      <c r="BE345" s="24" t="s">
        <v>1</v>
      </c>
      <c r="BF345" s="24" t="s">
        <v>1</v>
      </c>
      <c r="BG345" s="24" t="s">
        <v>1</v>
      </c>
      <c r="BH345" s="24" t="s">
        <v>1</v>
      </c>
      <c r="BI345" s="24" t="s">
        <v>1</v>
      </c>
      <c r="BJ345" s="24" t="s">
        <v>1</v>
      </c>
      <c r="BK345" s="24" t="s">
        <v>1</v>
      </c>
      <c r="BL345" s="24" t="s">
        <v>1</v>
      </c>
      <c r="BM345" s="24" t="s">
        <v>1</v>
      </c>
      <c r="BN345" s="24" t="s">
        <v>1</v>
      </c>
      <c r="BO345" s="24" t="s">
        <v>1</v>
      </c>
      <c r="BP345" s="24" t="s">
        <v>1</v>
      </c>
      <c r="BQ345" s="24" t="s">
        <v>1</v>
      </c>
      <c r="BR345" s="24" t="s">
        <v>1</v>
      </c>
      <c r="BS345" s="24" t="s">
        <v>1</v>
      </c>
      <c r="BT345" s="24" t="s">
        <v>1</v>
      </c>
      <c r="BU345" s="24" t="s">
        <v>1</v>
      </c>
      <c r="BV345" s="24" t="s">
        <v>1</v>
      </c>
      <c r="BW345" s="24" t="s">
        <v>1</v>
      </c>
      <c r="BX345" s="24" t="s">
        <v>1</v>
      </c>
      <c r="BY345" s="24" t="s">
        <v>1</v>
      </c>
      <c r="BZ345" s="24" t="s">
        <v>1</v>
      </c>
      <c r="CA345" s="24" t="s">
        <v>1</v>
      </c>
      <c r="CB345" s="24" t="s">
        <v>1</v>
      </c>
      <c r="CC345" s="24" t="s">
        <v>1</v>
      </c>
      <c r="CD345" s="24" t="s">
        <v>1</v>
      </c>
      <c r="CE345" s="24" t="s">
        <v>1</v>
      </c>
      <c r="CF345" s="24" t="s">
        <v>1</v>
      </c>
      <c r="CG345" s="24" t="s">
        <v>1</v>
      </c>
      <c r="CH345" s="24" t="s">
        <v>1</v>
      </c>
      <c r="CI345" s="24" t="s">
        <v>1</v>
      </c>
      <c r="CJ345" s="24" t="s">
        <v>1</v>
      </c>
      <c r="CK345" s="24" t="s">
        <v>1</v>
      </c>
      <c r="CL345" s="24" t="s">
        <v>1</v>
      </c>
      <c r="CM345" s="24" t="s">
        <v>1</v>
      </c>
      <c r="CN345" s="24" t="s">
        <v>1</v>
      </c>
      <c r="CO345" s="24" t="s">
        <v>1</v>
      </c>
      <c r="CP345" s="24" t="s">
        <v>1</v>
      </c>
      <c r="CQ345" s="24" t="s">
        <v>1</v>
      </c>
      <c r="CR345" s="24" t="s">
        <v>1</v>
      </c>
      <c r="CS345" s="24" t="s">
        <v>1</v>
      </c>
      <c r="CT345" s="24" t="s">
        <v>1</v>
      </c>
      <c r="CU345" s="24" t="s">
        <v>1</v>
      </c>
      <c r="CV345" s="24" t="s">
        <v>1</v>
      </c>
      <c r="CW345" s="24" t="s">
        <v>1</v>
      </c>
      <c r="CX345" s="24" t="s">
        <v>1</v>
      </c>
      <c r="CY345" s="24" t="s">
        <v>1</v>
      </c>
      <c r="CZ345" s="24" t="s">
        <v>1</v>
      </c>
      <c r="DA345" s="24" t="s">
        <v>1</v>
      </c>
      <c r="DB345" s="24" t="s">
        <v>1</v>
      </c>
      <c r="DC345" s="24" t="s">
        <v>1</v>
      </c>
      <c r="DD345" s="24" t="s">
        <v>1</v>
      </c>
      <c r="DE345" s="24" t="s">
        <v>1</v>
      </c>
      <c r="DF345" s="24" t="s">
        <v>1</v>
      </c>
      <c r="DG345" s="24" t="s">
        <v>1</v>
      </c>
      <c r="DH345" s="24" t="s">
        <v>1</v>
      </c>
      <c r="DI345" s="24" t="s">
        <v>1</v>
      </c>
      <c r="DJ345" s="24" t="s">
        <v>1</v>
      </c>
      <c r="DK345" s="24" t="s">
        <v>1</v>
      </c>
      <c r="DL345" s="24" t="s">
        <v>1</v>
      </c>
      <c r="DM345" s="24" t="s">
        <v>1</v>
      </c>
      <c r="DN345" s="24" t="s">
        <v>1</v>
      </c>
      <c r="DO345" s="24" t="s">
        <v>1</v>
      </c>
      <c r="DP345" s="24" t="s">
        <v>1</v>
      </c>
      <c r="DQ345" s="24" t="s">
        <v>1</v>
      </c>
      <c r="DR345" s="24" t="s">
        <v>1</v>
      </c>
      <c r="DS345" s="24" t="s">
        <v>1</v>
      </c>
      <c r="DT345" s="24" t="s">
        <v>1</v>
      </c>
      <c r="DU345" s="24" t="s">
        <v>1</v>
      </c>
      <c r="DV345" s="24" t="s">
        <v>1</v>
      </c>
      <c r="DW345" s="24" t="s">
        <v>1</v>
      </c>
      <c r="DX345" s="24" t="s">
        <v>1</v>
      </c>
      <c r="DY345" s="24" t="s">
        <v>1</v>
      </c>
      <c r="DZ345" s="24" t="s">
        <v>1</v>
      </c>
      <c r="EA345" s="23" t="s">
        <v>1</v>
      </c>
      <c r="EB345" s="23" t="s">
        <v>1</v>
      </c>
      <c r="EC345" s="23" t="s">
        <v>1</v>
      </c>
    </row>
    <row r="346" spans="1:133" s="19" customFormat="1" x14ac:dyDescent="0.25"/>
    <row r="347" spans="1:133" s="19" customFormat="1" x14ac:dyDescent="0.25"/>
    <row r="348" spans="1:133" s="19" customFormat="1" x14ac:dyDescent="0.25"/>
    <row r="349" spans="1:133" s="19" customFormat="1" x14ac:dyDescent="0.25"/>
    <row r="350" spans="1:133" s="19" customFormat="1" x14ac:dyDescent="0.25"/>
    <row r="351" spans="1:133" s="19" customFormat="1" x14ac:dyDescent="0.25"/>
    <row r="352" spans="1:133" s="19" customFormat="1" x14ac:dyDescent="0.25"/>
    <row r="353" s="19" customFormat="1" x14ac:dyDescent="0.25"/>
    <row r="354" s="19" customFormat="1" x14ac:dyDescent="0.25"/>
    <row r="355" s="19" customFormat="1" x14ac:dyDescent="0.25"/>
    <row r="356" s="19" customFormat="1" x14ac:dyDescent="0.25"/>
    <row r="357" s="19" customFormat="1" x14ac:dyDescent="0.25"/>
    <row r="358" s="19" customFormat="1" x14ac:dyDescent="0.25"/>
    <row r="359" s="19" customFormat="1" x14ac:dyDescent="0.25"/>
    <row r="360" s="19" customFormat="1" x14ac:dyDescent="0.25"/>
    <row r="361" s="19" customFormat="1" x14ac:dyDescent="0.25"/>
    <row r="362" s="19" customFormat="1" x14ac:dyDescent="0.25"/>
    <row r="363" s="19" customFormat="1" x14ac:dyDescent="0.25"/>
    <row r="364" s="19" customFormat="1" x14ac:dyDescent="0.25"/>
    <row r="365" s="19" customFormat="1" x14ac:dyDescent="0.25"/>
    <row r="366" s="19" customFormat="1" x14ac:dyDescent="0.25"/>
    <row r="367" s="19" customFormat="1" x14ac:dyDescent="0.25"/>
    <row r="368" s="19" customFormat="1" x14ac:dyDescent="0.25"/>
    <row r="369" s="19" customFormat="1" x14ac:dyDescent="0.25"/>
    <row r="370" s="19" customFormat="1" x14ac:dyDescent="0.25"/>
    <row r="371" s="19" customFormat="1" x14ac:dyDescent="0.25"/>
    <row r="372" s="19" customFormat="1" x14ac:dyDescent="0.25"/>
    <row r="373" s="19" customFormat="1" x14ac:dyDescent="0.25"/>
    <row r="374" s="19" customFormat="1" x14ac:dyDescent="0.25"/>
    <row r="375" s="19" customFormat="1" x14ac:dyDescent="0.25"/>
    <row r="376" s="19" customFormat="1" x14ac:dyDescent="0.25"/>
    <row r="377" s="19" customFormat="1" x14ac:dyDescent="0.25"/>
    <row r="378" s="19" customFormat="1" x14ac:dyDescent="0.25"/>
    <row r="379" s="19" customFormat="1" x14ac:dyDescent="0.25"/>
    <row r="380" s="19" customFormat="1" x14ac:dyDescent="0.25"/>
    <row r="381" s="19" customFormat="1" x14ac:dyDescent="0.25"/>
    <row r="382" s="19" customFormat="1" x14ac:dyDescent="0.25"/>
    <row r="383" s="19" customFormat="1" x14ac:dyDescent="0.25"/>
    <row r="384" s="19" customFormat="1" x14ac:dyDescent="0.25"/>
    <row r="385" s="19" customFormat="1" x14ac:dyDescent="0.25"/>
    <row r="386" s="19" customFormat="1" x14ac:dyDescent="0.25"/>
  </sheetData>
  <mergeCells count="1">
    <mergeCell ref="H3:Q3"/>
  </mergeCells>
  <dataValidations count="1">
    <dataValidation type="decimal" allowBlank="1" showInputMessage="1" showErrorMessage="1" error="You only can enter amounts." prompt="Enter a positive amount (Profit from discontinued operations) or a negative amount (Loss from continued operations)." sqref="AG33:AP33 BD33:BN33">
      <formula1>-999999999</formula1>
      <formula2>999999999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2"/>
  <sheetViews>
    <sheetView workbookViewId="0"/>
  </sheetViews>
  <sheetFormatPr defaultColWidth="9.140625" defaultRowHeight="15" x14ac:dyDescent="0.25"/>
  <cols>
    <col min="1" max="1" width="57.7109375" style="4" customWidth="1"/>
    <col min="2" max="2" width="2.7109375" style="4" customWidth="1"/>
    <col min="3" max="3" width="13.7109375" style="4" customWidth="1"/>
    <col min="4" max="4" width="2.7109375" style="4" customWidth="1"/>
    <col min="5" max="5" width="13.7109375" style="4" customWidth="1"/>
    <col min="6" max="6" width="2.7109375" style="4" customWidth="1"/>
    <col min="7" max="16" width="13.7109375" style="4" customWidth="1"/>
    <col min="17" max="19" width="20.7109375" style="4" customWidth="1"/>
    <col min="20" max="43" width="9.140625" style="4" customWidth="1"/>
    <col min="44" max="46" width="9.140625" style="4"/>
    <col min="47" max="47" width="15.5703125" style="4" customWidth="1"/>
    <col min="48" max="16384" width="9.140625" style="4"/>
  </cols>
  <sheetData>
    <row r="1" spans="1:19" ht="15" customHeight="1" x14ac:dyDescent="0.25">
      <c r="A1" s="2" t="str">
        <f>'[1]Cover Page'!$A$3</f>
        <v>Lithgow City Council</v>
      </c>
      <c r="B1" s="3"/>
      <c r="D1" s="8"/>
      <c r="F1" s="8"/>
      <c r="Q1" s="5" t="s">
        <v>1</v>
      </c>
      <c r="R1" s="5" t="s">
        <v>1</v>
      </c>
      <c r="S1" s="5" t="s">
        <v>1</v>
      </c>
    </row>
    <row r="2" spans="1:19" ht="15" customHeight="1" x14ac:dyDescent="0.25">
      <c r="A2" s="2" t="str">
        <f>'[1]Cover Page'!$A$5</f>
        <v>10 Year Financial Plan for the Years ending 30 June 2029</v>
      </c>
      <c r="B2" s="3"/>
      <c r="D2" s="8"/>
      <c r="F2" s="8"/>
      <c r="Q2" s="5" t="s">
        <v>1</v>
      </c>
      <c r="R2" s="5" t="s">
        <v>1</v>
      </c>
      <c r="S2" s="5" t="s">
        <v>1</v>
      </c>
    </row>
    <row r="3" spans="1:19" ht="15" customHeight="1" x14ac:dyDescent="0.25">
      <c r="A3" s="7" t="str">
        <f>"BALANCE SHEET - "&amp;UPPER(general_fund_name)</f>
        <v>BALANCE SHEET - GENERAL FUND</v>
      </c>
      <c r="B3" s="8"/>
      <c r="C3" s="9" t="s">
        <v>3</v>
      </c>
      <c r="D3" s="10"/>
      <c r="E3" s="9" t="s">
        <v>4</v>
      </c>
      <c r="F3" s="11"/>
      <c r="G3" s="12" t="s">
        <v>5</v>
      </c>
      <c r="H3" s="12"/>
      <c r="I3" s="12"/>
      <c r="J3" s="12"/>
      <c r="K3" s="12"/>
      <c r="L3" s="12"/>
      <c r="M3" s="12"/>
      <c r="N3" s="12"/>
      <c r="O3" s="12"/>
      <c r="P3" s="12"/>
      <c r="Q3" s="5" t="s">
        <v>1</v>
      </c>
      <c r="R3" s="5" t="s">
        <v>1</v>
      </c>
      <c r="S3" s="5" t="s">
        <v>1</v>
      </c>
    </row>
    <row r="4" spans="1:19" ht="15" customHeight="1" x14ac:dyDescent="0.25">
      <c r="A4" s="2" t="str">
        <f>"Scenario: "&amp;general_scenario_name</f>
        <v>Scenario: Base Scenario</v>
      </c>
      <c r="B4" s="14"/>
      <c r="C4" s="15" t="str">
        <f>Starting_year_general-2&amp;"/"&amp;RIGHT(Starting_year_general-1,2)</f>
        <v>2017/18</v>
      </c>
      <c r="D4" s="14"/>
      <c r="E4" s="15" t="str">
        <f>Starting_year_general-1&amp;"/"&amp;RIGHT(Starting_year_general,2)</f>
        <v>2018/19</v>
      </c>
      <c r="F4" s="14"/>
      <c r="G4" s="15" t="str">
        <f>Starting_year_general&amp;"/"&amp;RIGHT(Starting_year_general+1,2)</f>
        <v>2019/20</v>
      </c>
      <c r="H4" s="15" t="str">
        <f>Starting_year_general+1&amp;"/"&amp;RIGHT(Starting_year_general+2,2)</f>
        <v>2020/21</v>
      </c>
      <c r="I4" s="15" t="str">
        <f>Starting_year_general+2&amp;"/"&amp;RIGHT(Starting_year_general+3,2)</f>
        <v>2021/22</v>
      </c>
      <c r="J4" s="15" t="str">
        <f>Starting_year_general+3&amp;"/"&amp;RIGHT(Starting_year_general+4,2)</f>
        <v>2022/23</v>
      </c>
      <c r="K4" s="15" t="str">
        <f>Starting_year_general+4&amp;"/"&amp;RIGHT(Starting_year_general+5,2)</f>
        <v>2023/24</v>
      </c>
      <c r="L4" s="15" t="str">
        <f>Starting_year_general+5&amp;"/"&amp;RIGHT(Starting_year_general+6,2)</f>
        <v>2024/25</v>
      </c>
      <c r="M4" s="15" t="str">
        <f>Starting_year_general+6&amp;"/"&amp;RIGHT(Starting_year_general+7,2)</f>
        <v>2025/26</v>
      </c>
      <c r="N4" s="15" t="str">
        <f>Starting_year_general+7&amp;"/"&amp;RIGHT(Starting_year_general+8,2)</f>
        <v>2026/27</v>
      </c>
      <c r="O4" s="15" t="str">
        <f>Starting_year_general+8&amp;"/"&amp;RIGHT(Starting_year_general+9,2)</f>
        <v>2027/28</v>
      </c>
      <c r="P4" s="15" t="str">
        <f>Starting_year_general+9&amp;"/"&amp;RIGHT(Starting_year_general+10,2)</f>
        <v>2028/29</v>
      </c>
      <c r="Q4" s="5" t="s">
        <v>1</v>
      </c>
      <c r="R4" s="5" t="s">
        <v>1</v>
      </c>
      <c r="S4" s="5" t="s">
        <v>1</v>
      </c>
    </row>
    <row r="5" spans="1:19" ht="15" customHeight="1" thickBot="1" x14ac:dyDescent="0.3">
      <c r="A5" s="16"/>
      <c r="B5" s="17"/>
      <c r="C5" s="18" t="str">
        <f>IF('[1]Cover Page'!$K$19=TRUE,"$","$'000")</f>
        <v>$'000</v>
      </c>
      <c r="D5" s="17"/>
      <c r="E5" s="18" t="str">
        <f>IF('[1]Cover Page'!$K$19=TRUE,"$","$'000")</f>
        <v>$'000</v>
      </c>
      <c r="F5" s="17"/>
      <c r="G5" s="18" t="str">
        <f>IF('[1]Cover Page'!$K$19=TRUE,"$","$'000")</f>
        <v>$'000</v>
      </c>
      <c r="H5" s="18" t="str">
        <f>IF('[1]Cover Page'!$K$19=TRUE,"$","$'000")</f>
        <v>$'000</v>
      </c>
      <c r="I5" s="18" t="str">
        <f>IF('[1]Cover Page'!$K$19=TRUE,"$","$'000")</f>
        <v>$'000</v>
      </c>
      <c r="J5" s="18" t="str">
        <f>IF('[1]Cover Page'!$K$19=TRUE,"$","$'000")</f>
        <v>$'000</v>
      </c>
      <c r="K5" s="18" t="str">
        <f>IF('[1]Cover Page'!$K$19=TRUE,"$","$'000")</f>
        <v>$'000</v>
      </c>
      <c r="L5" s="18" t="str">
        <f>IF('[1]Cover Page'!$K$19=TRUE,"$","$'000")</f>
        <v>$'000</v>
      </c>
      <c r="M5" s="18" t="str">
        <f>IF('[1]Cover Page'!$K$19=TRUE,"$","$'000")</f>
        <v>$'000</v>
      </c>
      <c r="N5" s="18" t="str">
        <f>IF('[1]Cover Page'!$K$19=TRUE,"$","$'000")</f>
        <v>$'000</v>
      </c>
      <c r="O5" s="18" t="str">
        <f>IF('[1]Cover Page'!$K$19=TRUE,"$","$'000")</f>
        <v>$'000</v>
      </c>
      <c r="P5" s="18" t="str">
        <f>IF('[1]Cover Page'!$K$19=TRUE,"$","$'000")</f>
        <v>$'000</v>
      </c>
      <c r="Q5" s="5" t="s">
        <v>1</v>
      </c>
      <c r="R5" s="5" t="s">
        <v>1</v>
      </c>
      <c r="S5" s="5" t="s">
        <v>1</v>
      </c>
    </row>
    <row r="6" spans="1:19" s="19" customFormat="1" x14ac:dyDescent="0.25">
      <c r="A6" s="20" t="s">
        <v>125</v>
      </c>
      <c r="B6" s="21"/>
      <c r="D6" s="21"/>
      <c r="F6" s="21"/>
      <c r="Q6" s="23" t="s">
        <v>1</v>
      </c>
      <c r="R6" s="23" t="s">
        <v>1</v>
      </c>
      <c r="S6" s="23" t="s">
        <v>1</v>
      </c>
    </row>
    <row r="7" spans="1:19" s="19" customFormat="1" x14ac:dyDescent="0.25">
      <c r="A7" s="25" t="s">
        <v>126</v>
      </c>
      <c r="B7" s="21"/>
      <c r="D7" s="21"/>
      <c r="F7" s="21"/>
      <c r="Q7" s="23" t="s">
        <v>1</v>
      </c>
      <c r="R7" s="23" t="s">
        <v>1</v>
      </c>
      <c r="S7" s="23" t="s">
        <v>1</v>
      </c>
    </row>
    <row r="8" spans="1:19" s="19" customFormat="1" x14ac:dyDescent="0.25">
      <c r="A8" s="19" t="s">
        <v>127</v>
      </c>
      <c r="B8" s="21"/>
      <c r="C8" s="19">
        <v>23421000</v>
      </c>
      <c r="D8" s="21"/>
      <c r="E8" s="19">
        <v>16205371.602352718</v>
      </c>
      <c r="F8" s="21"/>
      <c r="G8" s="19">
        <v>12210973.674641291</v>
      </c>
      <c r="H8" s="19">
        <v>12040104.00252589</v>
      </c>
      <c r="I8" s="19">
        <v>11964801.64971667</v>
      </c>
      <c r="J8" s="19">
        <v>11733045.578884056</v>
      </c>
      <c r="K8" s="19">
        <v>12100932.385998407</v>
      </c>
      <c r="L8" s="19">
        <v>13102385.578271221</v>
      </c>
      <c r="M8" s="19">
        <v>14239207.231150996</v>
      </c>
      <c r="N8" s="19">
        <v>16540899.482639484</v>
      </c>
      <c r="O8" s="19">
        <v>18878037.498770811</v>
      </c>
      <c r="P8" s="19">
        <v>20348703.362976443</v>
      </c>
      <c r="Q8" s="23" t="s">
        <v>1</v>
      </c>
      <c r="R8" s="23" t="s">
        <v>1</v>
      </c>
      <c r="S8" s="23" t="s">
        <v>1</v>
      </c>
    </row>
    <row r="9" spans="1:19" s="19" customFormat="1" x14ac:dyDescent="0.25">
      <c r="A9" s="19" t="s">
        <v>128</v>
      </c>
      <c r="B9" s="21"/>
      <c r="C9" s="19">
        <v>0</v>
      </c>
      <c r="D9" s="21"/>
      <c r="E9" s="19">
        <v>0</v>
      </c>
      <c r="F9" s="21"/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23" t="s">
        <v>1</v>
      </c>
      <c r="R9" s="23" t="s">
        <v>1</v>
      </c>
      <c r="S9" s="23" t="s">
        <v>1</v>
      </c>
    </row>
    <row r="10" spans="1:19" s="19" customFormat="1" x14ac:dyDescent="0.25">
      <c r="A10" s="19" t="s">
        <v>129</v>
      </c>
      <c r="B10" s="21"/>
      <c r="C10" s="19">
        <v>3143000</v>
      </c>
      <c r="D10" s="21"/>
      <c r="E10" s="19">
        <v>2863968.4087927267</v>
      </c>
      <c r="F10" s="21"/>
      <c r="G10" s="19">
        <v>2835252.8577217511</v>
      </c>
      <c r="H10" s="19">
        <v>3183238.0102713113</v>
      </c>
      <c r="I10" s="19">
        <v>3285145.0455238665</v>
      </c>
      <c r="J10" s="19">
        <v>3397491.6378651625</v>
      </c>
      <c r="K10" s="19">
        <v>3524759.6179445689</v>
      </c>
      <c r="L10" s="19">
        <v>3603756.6791516044</v>
      </c>
      <c r="M10" s="19">
        <v>3685427.498335273</v>
      </c>
      <c r="N10" s="19">
        <v>3775169.5949105658</v>
      </c>
      <c r="O10" s="19">
        <v>3866808.4223092664</v>
      </c>
      <c r="P10" s="19">
        <v>3955479.5807929905</v>
      </c>
      <c r="Q10" s="23" t="s">
        <v>1</v>
      </c>
      <c r="R10" s="23" t="s">
        <v>1</v>
      </c>
      <c r="S10" s="23" t="s">
        <v>1</v>
      </c>
    </row>
    <row r="11" spans="1:19" s="19" customFormat="1" x14ac:dyDescent="0.25">
      <c r="A11" s="19" t="s">
        <v>130</v>
      </c>
      <c r="B11" s="21"/>
      <c r="C11" s="19">
        <v>433000</v>
      </c>
      <c r="D11" s="21"/>
      <c r="E11" s="19">
        <v>630275.31044172449</v>
      </c>
      <c r="F11" s="21"/>
      <c r="G11" s="19">
        <v>662635.56721373752</v>
      </c>
      <c r="H11" s="19">
        <v>691170.29037209449</v>
      </c>
      <c r="I11" s="19">
        <v>695107.30692220258</v>
      </c>
      <c r="J11" s="19">
        <v>715893.88933427923</v>
      </c>
      <c r="K11" s="19">
        <v>727260.35822220705</v>
      </c>
      <c r="L11" s="19">
        <v>744332.30989198061</v>
      </c>
      <c r="M11" s="19">
        <v>761756.24742240366</v>
      </c>
      <c r="N11" s="19">
        <v>776323.29036012897</v>
      </c>
      <c r="O11" s="19">
        <v>793402.39902534266</v>
      </c>
      <c r="P11" s="19">
        <v>810857.2386929288</v>
      </c>
      <c r="Q11" s="23" t="s">
        <v>1</v>
      </c>
      <c r="R11" s="23" t="s">
        <v>1</v>
      </c>
      <c r="S11" s="23" t="s">
        <v>1</v>
      </c>
    </row>
    <row r="12" spans="1:19" s="19" customFormat="1" x14ac:dyDescent="0.25">
      <c r="A12" s="19" t="s">
        <v>131</v>
      </c>
      <c r="B12" s="40"/>
      <c r="C12" s="19">
        <v>266000</v>
      </c>
      <c r="D12" s="40"/>
      <c r="E12" s="19">
        <v>322984.50642696733</v>
      </c>
      <c r="F12" s="40"/>
      <c r="G12" s="19">
        <v>332281.42068123503</v>
      </c>
      <c r="H12" s="19">
        <v>348799.72237940558</v>
      </c>
      <c r="I12" s="19">
        <v>349578.44390229718</v>
      </c>
      <c r="J12" s="19">
        <v>358581.72634946863</v>
      </c>
      <c r="K12" s="19">
        <v>365192.32038806874</v>
      </c>
      <c r="L12" s="19">
        <v>377916.63009087316</v>
      </c>
      <c r="M12" s="19">
        <v>382062.88138798362</v>
      </c>
      <c r="N12" s="19">
        <v>389829.16231301549</v>
      </c>
      <c r="O12" s="19">
        <v>398405.40253316052</v>
      </c>
      <c r="P12" s="19">
        <v>411547.71981614101</v>
      </c>
      <c r="Q12" s="23" t="s">
        <v>1</v>
      </c>
      <c r="R12" s="23" t="s">
        <v>1</v>
      </c>
      <c r="S12" s="23" t="s">
        <v>1</v>
      </c>
    </row>
    <row r="13" spans="1:19" s="19" customFormat="1" x14ac:dyDescent="0.25">
      <c r="A13" s="19" t="s">
        <v>132</v>
      </c>
      <c r="B13" s="40"/>
      <c r="C13" s="19">
        <v>0</v>
      </c>
      <c r="D13" s="40"/>
      <c r="E13" s="19">
        <v>0</v>
      </c>
      <c r="F13" s="40"/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23" t="s">
        <v>1</v>
      </c>
      <c r="R13" s="23" t="s">
        <v>1</v>
      </c>
      <c r="S13" s="23" t="s">
        <v>1</v>
      </c>
    </row>
    <row r="14" spans="1:19" s="19" customFormat="1" hidden="1" x14ac:dyDescent="0.25">
      <c r="A14" s="22" t="s">
        <v>133</v>
      </c>
      <c r="B14" s="40"/>
      <c r="C14" s="19">
        <v>0</v>
      </c>
      <c r="D14" s="40"/>
      <c r="E14" s="19">
        <v>0</v>
      </c>
      <c r="F14" s="40"/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23" t="s">
        <v>1</v>
      </c>
      <c r="R14" s="23" t="s">
        <v>1</v>
      </c>
      <c r="S14" s="23" t="s">
        <v>1</v>
      </c>
    </row>
    <row r="15" spans="1:19" s="19" customFormat="1" x14ac:dyDescent="0.25">
      <c r="A15" s="25" t="s">
        <v>134</v>
      </c>
      <c r="B15" s="40"/>
      <c r="C15" s="42">
        <v>27263000</v>
      </c>
      <c r="D15" s="40"/>
      <c r="E15" s="42">
        <v>20022599.828014135</v>
      </c>
      <c r="F15" s="40"/>
      <c r="G15" s="42">
        <v>16041143.520258015</v>
      </c>
      <c r="H15" s="42">
        <v>16263312.0255487</v>
      </c>
      <c r="I15" s="42">
        <v>16294632.446065037</v>
      </c>
      <c r="J15" s="42">
        <v>16205012.832432967</v>
      </c>
      <c r="K15" s="42">
        <v>16718144.682553252</v>
      </c>
      <c r="L15" s="42">
        <v>17828391.197405681</v>
      </c>
      <c r="M15" s="42">
        <v>19068453.858296655</v>
      </c>
      <c r="N15" s="42">
        <v>21482221.530223195</v>
      </c>
      <c r="O15" s="42">
        <v>23936653.722638577</v>
      </c>
      <c r="P15" s="42">
        <v>25526587.902278502</v>
      </c>
      <c r="Q15" s="23" t="s">
        <v>1</v>
      </c>
      <c r="R15" s="23" t="s">
        <v>1</v>
      </c>
      <c r="S15" s="23" t="s">
        <v>1</v>
      </c>
    </row>
    <row r="16" spans="1:19" s="19" customFormat="1" x14ac:dyDescent="0.25">
      <c r="B16" s="40"/>
      <c r="D16" s="40"/>
      <c r="F16" s="40"/>
      <c r="Q16" s="23" t="s">
        <v>1</v>
      </c>
      <c r="R16" s="23" t="s">
        <v>1</v>
      </c>
      <c r="S16" s="23" t="s">
        <v>1</v>
      </c>
    </row>
    <row r="17" spans="1:19" s="19" customFormat="1" x14ac:dyDescent="0.25">
      <c r="A17" s="25" t="s">
        <v>135</v>
      </c>
      <c r="B17" s="40"/>
      <c r="D17" s="40"/>
      <c r="F17" s="40"/>
      <c r="Q17" s="23" t="s">
        <v>1</v>
      </c>
      <c r="R17" s="23" t="s">
        <v>1</v>
      </c>
      <c r="S17" s="23" t="s">
        <v>1</v>
      </c>
    </row>
    <row r="18" spans="1:19" s="19" customFormat="1" x14ac:dyDescent="0.25">
      <c r="A18" s="19" t="s">
        <v>128</v>
      </c>
      <c r="B18" s="40"/>
      <c r="C18" s="19">
        <v>0</v>
      </c>
      <c r="D18" s="40"/>
      <c r="E18" s="19">
        <v>0</v>
      </c>
      <c r="F18" s="40"/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23" t="s">
        <v>1</v>
      </c>
      <c r="R18" s="23" t="s">
        <v>1</v>
      </c>
      <c r="S18" s="23" t="s">
        <v>1</v>
      </c>
    </row>
    <row r="19" spans="1:19" s="19" customFormat="1" x14ac:dyDescent="0.25">
      <c r="A19" s="19" t="s">
        <v>129</v>
      </c>
      <c r="B19" s="40"/>
      <c r="C19" s="19">
        <v>0</v>
      </c>
      <c r="D19" s="40"/>
      <c r="E19" s="19">
        <v>0</v>
      </c>
      <c r="F19" s="40"/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23" t="s">
        <v>1</v>
      </c>
      <c r="R19" s="23" t="s">
        <v>1</v>
      </c>
      <c r="S19" s="23" t="s">
        <v>1</v>
      </c>
    </row>
    <row r="20" spans="1:19" s="19" customFormat="1" x14ac:dyDescent="0.25">
      <c r="A20" s="19" t="s">
        <v>130</v>
      </c>
      <c r="B20" s="40"/>
      <c r="C20" s="19">
        <v>0</v>
      </c>
      <c r="D20" s="40"/>
      <c r="E20" s="19">
        <v>0</v>
      </c>
      <c r="F20" s="40"/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23" t="s">
        <v>1</v>
      </c>
      <c r="R20" s="23" t="s">
        <v>1</v>
      </c>
      <c r="S20" s="23" t="s">
        <v>1</v>
      </c>
    </row>
    <row r="21" spans="1:19" s="19" customFormat="1" x14ac:dyDescent="0.25">
      <c r="A21" s="19" t="s">
        <v>136</v>
      </c>
      <c r="B21" s="40"/>
      <c r="C21" s="19">
        <v>401550000</v>
      </c>
      <c r="D21" s="40"/>
      <c r="E21" s="19">
        <v>409617005.16999996</v>
      </c>
      <c r="F21" s="40"/>
      <c r="G21" s="19">
        <v>415479386.34170246</v>
      </c>
      <c r="H21" s="19">
        <v>418398383.6170941</v>
      </c>
      <c r="I21" s="19">
        <v>421550306.709319</v>
      </c>
      <c r="J21" s="19">
        <v>425477869.8972947</v>
      </c>
      <c r="K21" s="19">
        <v>429159234.9432106</v>
      </c>
      <c r="L21" s="19">
        <v>432158103.39914334</v>
      </c>
      <c r="M21" s="19">
        <v>435733678.20558351</v>
      </c>
      <c r="N21" s="19">
        <v>438255341.37870097</v>
      </c>
      <c r="O21" s="19">
        <v>440784792.15789998</v>
      </c>
      <c r="P21" s="19">
        <v>444290844.07723236</v>
      </c>
      <c r="Q21" s="23" t="s">
        <v>1</v>
      </c>
      <c r="R21" s="23" t="s">
        <v>1</v>
      </c>
      <c r="S21" s="23" t="s">
        <v>1</v>
      </c>
    </row>
    <row r="22" spans="1:19" s="19" customFormat="1" x14ac:dyDescent="0.25">
      <c r="A22" s="19" t="s">
        <v>137</v>
      </c>
      <c r="B22" s="40"/>
      <c r="C22" s="19">
        <v>0</v>
      </c>
      <c r="D22" s="40"/>
      <c r="E22" s="19">
        <v>0</v>
      </c>
      <c r="F22" s="40"/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23" t="s">
        <v>1</v>
      </c>
      <c r="R22" s="23" t="s">
        <v>1</v>
      </c>
      <c r="S22" s="23" t="s">
        <v>1</v>
      </c>
    </row>
    <row r="23" spans="1:19" s="19" customFormat="1" x14ac:dyDescent="0.25">
      <c r="A23" s="19" t="s">
        <v>138</v>
      </c>
      <c r="B23" s="40"/>
      <c r="C23" s="19">
        <v>5494000</v>
      </c>
      <c r="D23" s="40"/>
      <c r="E23" s="19">
        <v>5494000</v>
      </c>
      <c r="F23" s="40"/>
      <c r="G23" s="19">
        <v>5494000</v>
      </c>
      <c r="H23" s="19">
        <v>5494000</v>
      </c>
      <c r="I23" s="19">
        <v>5494000</v>
      </c>
      <c r="J23" s="19">
        <v>5494000</v>
      </c>
      <c r="K23" s="19">
        <v>5494000</v>
      </c>
      <c r="L23" s="19">
        <v>5494000</v>
      </c>
      <c r="M23" s="19">
        <v>5494000</v>
      </c>
      <c r="N23" s="19">
        <v>5494000</v>
      </c>
      <c r="O23" s="19">
        <v>5494000</v>
      </c>
      <c r="P23" s="19">
        <v>5494000</v>
      </c>
      <c r="Q23" s="23" t="s">
        <v>1</v>
      </c>
      <c r="R23" s="23" t="s">
        <v>1</v>
      </c>
      <c r="S23" s="23" t="s">
        <v>1</v>
      </c>
    </row>
    <row r="24" spans="1:19" s="19" customFormat="1" x14ac:dyDescent="0.25">
      <c r="A24" s="19" t="s">
        <v>139</v>
      </c>
      <c r="B24" s="40"/>
      <c r="C24" s="19">
        <v>0</v>
      </c>
      <c r="D24" s="40"/>
      <c r="E24" s="34">
        <v>0</v>
      </c>
      <c r="F24" s="40"/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23" t="s">
        <v>1</v>
      </c>
      <c r="R24" s="23" t="s">
        <v>1</v>
      </c>
      <c r="S24" s="23" t="s">
        <v>1</v>
      </c>
    </row>
    <row r="25" spans="1:19" s="19" customFormat="1" x14ac:dyDescent="0.25">
      <c r="A25" s="19" t="s">
        <v>132</v>
      </c>
      <c r="B25" s="40"/>
      <c r="C25" s="19">
        <v>0</v>
      </c>
      <c r="D25" s="40"/>
      <c r="E25" s="19">
        <v>0</v>
      </c>
      <c r="F25" s="40"/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23" t="s">
        <v>1</v>
      </c>
      <c r="R25" s="23" t="s">
        <v>1</v>
      </c>
      <c r="S25" s="23" t="s">
        <v>1</v>
      </c>
    </row>
    <row r="26" spans="1:19" s="19" customFormat="1" x14ac:dyDescent="0.25">
      <c r="A26" s="19" t="s">
        <v>131</v>
      </c>
      <c r="B26" s="40"/>
      <c r="C26" s="19">
        <v>0</v>
      </c>
      <c r="D26" s="40"/>
      <c r="E26" s="34">
        <v>0</v>
      </c>
      <c r="F26" s="40"/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23" t="s">
        <v>1</v>
      </c>
      <c r="R26" s="23" t="s">
        <v>1</v>
      </c>
      <c r="S26" s="23" t="s">
        <v>1</v>
      </c>
    </row>
    <row r="27" spans="1:19" s="19" customFormat="1" x14ac:dyDescent="0.25">
      <c r="A27" s="25" t="s">
        <v>140</v>
      </c>
      <c r="B27" s="40"/>
      <c r="C27" s="42">
        <v>407044000</v>
      </c>
      <c r="D27" s="40"/>
      <c r="E27" s="42">
        <v>415111005.16999996</v>
      </c>
      <c r="F27" s="40"/>
      <c r="G27" s="42">
        <v>420973386.34170246</v>
      </c>
      <c r="H27" s="42">
        <v>423892383.6170941</v>
      </c>
      <c r="I27" s="42">
        <v>427044306.709319</v>
      </c>
      <c r="J27" s="42">
        <v>430971869.8972947</v>
      </c>
      <c r="K27" s="42">
        <v>434653234.9432106</v>
      </c>
      <c r="L27" s="42">
        <v>437652103.39914334</v>
      </c>
      <c r="M27" s="42">
        <v>441227678.20558351</v>
      </c>
      <c r="N27" s="42">
        <v>443749341.37870097</v>
      </c>
      <c r="O27" s="42">
        <v>446278792.15789998</v>
      </c>
      <c r="P27" s="42">
        <v>449784844.07723236</v>
      </c>
      <c r="Q27" s="23" t="s">
        <v>1</v>
      </c>
      <c r="R27" s="23" t="s">
        <v>1</v>
      </c>
      <c r="S27" s="23" t="s">
        <v>1</v>
      </c>
    </row>
    <row r="28" spans="1:19" s="19" customFormat="1" ht="15.75" thickBot="1" x14ac:dyDescent="0.3">
      <c r="A28" s="25" t="s">
        <v>141</v>
      </c>
      <c r="B28" s="47"/>
      <c r="C28" s="69">
        <v>434307000</v>
      </c>
      <c r="D28" s="47"/>
      <c r="E28" s="69">
        <v>435133604.99801409</v>
      </c>
      <c r="F28" s="47"/>
      <c r="G28" s="69">
        <v>437014529.86196047</v>
      </c>
      <c r="H28" s="69">
        <v>440155695.6426428</v>
      </c>
      <c r="I28" s="69">
        <v>443338939.155384</v>
      </c>
      <c r="J28" s="69">
        <v>447176882.72972769</v>
      </c>
      <c r="K28" s="69">
        <v>451371379.62576383</v>
      </c>
      <c r="L28" s="69">
        <v>455480494.59654903</v>
      </c>
      <c r="M28" s="69">
        <v>460296132.06388015</v>
      </c>
      <c r="N28" s="69">
        <v>465231562.90892416</v>
      </c>
      <c r="O28" s="69">
        <v>470215445.88053858</v>
      </c>
      <c r="P28" s="69">
        <v>475311431.97951084</v>
      </c>
      <c r="Q28" s="23" t="s">
        <v>1</v>
      </c>
      <c r="R28" s="23" t="s">
        <v>1</v>
      </c>
      <c r="S28" s="23" t="s">
        <v>1</v>
      </c>
    </row>
    <row r="29" spans="1:19" s="19" customFormat="1" x14ac:dyDescent="0.25">
      <c r="B29" s="40"/>
      <c r="D29" s="40"/>
      <c r="F29" s="40"/>
      <c r="Q29" s="23" t="s">
        <v>1</v>
      </c>
      <c r="R29" s="23" t="s">
        <v>1</v>
      </c>
      <c r="S29" s="23" t="s">
        <v>1</v>
      </c>
    </row>
    <row r="30" spans="1:19" s="19" customFormat="1" x14ac:dyDescent="0.25">
      <c r="A30" s="20" t="s">
        <v>142</v>
      </c>
      <c r="B30" s="40"/>
      <c r="D30" s="40"/>
      <c r="F30" s="40"/>
      <c r="Q30" s="23" t="s">
        <v>1</v>
      </c>
      <c r="R30" s="23" t="s">
        <v>1</v>
      </c>
      <c r="S30" s="23" t="s">
        <v>1</v>
      </c>
    </row>
    <row r="31" spans="1:19" s="19" customFormat="1" x14ac:dyDescent="0.25">
      <c r="A31" s="25" t="s">
        <v>143</v>
      </c>
      <c r="B31" s="40"/>
      <c r="D31" s="40"/>
      <c r="F31" s="40"/>
      <c r="Q31" s="23" t="s">
        <v>1</v>
      </c>
      <c r="R31" s="23" t="s">
        <v>1</v>
      </c>
      <c r="S31" s="23" t="s">
        <v>1</v>
      </c>
    </row>
    <row r="32" spans="1:19" s="19" customFormat="1" x14ac:dyDescent="0.25">
      <c r="A32" s="19" t="s">
        <v>144</v>
      </c>
      <c r="B32" s="40"/>
      <c r="C32" s="19">
        <v>0</v>
      </c>
      <c r="D32" s="40"/>
      <c r="E32" s="19">
        <v>0</v>
      </c>
      <c r="F32" s="40"/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23" t="s">
        <v>1</v>
      </c>
      <c r="R32" s="23" t="s">
        <v>1</v>
      </c>
      <c r="S32" s="23" t="s">
        <v>1</v>
      </c>
    </row>
    <row r="33" spans="1:19" s="19" customFormat="1" x14ac:dyDescent="0.25">
      <c r="A33" s="19" t="s">
        <v>145</v>
      </c>
      <c r="B33" s="40"/>
      <c r="C33" s="19">
        <v>6079000</v>
      </c>
      <c r="D33" s="40"/>
      <c r="E33" s="19">
        <v>4776229.4760366082</v>
      </c>
      <c r="F33" s="40"/>
      <c r="G33" s="19">
        <v>4849049.6786812395</v>
      </c>
      <c r="H33" s="19">
        <v>5065061.201827893</v>
      </c>
      <c r="I33" s="19">
        <v>5065526.5734880669</v>
      </c>
      <c r="J33" s="19">
        <v>5161766.5517908167</v>
      </c>
      <c r="K33" s="19">
        <v>5240651.6984266173</v>
      </c>
      <c r="L33" s="19">
        <v>5401740.3565109363</v>
      </c>
      <c r="M33" s="19">
        <v>5437186.9413058022</v>
      </c>
      <c r="N33" s="19">
        <v>5534474.1128836563</v>
      </c>
      <c r="O33" s="19">
        <v>5639216.3202978987</v>
      </c>
      <c r="P33" s="19">
        <v>5813668.0607522596</v>
      </c>
      <c r="Q33" s="23" t="s">
        <v>1</v>
      </c>
      <c r="R33" s="23" t="s">
        <v>1</v>
      </c>
      <c r="S33" s="23" t="s">
        <v>1</v>
      </c>
    </row>
    <row r="34" spans="1:19" s="19" customFormat="1" x14ac:dyDescent="0.25">
      <c r="A34" s="24" t="s">
        <v>146</v>
      </c>
      <c r="B34" s="40"/>
      <c r="C34" s="19">
        <v>951000</v>
      </c>
      <c r="D34" s="40"/>
      <c r="E34" s="19">
        <v>342347.85557118192</v>
      </c>
      <c r="F34" s="40"/>
      <c r="G34" s="19">
        <v>362345.80181502964</v>
      </c>
      <c r="H34" s="19">
        <v>568219.71163729113</v>
      </c>
      <c r="I34" s="19">
        <v>608094.47976527747</v>
      </c>
      <c r="J34" s="19">
        <v>654026.42798392044</v>
      </c>
      <c r="K34" s="19">
        <v>707176.57823933195</v>
      </c>
      <c r="L34" s="19">
        <v>724856.00110322575</v>
      </c>
      <c r="M34" s="19">
        <v>742977.40500445093</v>
      </c>
      <c r="N34" s="19">
        <v>761551.83913862973</v>
      </c>
      <c r="O34" s="19">
        <v>780590.63256469416</v>
      </c>
      <c r="P34" s="19">
        <v>800105.39900940482</v>
      </c>
      <c r="Q34" s="23"/>
      <c r="R34" s="23"/>
      <c r="S34" s="23"/>
    </row>
    <row r="35" spans="1:19" s="19" customFormat="1" x14ac:dyDescent="0.25">
      <c r="A35" s="19" t="s">
        <v>147</v>
      </c>
      <c r="B35" s="40"/>
      <c r="C35" s="19">
        <v>807000</v>
      </c>
      <c r="D35" s="40"/>
      <c r="E35" s="19">
        <v>705046.89</v>
      </c>
      <c r="F35" s="40"/>
      <c r="G35" s="19">
        <v>704649.3</v>
      </c>
      <c r="H35" s="19">
        <v>734663.81</v>
      </c>
      <c r="I35" s="19">
        <v>624353.55000000005</v>
      </c>
      <c r="J35" s="19">
        <v>647093.4</v>
      </c>
      <c r="K35" s="19">
        <v>672208.98</v>
      </c>
      <c r="L35" s="19">
        <v>17299.919999999998</v>
      </c>
      <c r="M35" s="19">
        <v>17988.11</v>
      </c>
      <c r="N35" s="19">
        <v>18680.939999999999</v>
      </c>
      <c r="O35" s="19">
        <v>19446.810000000001</v>
      </c>
      <c r="P35" s="19">
        <v>20220.400000000001</v>
      </c>
      <c r="Q35" s="23" t="s">
        <v>1</v>
      </c>
      <c r="R35" s="23" t="s">
        <v>1</v>
      </c>
      <c r="S35" s="23" t="s">
        <v>1</v>
      </c>
    </row>
    <row r="36" spans="1:19" s="19" customFormat="1" x14ac:dyDescent="0.25">
      <c r="A36" s="19" t="s">
        <v>148</v>
      </c>
      <c r="B36" s="40"/>
      <c r="C36" s="19">
        <v>3541000</v>
      </c>
      <c r="D36" s="40"/>
      <c r="E36" s="19">
        <v>3324511.3137452337</v>
      </c>
      <c r="F36" s="40"/>
      <c r="G36" s="19">
        <v>3336832.4631043128</v>
      </c>
      <c r="H36" s="19">
        <v>3338412.0976375281</v>
      </c>
      <c r="I36" s="19">
        <v>3343972.4111944456</v>
      </c>
      <c r="J36" s="19">
        <v>3343972.4111944456</v>
      </c>
      <c r="K36" s="19">
        <v>3343972.4111944456</v>
      </c>
      <c r="L36" s="19">
        <v>3343972.4111944456</v>
      </c>
      <c r="M36" s="19">
        <v>3343972.4111944456</v>
      </c>
      <c r="N36" s="19">
        <v>3343972.4111944456</v>
      </c>
      <c r="O36" s="19">
        <v>3343972.4111944456</v>
      </c>
      <c r="P36" s="19">
        <v>3343972.4111944456</v>
      </c>
      <c r="Q36" s="23" t="s">
        <v>1</v>
      </c>
      <c r="R36" s="23" t="s">
        <v>1</v>
      </c>
      <c r="S36" s="23" t="s">
        <v>1</v>
      </c>
    </row>
    <row r="37" spans="1:19" s="19" customFormat="1" x14ac:dyDescent="0.25">
      <c r="A37" s="19" t="s">
        <v>149</v>
      </c>
      <c r="B37" s="40"/>
      <c r="C37" s="19">
        <v>0</v>
      </c>
      <c r="D37" s="40"/>
      <c r="E37" s="34">
        <v>0</v>
      </c>
      <c r="F37" s="40"/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23" t="s">
        <v>1</v>
      </c>
      <c r="R37" s="23" t="s">
        <v>1</v>
      </c>
      <c r="S37" s="23" t="s">
        <v>1</v>
      </c>
    </row>
    <row r="38" spans="1:19" s="19" customFormat="1" x14ac:dyDescent="0.25">
      <c r="A38" s="25" t="s">
        <v>150</v>
      </c>
      <c r="B38" s="40"/>
      <c r="C38" s="42">
        <v>11378000</v>
      </c>
      <c r="D38" s="40"/>
      <c r="E38" s="42">
        <v>9148135.5353530236</v>
      </c>
      <c r="F38" s="40"/>
      <c r="G38" s="42">
        <v>9252877.2436005808</v>
      </c>
      <c r="H38" s="42">
        <v>9706356.8211027123</v>
      </c>
      <c r="I38" s="42">
        <v>9641947.0144477896</v>
      </c>
      <c r="J38" s="42">
        <v>9806858.7909691818</v>
      </c>
      <c r="K38" s="42">
        <v>9964009.6678603943</v>
      </c>
      <c r="L38" s="42">
        <v>9487868.6888086088</v>
      </c>
      <c r="M38" s="42">
        <v>9542124.8675046992</v>
      </c>
      <c r="N38" s="42">
        <v>9658679.303216733</v>
      </c>
      <c r="O38" s="42">
        <v>9783226.1740570366</v>
      </c>
      <c r="P38" s="42">
        <v>9977966.2709561102</v>
      </c>
      <c r="Q38" s="23" t="s">
        <v>1</v>
      </c>
      <c r="R38" s="23" t="s">
        <v>1</v>
      </c>
      <c r="S38" s="23" t="s">
        <v>1</v>
      </c>
    </row>
    <row r="39" spans="1:19" s="19" customFormat="1" x14ac:dyDescent="0.25">
      <c r="B39" s="40"/>
      <c r="D39" s="40"/>
      <c r="F39" s="40"/>
      <c r="Q39" s="23" t="s">
        <v>1</v>
      </c>
      <c r="R39" s="23" t="s">
        <v>1</v>
      </c>
      <c r="S39" s="23" t="s">
        <v>1</v>
      </c>
    </row>
    <row r="40" spans="1:19" s="19" customFormat="1" x14ac:dyDescent="0.25">
      <c r="A40" s="25" t="s">
        <v>151</v>
      </c>
      <c r="B40" s="40"/>
      <c r="D40" s="40"/>
      <c r="F40" s="40"/>
      <c r="Q40" s="23" t="s">
        <v>1</v>
      </c>
      <c r="R40" s="23" t="s">
        <v>1</v>
      </c>
      <c r="S40" s="23" t="s">
        <v>1</v>
      </c>
    </row>
    <row r="41" spans="1:19" s="19" customFormat="1" x14ac:dyDescent="0.25">
      <c r="A41" s="19" t="s">
        <v>145</v>
      </c>
      <c r="B41" s="40"/>
      <c r="C41" s="19">
        <v>9000</v>
      </c>
      <c r="D41" s="40"/>
      <c r="E41" s="19">
        <v>7533.3864063331093</v>
      </c>
      <c r="F41" s="40"/>
      <c r="G41" s="19">
        <v>7708.799761712472</v>
      </c>
      <c r="H41" s="19">
        <v>8295.0720834986041</v>
      </c>
      <c r="I41" s="19">
        <v>8363.5928116799023</v>
      </c>
      <c r="J41" s="19">
        <v>8576.0526582188431</v>
      </c>
      <c r="K41" s="19">
        <v>8760.3858873021218</v>
      </c>
      <c r="L41" s="19">
        <v>9025.3097915264498</v>
      </c>
      <c r="M41" s="19">
        <v>9183.2219864131548</v>
      </c>
      <c r="N41" s="19">
        <v>9389.9982009088944</v>
      </c>
      <c r="O41" s="19">
        <v>9609.8097759992961</v>
      </c>
      <c r="P41" s="19">
        <v>9890.7025168580712</v>
      </c>
      <c r="Q41" s="23" t="s">
        <v>1</v>
      </c>
      <c r="R41" s="23" t="s">
        <v>1</v>
      </c>
      <c r="S41" s="23" t="s">
        <v>1</v>
      </c>
    </row>
    <row r="42" spans="1:19" s="19" customFormat="1" x14ac:dyDescent="0.25">
      <c r="A42" s="24" t="s">
        <v>146</v>
      </c>
      <c r="B42" s="40"/>
      <c r="C42" s="19">
        <v>0</v>
      </c>
      <c r="D42" s="40"/>
      <c r="E42" s="19">
        <v>0</v>
      </c>
      <c r="F42" s="40"/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23"/>
      <c r="R42" s="23"/>
      <c r="S42" s="23"/>
    </row>
    <row r="43" spans="1:19" s="19" customFormat="1" x14ac:dyDescent="0.25">
      <c r="A43" s="19" t="s">
        <v>147</v>
      </c>
      <c r="B43" s="40"/>
      <c r="C43" s="19">
        <v>4257000</v>
      </c>
      <c r="D43" s="40"/>
      <c r="E43" s="19">
        <v>3506913.7600000002</v>
      </c>
      <c r="F43" s="40"/>
      <c r="G43" s="19">
        <v>2802264.46</v>
      </c>
      <c r="H43" s="19">
        <v>2067600.65</v>
      </c>
      <c r="I43" s="19">
        <v>1443247.0999999999</v>
      </c>
      <c r="J43" s="19">
        <v>796153.69999999984</v>
      </c>
      <c r="K43" s="19">
        <v>123944.71999999986</v>
      </c>
      <c r="L43" s="19">
        <v>106644.79999999986</v>
      </c>
      <c r="M43" s="19">
        <v>88656.689999999857</v>
      </c>
      <c r="N43" s="19">
        <v>69975.749999999854</v>
      </c>
      <c r="O43" s="19">
        <v>50528.939999999857</v>
      </c>
      <c r="P43" s="19">
        <v>30308.539999999855</v>
      </c>
      <c r="Q43" s="23" t="s">
        <v>1</v>
      </c>
      <c r="R43" s="23" t="s">
        <v>1</v>
      </c>
      <c r="S43" s="23" t="s">
        <v>1</v>
      </c>
    </row>
    <row r="44" spans="1:19" s="19" customFormat="1" x14ac:dyDescent="0.25">
      <c r="A44" s="19" t="s">
        <v>148</v>
      </c>
      <c r="B44" s="40"/>
      <c r="C44" s="19">
        <v>8406000</v>
      </c>
      <c r="D44" s="40"/>
      <c r="E44" s="19">
        <v>8622488.6862547677</v>
      </c>
      <c r="F44" s="40"/>
      <c r="G44" s="19">
        <v>8220167.5368956886</v>
      </c>
      <c r="H44" s="19">
        <v>8168587.9023624733</v>
      </c>
      <c r="I44" s="19">
        <v>7987027.5888055554</v>
      </c>
      <c r="J44" s="19">
        <v>7987027.5888055554</v>
      </c>
      <c r="K44" s="19">
        <v>7987027.5888055554</v>
      </c>
      <c r="L44" s="19">
        <v>7987027.5888055554</v>
      </c>
      <c r="M44" s="19">
        <v>7987027.5888055554</v>
      </c>
      <c r="N44" s="19">
        <v>7987027.5888055554</v>
      </c>
      <c r="O44" s="19">
        <v>7987027.5888055554</v>
      </c>
      <c r="P44" s="19">
        <v>7987027.5888055554</v>
      </c>
      <c r="Q44" s="23" t="s">
        <v>1</v>
      </c>
      <c r="R44" s="23" t="s">
        <v>1</v>
      </c>
      <c r="S44" s="23" t="s">
        <v>1</v>
      </c>
    </row>
    <row r="45" spans="1:19" s="19" customFormat="1" x14ac:dyDescent="0.25">
      <c r="A45" s="19" t="s">
        <v>137</v>
      </c>
      <c r="B45" s="40"/>
      <c r="C45" s="19">
        <v>0</v>
      </c>
      <c r="D45" s="40"/>
      <c r="E45" s="34">
        <v>0</v>
      </c>
      <c r="F45" s="40"/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23" t="s">
        <v>1</v>
      </c>
      <c r="R45" s="23" t="s">
        <v>1</v>
      </c>
      <c r="S45" s="23" t="s">
        <v>1</v>
      </c>
    </row>
    <row r="46" spans="1:19" s="19" customFormat="1" x14ac:dyDescent="0.25">
      <c r="A46" s="19" t="s">
        <v>149</v>
      </c>
      <c r="B46" s="40"/>
      <c r="C46" s="19">
        <v>0</v>
      </c>
      <c r="D46" s="40"/>
      <c r="E46" s="34">
        <v>0</v>
      </c>
      <c r="F46" s="40"/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23" t="s">
        <v>1</v>
      </c>
      <c r="R46" s="23" t="s">
        <v>1</v>
      </c>
      <c r="S46" s="23" t="s">
        <v>1</v>
      </c>
    </row>
    <row r="47" spans="1:19" s="19" customFormat="1" x14ac:dyDescent="0.25">
      <c r="A47" s="25" t="s">
        <v>152</v>
      </c>
      <c r="B47" s="40"/>
      <c r="C47" s="42">
        <v>12672000</v>
      </c>
      <c r="D47" s="40"/>
      <c r="E47" s="42">
        <v>12136935.832661102</v>
      </c>
      <c r="F47" s="40"/>
      <c r="G47" s="42">
        <v>11030140.796657402</v>
      </c>
      <c r="H47" s="42">
        <v>10244483.624445971</v>
      </c>
      <c r="I47" s="42">
        <v>9438638.2816172354</v>
      </c>
      <c r="J47" s="42">
        <v>8791757.3414637744</v>
      </c>
      <c r="K47" s="42">
        <v>8119732.6946928576</v>
      </c>
      <c r="L47" s="42">
        <v>8102697.6985970819</v>
      </c>
      <c r="M47" s="42">
        <v>8084867.5007919688</v>
      </c>
      <c r="N47" s="42">
        <v>8066393.3370064637</v>
      </c>
      <c r="O47" s="42">
        <v>8047166.3385815546</v>
      </c>
      <c r="P47" s="42">
        <v>8027226.8313224129</v>
      </c>
      <c r="Q47" s="23" t="s">
        <v>1</v>
      </c>
      <c r="R47" s="23" t="s">
        <v>1</v>
      </c>
      <c r="S47" s="23" t="s">
        <v>1</v>
      </c>
    </row>
    <row r="48" spans="1:19" s="19" customFormat="1" ht="15.75" thickBot="1" x14ac:dyDescent="0.3">
      <c r="A48" s="25" t="s">
        <v>153</v>
      </c>
      <c r="B48" s="47"/>
      <c r="C48" s="69">
        <v>24050000</v>
      </c>
      <c r="D48" s="47"/>
      <c r="E48" s="69">
        <v>21285071.368014127</v>
      </c>
      <c r="F48" s="47"/>
      <c r="G48" s="69">
        <v>20283018.040257983</v>
      </c>
      <c r="H48" s="69">
        <v>19950840.445548683</v>
      </c>
      <c r="I48" s="69">
        <v>19080585.296065025</v>
      </c>
      <c r="J48" s="69">
        <v>18598616.132432956</v>
      </c>
      <c r="K48" s="69">
        <v>18083742.362553254</v>
      </c>
      <c r="L48" s="69">
        <v>17590566.38740569</v>
      </c>
      <c r="M48" s="69">
        <v>17626992.368296668</v>
      </c>
      <c r="N48" s="69">
        <v>17725072.640223198</v>
      </c>
      <c r="O48" s="69">
        <v>17830392.512638591</v>
      </c>
      <c r="P48" s="69">
        <v>18005193.102278523</v>
      </c>
      <c r="Q48" s="23" t="s">
        <v>1</v>
      </c>
      <c r="R48" s="23" t="s">
        <v>1</v>
      </c>
      <c r="S48" s="23" t="s">
        <v>1</v>
      </c>
    </row>
    <row r="49" spans="1:19" s="19" customFormat="1" ht="15.75" thickBot="1" x14ac:dyDescent="0.3">
      <c r="A49" s="20" t="s">
        <v>154</v>
      </c>
      <c r="B49" s="47"/>
      <c r="C49" s="70">
        <v>410257000</v>
      </c>
      <c r="D49" s="47"/>
      <c r="E49" s="70">
        <v>413848533.63</v>
      </c>
      <c r="F49" s="47"/>
      <c r="G49" s="70">
        <v>416731511.82170248</v>
      </c>
      <c r="H49" s="70">
        <v>420204855.19709408</v>
      </c>
      <c r="I49" s="70">
        <v>424258353.85931897</v>
      </c>
      <c r="J49" s="70">
        <v>428578266.59729475</v>
      </c>
      <c r="K49" s="70">
        <v>433287637.26321059</v>
      </c>
      <c r="L49" s="70">
        <v>437889928.20914334</v>
      </c>
      <c r="M49" s="70">
        <v>442669139.69558346</v>
      </c>
      <c r="N49" s="70">
        <v>447506490.26870096</v>
      </c>
      <c r="O49" s="70">
        <v>452385053.36790001</v>
      </c>
      <c r="P49" s="70">
        <v>457306238.87723231</v>
      </c>
      <c r="Q49" s="23" t="s">
        <v>1</v>
      </c>
      <c r="R49" s="23" t="s">
        <v>1</v>
      </c>
      <c r="S49" s="23" t="s">
        <v>1</v>
      </c>
    </row>
    <row r="50" spans="1:19" s="19" customFormat="1" ht="15.75" thickTop="1" x14ac:dyDescent="0.25">
      <c r="B50" s="40"/>
      <c r="D50" s="40"/>
      <c r="F50" s="40"/>
      <c r="Q50" s="23" t="s">
        <v>1</v>
      </c>
      <c r="R50" s="23" t="s">
        <v>1</v>
      </c>
      <c r="S50" s="23" t="s">
        <v>1</v>
      </c>
    </row>
    <row r="51" spans="1:19" s="19" customFormat="1" x14ac:dyDescent="0.25">
      <c r="A51" s="20" t="s">
        <v>155</v>
      </c>
      <c r="B51" s="40"/>
      <c r="D51" s="40"/>
      <c r="F51" s="40"/>
      <c r="Q51" s="23" t="s">
        <v>1</v>
      </c>
      <c r="R51" s="23" t="s">
        <v>1</v>
      </c>
      <c r="S51" s="23" t="s">
        <v>1</v>
      </c>
    </row>
    <row r="52" spans="1:19" s="19" customFormat="1" x14ac:dyDescent="0.25">
      <c r="A52" s="19" t="s">
        <v>156</v>
      </c>
      <c r="B52" s="40"/>
      <c r="C52" s="19">
        <v>157966000</v>
      </c>
      <c r="D52" s="40"/>
      <c r="E52" s="19">
        <v>161557533.63000003</v>
      </c>
      <c r="F52" s="40"/>
      <c r="G52" s="19">
        <v>164440511.82170257</v>
      </c>
      <c r="H52" s="19">
        <v>167913855.19709417</v>
      </c>
      <c r="I52" s="19">
        <v>171967353.85931909</v>
      </c>
      <c r="J52" s="19">
        <v>176287266.59729478</v>
      </c>
      <c r="K52" s="19">
        <v>180996637.26321065</v>
      </c>
      <c r="L52" s="19">
        <v>185598928.2091434</v>
      </c>
      <c r="M52" s="19">
        <v>190378139.69558355</v>
      </c>
      <c r="N52" s="19">
        <v>195215490.26870102</v>
      </c>
      <c r="O52" s="19">
        <v>200094053.36789998</v>
      </c>
      <c r="P52" s="19">
        <v>205015238.87723237</v>
      </c>
      <c r="Q52" s="23" t="s">
        <v>1</v>
      </c>
      <c r="R52" s="23" t="s">
        <v>1</v>
      </c>
      <c r="S52" s="23" t="s">
        <v>1</v>
      </c>
    </row>
    <row r="53" spans="1:19" s="19" customFormat="1" x14ac:dyDescent="0.25">
      <c r="A53" s="19" t="s">
        <v>157</v>
      </c>
      <c r="B53" s="40"/>
      <c r="C53" s="19">
        <v>252291000</v>
      </c>
      <c r="D53" s="40"/>
      <c r="E53" s="19">
        <v>252291000</v>
      </c>
      <c r="F53" s="40"/>
      <c r="G53" s="19">
        <v>252291000</v>
      </c>
      <c r="H53" s="19">
        <v>252291000</v>
      </c>
      <c r="I53" s="19">
        <v>252291000</v>
      </c>
      <c r="J53" s="19">
        <v>252291000</v>
      </c>
      <c r="K53" s="19">
        <v>252291000</v>
      </c>
      <c r="L53" s="19">
        <v>252291000</v>
      </c>
      <c r="M53" s="19">
        <v>252291000</v>
      </c>
      <c r="N53" s="19">
        <v>252291000</v>
      </c>
      <c r="O53" s="19">
        <v>252291000</v>
      </c>
      <c r="P53" s="19">
        <v>252291000</v>
      </c>
      <c r="Q53" s="23" t="s">
        <v>1</v>
      </c>
      <c r="R53" s="23" t="s">
        <v>1</v>
      </c>
      <c r="S53" s="23" t="s">
        <v>1</v>
      </c>
    </row>
    <row r="54" spans="1:19" s="19" customFormat="1" x14ac:dyDescent="0.25">
      <c r="A54" s="19" t="s">
        <v>158</v>
      </c>
      <c r="B54" s="40"/>
      <c r="C54" s="42">
        <v>410257000</v>
      </c>
      <c r="D54" s="40"/>
      <c r="E54" s="42">
        <v>413848533.63</v>
      </c>
      <c r="F54" s="40"/>
      <c r="G54" s="42">
        <v>416731511.8217026</v>
      </c>
      <c r="H54" s="42">
        <v>420204855.1970942</v>
      </c>
      <c r="I54" s="42">
        <v>424258353.85931909</v>
      </c>
      <c r="J54" s="42">
        <v>428578266.59729481</v>
      </c>
      <c r="K54" s="42">
        <v>433287637.26321065</v>
      </c>
      <c r="L54" s="42">
        <v>437889928.2091434</v>
      </c>
      <c r="M54" s="42">
        <v>442669139.69558358</v>
      </c>
      <c r="N54" s="42">
        <v>447506490.26870102</v>
      </c>
      <c r="O54" s="42">
        <v>452385053.36790001</v>
      </c>
      <c r="P54" s="42">
        <v>457306238.87723237</v>
      </c>
      <c r="Q54" s="23" t="s">
        <v>1</v>
      </c>
      <c r="R54" s="23" t="s">
        <v>1</v>
      </c>
      <c r="S54" s="23" t="s">
        <v>1</v>
      </c>
    </row>
    <row r="55" spans="1:19" s="19" customFormat="1" x14ac:dyDescent="0.25">
      <c r="A55" s="19" t="s">
        <v>159</v>
      </c>
      <c r="B55" s="40"/>
      <c r="C55" s="19">
        <v>0</v>
      </c>
      <c r="D55" s="40"/>
      <c r="E55" s="54">
        <v>0</v>
      </c>
      <c r="F55" s="40"/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23" t="s">
        <v>1</v>
      </c>
      <c r="R55" s="23" t="s">
        <v>1</v>
      </c>
      <c r="S55" s="23" t="s">
        <v>1</v>
      </c>
    </row>
    <row r="56" spans="1:19" s="19" customFormat="1" ht="15.75" thickBot="1" x14ac:dyDescent="0.3">
      <c r="A56" s="20" t="s">
        <v>160</v>
      </c>
      <c r="B56" s="47"/>
      <c r="C56" s="55">
        <v>410257000</v>
      </c>
      <c r="D56" s="47"/>
      <c r="E56" s="55">
        <v>413848533.63</v>
      </c>
      <c r="F56" s="47"/>
      <c r="G56" s="55">
        <v>416731511.8217026</v>
      </c>
      <c r="H56" s="55">
        <v>420204855.1970942</v>
      </c>
      <c r="I56" s="55">
        <v>424258353.85931909</v>
      </c>
      <c r="J56" s="55">
        <v>428578266.59729481</v>
      </c>
      <c r="K56" s="55">
        <v>433287637.26321065</v>
      </c>
      <c r="L56" s="55">
        <v>437889928.2091434</v>
      </c>
      <c r="M56" s="55">
        <v>442669139.69558358</v>
      </c>
      <c r="N56" s="55">
        <v>447506490.26870102</v>
      </c>
      <c r="O56" s="55">
        <v>452385053.36790001</v>
      </c>
      <c r="P56" s="55">
        <v>457306238.87723237</v>
      </c>
      <c r="Q56" s="23" t="s">
        <v>1</v>
      </c>
      <c r="R56" s="23" t="s">
        <v>1</v>
      </c>
      <c r="S56" s="23" t="s">
        <v>1</v>
      </c>
    </row>
    <row r="57" spans="1:19" s="19" customFormat="1" ht="15.75" thickTop="1" x14ac:dyDescent="0.25">
      <c r="B57" s="40"/>
      <c r="D57" s="40"/>
      <c r="F57" s="40"/>
      <c r="Q57" s="23" t="s">
        <v>1</v>
      </c>
      <c r="R57" s="23" t="s">
        <v>1</v>
      </c>
      <c r="S57" s="23" t="s">
        <v>1</v>
      </c>
    </row>
    <row r="58" spans="1:19" s="19" customFormat="1" ht="14.25" hidden="1" customHeight="1" x14ac:dyDescent="0.25">
      <c r="B58" s="37"/>
      <c r="D58" s="37"/>
      <c r="F58" s="37"/>
      <c r="Q58" s="23" t="s">
        <v>1</v>
      </c>
      <c r="R58" s="23" t="s">
        <v>1</v>
      </c>
      <c r="S58" s="23" t="s">
        <v>1</v>
      </c>
    </row>
    <row r="59" spans="1:19" s="19" customFormat="1" ht="15.75" hidden="1" thickBot="1" x14ac:dyDescent="0.3">
      <c r="A59" s="24" t="s">
        <v>161</v>
      </c>
      <c r="B59" s="71"/>
      <c r="C59" s="69">
        <f t="shared" ref="C59:P59" si="0">ROUND(C49,0)-ROUND(C56,0)</f>
        <v>0</v>
      </c>
      <c r="D59" s="71"/>
      <c r="E59" s="69">
        <f t="shared" si="0"/>
        <v>0</v>
      </c>
      <c r="F59" s="71"/>
      <c r="G59" s="69">
        <f t="shared" si="0"/>
        <v>0</v>
      </c>
      <c r="H59" s="69">
        <f t="shared" si="0"/>
        <v>0</v>
      </c>
      <c r="I59" s="69">
        <f t="shared" si="0"/>
        <v>0</v>
      </c>
      <c r="J59" s="69">
        <f t="shared" si="0"/>
        <v>0</v>
      </c>
      <c r="K59" s="69">
        <f t="shared" si="0"/>
        <v>0</v>
      </c>
      <c r="L59" s="69">
        <f t="shared" si="0"/>
        <v>0</v>
      </c>
      <c r="M59" s="69">
        <f t="shared" si="0"/>
        <v>0</v>
      </c>
      <c r="N59" s="69">
        <f t="shared" si="0"/>
        <v>0</v>
      </c>
      <c r="O59" s="69">
        <f t="shared" si="0"/>
        <v>0</v>
      </c>
      <c r="P59" s="69">
        <f t="shared" si="0"/>
        <v>0</v>
      </c>
      <c r="Q59" s="23" t="s">
        <v>1</v>
      </c>
      <c r="R59" s="23" t="s">
        <v>1</v>
      </c>
      <c r="S59" s="23" t="s">
        <v>1</v>
      </c>
    </row>
    <row r="60" spans="1:19" s="19" customFormat="1" hidden="1" x14ac:dyDescent="0.25">
      <c r="A60" s="72" t="s">
        <v>162</v>
      </c>
      <c r="B60" s="73"/>
      <c r="C60" s="74" t="str">
        <f>IF(C59&lt;&gt;0,C4,"")</f>
        <v/>
      </c>
      <c r="D60" s="73"/>
      <c r="E60" s="75" t="str">
        <f>IF(E59&lt;&gt;0,IF(C60="",E$4,C60&amp;", "&amp;E$4),C60)</f>
        <v/>
      </c>
      <c r="F60" s="73"/>
      <c r="G60" s="75" t="str">
        <f>IF(G59&lt;&gt;0,IF(E60="",G$4,E60&amp;", "&amp;G$4),E60)</f>
        <v/>
      </c>
      <c r="H60" s="75" t="str">
        <f t="shared" ref="H60:P60" si="1">IF(H59&lt;&gt;0,IF(G60="",H$4,G60&amp;", "&amp;H$4),G60)</f>
        <v/>
      </c>
      <c r="I60" s="75" t="str">
        <f t="shared" si="1"/>
        <v/>
      </c>
      <c r="J60" s="75" t="str">
        <f t="shared" si="1"/>
        <v/>
      </c>
      <c r="K60" s="75" t="str">
        <f t="shared" si="1"/>
        <v/>
      </c>
      <c r="L60" s="75" t="str">
        <f t="shared" si="1"/>
        <v/>
      </c>
      <c r="M60" s="75" t="str">
        <f t="shared" si="1"/>
        <v/>
      </c>
      <c r="N60" s="75" t="str">
        <f t="shared" si="1"/>
        <v/>
      </c>
      <c r="O60" s="75" t="str">
        <f t="shared" si="1"/>
        <v/>
      </c>
      <c r="P60" s="75" t="str">
        <f t="shared" si="1"/>
        <v/>
      </c>
      <c r="Q60" s="23" t="s">
        <v>1</v>
      </c>
      <c r="R60" s="23" t="s">
        <v>1</v>
      </c>
      <c r="S60" s="23" t="s">
        <v>1</v>
      </c>
    </row>
    <row r="61" spans="1:19" s="19" customFormat="1" hidden="1" x14ac:dyDescent="0.25">
      <c r="B61" s="37"/>
      <c r="C61" s="49"/>
      <c r="D61" s="37"/>
      <c r="E61" s="49"/>
      <c r="F61" s="37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23" t="s">
        <v>1</v>
      </c>
      <c r="R61" s="23" t="s">
        <v>1</v>
      </c>
      <c r="S61" s="23" t="s">
        <v>1</v>
      </c>
    </row>
    <row r="62" spans="1:19" s="19" customFormat="1" hidden="1" x14ac:dyDescent="0.25">
      <c r="B62" s="37"/>
      <c r="D62" s="37"/>
      <c r="E62" s="19">
        <v>1</v>
      </c>
      <c r="F62" s="37"/>
      <c r="G62" s="19">
        <f>E62+1</f>
        <v>2</v>
      </c>
      <c r="H62" s="19">
        <f t="shared" ref="H62:P62" si="2">G62+1</f>
        <v>3</v>
      </c>
      <c r="I62" s="19">
        <f t="shared" si="2"/>
        <v>4</v>
      </c>
      <c r="J62" s="19">
        <f t="shared" si="2"/>
        <v>5</v>
      </c>
      <c r="K62" s="19">
        <f t="shared" si="2"/>
        <v>6</v>
      </c>
      <c r="L62" s="19">
        <f t="shared" si="2"/>
        <v>7</v>
      </c>
      <c r="M62" s="19">
        <f t="shared" si="2"/>
        <v>8</v>
      </c>
      <c r="N62" s="19">
        <f t="shared" si="2"/>
        <v>9</v>
      </c>
      <c r="O62" s="19">
        <f t="shared" si="2"/>
        <v>10</v>
      </c>
      <c r="P62" s="19">
        <f t="shared" si="2"/>
        <v>11</v>
      </c>
      <c r="Q62" s="23" t="s">
        <v>1</v>
      </c>
      <c r="R62" s="23" t="s">
        <v>1</v>
      </c>
      <c r="S62" s="23" t="s">
        <v>1</v>
      </c>
    </row>
    <row r="63" spans="1:19" s="19" customFormat="1" hidden="1" x14ac:dyDescent="0.25">
      <c r="B63" s="37"/>
      <c r="D63" s="37"/>
      <c r="F63" s="37"/>
      <c r="Q63" s="23" t="s">
        <v>1</v>
      </c>
      <c r="R63" s="23" t="s">
        <v>1</v>
      </c>
      <c r="S63" s="23" t="s">
        <v>1</v>
      </c>
    </row>
    <row r="64" spans="1:19" s="19" customFormat="1" hidden="1" x14ac:dyDescent="0.25">
      <c r="A64" s="24" t="s">
        <v>163</v>
      </c>
      <c r="B64" s="71"/>
      <c r="C64" s="19">
        <f>ROUND(SUM(C8:C13)+C27-C48,0)-ROUND(C56,0)</f>
        <v>0</v>
      </c>
      <c r="D64" s="71"/>
      <c r="E64" s="19">
        <f>ROUND(SUM(E8:E13)+E27-E48,0)-ROUND(E56,0)</f>
        <v>0</v>
      </c>
      <c r="F64" s="71"/>
      <c r="G64" s="19">
        <f t="shared" ref="G64:P64" si="3">ROUND(SUM(G8:G13)+G27-G48,0)-ROUND(G56,0)</f>
        <v>0</v>
      </c>
      <c r="H64" s="19">
        <f t="shared" si="3"/>
        <v>0</v>
      </c>
      <c r="I64" s="19">
        <f t="shared" si="3"/>
        <v>0</v>
      </c>
      <c r="J64" s="19">
        <f t="shared" si="3"/>
        <v>0</v>
      </c>
      <c r="K64" s="19">
        <f t="shared" si="3"/>
        <v>0</v>
      </c>
      <c r="L64" s="19">
        <f t="shared" si="3"/>
        <v>0</v>
      </c>
      <c r="M64" s="19">
        <f t="shared" si="3"/>
        <v>0</v>
      </c>
      <c r="N64" s="19">
        <f t="shared" si="3"/>
        <v>0</v>
      </c>
      <c r="O64" s="19">
        <f t="shared" si="3"/>
        <v>0</v>
      </c>
      <c r="P64" s="19">
        <f t="shared" si="3"/>
        <v>0</v>
      </c>
      <c r="Q64" s="23" t="s">
        <v>1</v>
      </c>
      <c r="R64" s="23" t="s">
        <v>1</v>
      </c>
      <c r="S64" s="23" t="s">
        <v>1</v>
      </c>
    </row>
    <row r="65" spans="1:19" s="19" customFormat="1" hidden="1" x14ac:dyDescent="0.25">
      <c r="A65" s="24" t="s">
        <v>164</v>
      </c>
      <c r="B65" s="71"/>
      <c r="C65" s="19">
        <f>IF(AND(ABS(C64)&gt;0,OR(ABS(C64)&lt;1,ABS(C64)=1)),SUM(C8:C13)+C27-C48-C56,0)</f>
        <v>0</v>
      </c>
      <c r="D65" s="71"/>
      <c r="E65" s="19">
        <f>IF(AND(ABS(E64)&gt;0,OR(ABS(E64)&lt;1,ABS(E64)=1)),SUM(E8:E13)+E27-E48-E56,0)</f>
        <v>0</v>
      </c>
      <c r="F65" s="71"/>
      <c r="G65" s="19">
        <f t="shared" ref="G65:P65" si="4">IF(AND(ABS(G64)&gt;0,OR(ABS(G64)&lt;1,ABS(G64)=1)),SUM(G8:G13)+G27-G48-G56,0)</f>
        <v>0</v>
      </c>
      <c r="H65" s="19">
        <f t="shared" si="4"/>
        <v>0</v>
      </c>
      <c r="I65" s="19">
        <f t="shared" si="4"/>
        <v>0</v>
      </c>
      <c r="J65" s="19">
        <f t="shared" si="4"/>
        <v>0</v>
      </c>
      <c r="K65" s="19">
        <f t="shared" si="4"/>
        <v>0</v>
      </c>
      <c r="L65" s="19">
        <f t="shared" si="4"/>
        <v>0</v>
      </c>
      <c r="M65" s="19">
        <f t="shared" si="4"/>
        <v>0</v>
      </c>
      <c r="N65" s="19">
        <f t="shared" si="4"/>
        <v>0</v>
      </c>
      <c r="O65" s="19">
        <f t="shared" si="4"/>
        <v>0</v>
      </c>
      <c r="P65" s="19">
        <f t="shared" si="4"/>
        <v>0</v>
      </c>
      <c r="Q65" s="23" t="s">
        <v>1</v>
      </c>
      <c r="R65" s="23" t="s">
        <v>1</v>
      </c>
      <c r="S65" s="23" t="s">
        <v>1</v>
      </c>
    </row>
    <row r="66" spans="1:19" s="19" customFormat="1" hidden="1" x14ac:dyDescent="0.25">
      <c r="B66" s="37"/>
      <c r="D66" s="37"/>
      <c r="F66" s="37"/>
      <c r="Q66" s="23" t="s">
        <v>1</v>
      </c>
      <c r="R66" s="23" t="s">
        <v>1</v>
      </c>
      <c r="S66" s="23" t="s">
        <v>1</v>
      </c>
    </row>
    <row r="67" spans="1:19" s="19" customFormat="1" hidden="1" x14ac:dyDescent="0.25">
      <c r="B67" s="37"/>
      <c r="D67" s="37"/>
      <c r="F67" s="37"/>
      <c r="Q67" s="23" t="s">
        <v>1</v>
      </c>
      <c r="R67" s="23" t="s">
        <v>1</v>
      </c>
      <c r="S67" s="23" t="s">
        <v>1</v>
      </c>
    </row>
    <row r="68" spans="1:19" s="19" customFormat="1" ht="15.75" hidden="1" thickBot="1" x14ac:dyDescent="0.3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23" t="s">
        <v>1</v>
      </c>
      <c r="R68" s="23" t="s">
        <v>1</v>
      </c>
      <c r="S68" s="23" t="s">
        <v>1</v>
      </c>
    </row>
    <row r="69" spans="1:19" s="19" customFormat="1" hidden="1" x14ac:dyDescent="0.25">
      <c r="B69" s="37"/>
      <c r="D69" s="37"/>
      <c r="F69" s="37"/>
      <c r="Q69" s="23" t="s">
        <v>1</v>
      </c>
      <c r="R69" s="23" t="s">
        <v>1</v>
      </c>
      <c r="S69" s="23" t="s">
        <v>1</v>
      </c>
    </row>
    <row r="70" spans="1:19" s="19" customFormat="1" hidden="1" x14ac:dyDescent="0.25">
      <c r="A70" s="25"/>
      <c r="B70" s="49"/>
      <c r="D70" s="49"/>
      <c r="F70" s="49"/>
      <c r="Q70" s="23" t="s">
        <v>1</v>
      </c>
      <c r="R70" s="23" t="s">
        <v>1</v>
      </c>
      <c r="S70" s="23" t="s">
        <v>1</v>
      </c>
    </row>
    <row r="71" spans="1:19" hidden="1" x14ac:dyDescent="0.25">
      <c r="A71" s="4" t="s">
        <v>165</v>
      </c>
      <c r="B71" s="77"/>
      <c r="C71" s="4">
        <f>SUM('[1]Historical Data'!C926)*1000</f>
        <v>0</v>
      </c>
      <c r="D71" s="77"/>
      <c r="E71" s="4">
        <f>'[1]BS workings'!E276</f>
        <v>0</v>
      </c>
      <c r="F71" s="77"/>
      <c r="G71" s="4">
        <f>'[1]BS workings'!G276</f>
        <v>0</v>
      </c>
      <c r="H71" s="4">
        <f>'[1]BS workings'!H276</f>
        <v>0</v>
      </c>
      <c r="I71" s="4">
        <f>'[1]BS workings'!I276</f>
        <v>0</v>
      </c>
      <c r="J71" s="4">
        <f>'[1]BS workings'!J276</f>
        <v>0</v>
      </c>
      <c r="K71" s="4">
        <f>'[1]BS workings'!K276</f>
        <v>0</v>
      </c>
      <c r="L71" s="4">
        <f>'[1]BS workings'!L276</f>
        <v>0</v>
      </c>
      <c r="M71" s="4">
        <f>'[1]BS workings'!M276</f>
        <v>0</v>
      </c>
      <c r="N71" s="4">
        <f>'[1]BS workings'!N276</f>
        <v>0</v>
      </c>
      <c r="O71" s="4">
        <f>'[1]BS workings'!O276</f>
        <v>0</v>
      </c>
      <c r="P71" s="4">
        <f>'[1]BS workings'!P276</f>
        <v>0</v>
      </c>
      <c r="Q71" s="63" t="s">
        <v>1</v>
      </c>
      <c r="R71" s="63" t="s">
        <v>1</v>
      </c>
      <c r="S71" s="63" t="s">
        <v>1</v>
      </c>
    </row>
    <row r="72" spans="1:19" hidden="1" x14ac:dyDescent="0.25">
      <c r="A72" s="4" t="s">
        <v>166</v>
      </c>
      <c r="B72" s="77"/>
      <c r="C72" s="4">
        <f>SUM('[1]Historical Data'!C927)*1000</f>
        <v>0</v>
      </c>
      <c r="D72" s="77"/>
      <c r="E72" s="4">
        <f>'[1]BS workings'!E277</f>
        <v>0</v>
      </c>
      <c r="F72" s="77"/>
      <c r="G72" s="4">
        <f>'[1]BS workings'!G277</f>
        <v>0</v>
      </c>
      <c r="H72" s="4">
        <f>'[1]BS workings'!H277</f>
        <v>0</v>
      </c>
      <c r="I72" s="4">
        <f>'[1]BS workings'!I277</f>
        <v>0</v>
      </c>
      <c r="J72" s="4">
        <f>'[1]BS workings'!J277</f>
        <v>0</v>
      </c>
      <c r="K72" s="4">
        <f>'[1]BS workings'!K277</f>
        <v>0</v>
      </c>
      <c r="L72" s="4">
        <f>'[1]BS workings'!L277</f>
        <v>0</v>
      </c>
      <c r="M72" s="4">
        <f>'[1]BS workings'!M277</f>
        <v>0</v>
      </c>
      <c r="N72" s="4">
        <f>'[1]BS workings'!N277</f>
        <v>0</v>
      </c>
      <c r="O72" s="4">
        <f>'[1]BS workings'!O277</f>
        <v>0</v>
      </c>
      <c r="P72" s="4">
        <f>'[1]BS workings'!P277</f>
        <v>0</v>
      </c>
      <c r="Q72" s="63" t="s">
        <v>1</v>
      </c>
      <c r="R72" s="63" t="s">
        <v>1</v>
      </c>
      <c r="S72" s="63" t="s">
        <v>1</v>
      </c>
    </row>
    <row r="73" spans="1:19" hidden="1" x14ac:dyDescent="0.25">
      <c r="Q73" s="63" t="s">
        <v>1</v>
      </c>
      <c r="R73" s="63" t="s">
        <v>1</v>
      </c>
      <c r="S73" s="63" t="s">
        <v>1</v>
      </c>
    </row>
    <row r="74" spans="1:19" hidden="1" x14ac:dyDescent="0.25">
      <c r="A74" s="4" t="s">
        <v>167</v>
      </c>
      <c r="C74" s="4">
        <f>SUM('[1]Historical Data'!C1148)*1000</f>
        <v>0</v>
      </c>
      <c r="E74" s="4">
        <f>'[1]BS workings'!E839</f>
        <v>0</v>
      </c>
      <c r="G74" s="4">
        <f>'[1]BS workings'!G839</f>
        <v>0</v>
      </c>
      <c r="H74" s="4">
        <f>'[1]BS workings'!H839</f>
        <v>0</v>
      </c>
      <c r="I74" s="4">
        <f>'[1]BS workings'!I839</f>
        <v>0</v>
      </c>
      <c r="J74" s="4">
        <f>'[1]BS workings'!J839</f>
        <v>0</v>
      </c>
      <c r="K74" s="4">
        <f>'[1]BS workings'!K839</f>
        <v>0</v>
      </c>
      <c r="L74" s="4">
        <f>'[1]BS workings'!L839</f>
        <v>0</v>
      </c>
      <c r="M74" s="4">
        <f>'[1]BS workings'!M839</f>
        <v>0</v>
      </c>
      <c r="N74" s="4">
        <f>'[1]BS workings'!N839</f>
        <v>0</v>
      </c>
      <c r="O74" s="4">
        <f>'[1]BS workings'!O839</f>
        <v>0</v>
      </c>
      <c r="P74" s="4">
        <f>'[1]BS workings'!P839</f>
        <v>0</v>
      </c>
      <c r="Q74" s="63" t="s">
        <v>1</v>
      </c>
      <c r="R74" s="63" t="s">
        <v>1</v>
      </c>
      <c r="S74" s="63" t="s">
        <v>1</v>
      </c>
    </row>
    <row r="75" spans="1:19" hidden="1" x14ac:dyDescent="0.25">
      <c r="A75" s="4" t="s">
        <v>168</v>
      </c>
      <c r="C75" s="4">
        <f>SUM('[1]Historical Data'!C1149)*1000</f>
        <v>0</v>
      </c>
      <c r="E75" s="4">
        <f>'[1]BS workings'!E840</f>
        <v>0</v>
      </c>
      <c r="G75" s="4">
        <f>'[1]BS workings'!G840</f>
        <v>0</v>
      </c>
      <c r="H75" s="4">
        <f>'[1]BS workings'!H840</f>
        <v>0</v>
      </c>
      <c r="I75" s="4">
        <f>'[1]BS workings'!I840</f>
        <v>0</v>
      </c>
      <c r="J75" s="4">
        <f>'[1]BS workings'!J840</f>
        <v>0</v>
      </c>
      <c r="K75" s="4">
        <f>'[1]BS workings'!K840</f>
        <v>0</v>
      </c>
      <c r="L75" s="4">
        <f>'[1]BS workings'!L840</f>
        <v>0</v>
      </c>
      <c r="M75" s="4">
        <f>'[1]BS workings'!M840</f>
        <v>0</v>
      </c>
      <c r="N75" s="4">
        <f>'[1]BS workings'!N840</f>
        <v>0</v>
      </c>
      <c r="O75" s="4">
        <f>'[1]BS workings'!O840</f>
        <v>0</v>
      </c>
      <c r="P75" s="4">
        <f>'[1]BS workings'!P840</f>
        <v>0</v>
      </c>
      <c r="Q75" s="63" t="s">
        <v>1</v>
      </c>
      <c r="R75" s="63" t="s">
        <v>1</v>
      </c>
      <c r="S75" s="63" t="s">
        <v>1</v>
      </c>
    </row>
    <row r="76" spans="1:19" hidden="1" x14ac:dyDescent="0.25">
      <c r="Q76" s="63" t="s">
        <v>1</v>
      </c>
      <c r="R76" s="63" t="s">
        <v>1</v>
      </c>
      <c r="S76" s="63" t="s">
        <v>1</v>
      </c>
    </row>
    <row r="77" spans="1:19" hidden="1" x14ac:dyDescent="0.25">
      <c r="A77" s="78" t="s">
        <v>169</v>
      </c>
      <c r="E77" s="4">
        <f>'[1]BS workings'!E48</f>
        <v>16205371.602352718</v>
      </c>
      <c r="G77" s="4">
        <f ca="1">'[1]BS workings'!G48</f>
        <v>12210973.674641291</v>
      </c>
      <c r="H77" s="4">
        <f ca="1">'[1]BS workings'!H48</f>
        <v>12040104.00252589</v>
      </c>
      <c r="I77" s="4">
        <f ca="1">'[1]BS workings'!I48</f>
        <v>11964801.64971667</v>
      </c>
      <c r="J77" s="4">
        <f ca="1">'[1]BS workings'!J48</f>
        <v>11733045.578884056</v>
      </c>
      <c r="K77" s="4">
        <f ca="1">'[1]BS workings'!K48</f>
        <v>12100932.385998407</v>
      </c>
      <c r="L77" s="4">
        <f ca="1">'[1]BS workings'!L48</f>
        <v>13102385.578271221</v>
      </c>
      <c r="M77" s="4">
        <f ca="1">'[1]BS workings'!M48</f>
        <v>14239207.231150996</v>
      </c>
      <c r="N77" s="4">
        <f ca="1">'[1]BS workings'!N48</f>
        <v>16540899.482639484</v>
      </c>
      <c r="O77" s="4">
        <f ca="1">'[1]BS workings'!O48</f>
        <v>18878037.498770811</v>
      </c>
      <c r="P77" s="4">
        <f ca="1">'[1]BS workings'!P48</f>
        <v>20348703.362976443</v>
      </c>
      <c r="Q77" s="63" t="s">
        <v>1</v>
      </c>
      <c r="R77" s="63" t="s">
        <v>1</v>
      </c>
      <c r="S77" s="63" t="s">
        <v>1</v>
      </c>
    </row>
    <row r="78" spans="1:19" hidden="1" x14ac:dyDescent="0.25">
      <c r="A78" s="78" t="s">
        <v>170</v>
      </c>
      <c r="E78" s="4">
        <f>'[1]BS workings'!E49</f>
        <v>0</v>
      </c>
      <c r="G78" s="4">
        <f ca="1">'[1]BS workings'!G49</f>
        <v>0</v>
      </c>
      <c r="H78" s="4">
        <f ca="1">'[1]BS workings'!H49</f>
        <v>0</v>
      </c>
      <c r="I78" s="4">
        <f ca="1">'[1]BS workings'!I49</f>
        <v>0</v>
      </c>
      <c r="J78" s="4">
        <f ca="1">'[1]BS workings'!J49</f>
        <v>0</v>
      </c>
      <c r="K78" s="4">
        <f ca="1">'[1]BS workings'!K49</f>
        <v>0</v>
      </c>
      <c r="L78" s="4">
        <f ca="1">'[1]BS workings'!L49</f>
        <v>0</v>
      </c>
      <c r="M78" s="4">
        <f ca="1">'[1]BS workings'!M49</f>
        <v>0</v>
      </c>
      <c r="N78" s="4">
        <f ca="1">'[1]BS workings'!N49</f>
        <v>0</v>
      </c>
      <c r="O78" s="4">
        <f ca="1">'[1]BS workings'!O49</f>
        <v>0</v>
      </c>
      <c r="P78" s="4">
        <f ca="1">'[1]BS workings'!P49</f>
        <v>0</v>
      </c>
      <c r="Q78" s="63" t="s">
        <v>1</v>
      </c>
      <c r="R78" s="63" t="s">
        <v>1</v>
      </c>
      <c r="S78" s="63" t="s">
        <v>1</v>
      </c>
    </row>
    <row r="79" spans="1:19" hidden="1" x14ac:dyDescent="0.25">
      <c r="Q79" s="63" t="s">
        <v>1</v>
      </c>
      <c r="R79" s="63" t="s">
        <v>1</v>
      </c>
      <c r="S79" s="63" t="s">
        <v>1</v>
      </c>
    </row>
    <row r="80" spans="1:19" hidden="1" x14ac:dyDescent="0.25">
      <c r="Q80" s="63" t="s">
        <v>1</v>
      </c>
      <c r="R80" s="63" t="s">
        <v>1</v>
      </c>
      <c r="S80" s="63" t="s">
        <v>1</v>
      </c>
    </row>
    <row r="81" spans="1:19" hidden="1" x14ac:dyDescent="0.25">
      <c r="Q81" s="63" t="s">
        <v>1</v>
      </c>
      <c r="R81" s="63" t="s">
        <v>1</v>
      </c>
      <c r="S81" s="63" t="s">
        <v>1</v>
      </c>
    </row>
    <row r="82" spans="1:19" hidden="1" x14ac:dyDescent="0.25">
      <c r="Q82" s="63" t="s">
        <v>1</v>
      </c>
      <c r="R82" s="63" t="s">
        <v>1</v>
      </c>
      <c r="S82" s="63" t="s">
        <v>1</v>
      </c>
    </row>
    <row r="83" spans="1:19" hidden="1" x14ac:dyDescent="0.25">
      <c r="A83" s="1" t="s">
        <v>2</v>
      </c>
      <c r="B83" s="1" t="s">
        <v>2</v>
      </c>
      <c r="C83" s="1" t="s">
        <v>2</v>
      </c>
      <c r="D83" s="1" t="s">
        <v>2</v>
      </c>
      <c r="E83" s="1" t="s">
        <v>2</v>
      </c>
      <c r="F83" s="1" t="s">
        <v>2</v>
      </c>
      <c r="G83" s="1" t="s">
        <v>2</v>
      </c>
      <c r="H83" s="1" t="s">
        <v>2</v>
      </c>
      <c r="I83" s="1" t="s">
        <v>2</v>
      </c>
      <c r="J83" s="1" t="s">
        <v>2</v>
      </c>
      <c r="K83" s="1" t="s">
        <v>2</v>
      </c>
      <c r="L83" s="1" t="s">
        <v>2</v>
      </c>
      <c r="M83" s="1" t="s">
        <v>2</v>
      </c>
      <c r="N83" s="1" t="s">
        <v>2</v>
      </c>
      <c r="O83" s="1" t="s">
        <v>2</v>
      </c>
      <c r="P83" s="1" t="s">
        <v>2</v>
      </c>
      <c r="Q83" s="63" t="s">
        <v>1</v>
      </c>
      <c r="R83" s="63" t="s">
        <v>1</v>
      </c>
      <c r="S83" s="63" t="s">
        <v>1</v>
      </c>
    </row>
    <row r="84" spans="1:19" ht="30" customHeight="1" x14ac:dyDescent="0.25">
      <c r="A84" s="5" t="s">
        <v>1</v>
      </c>
      <c r="B84" s="5" t="s">
        <v>1</v>
      </c>
      <c r="C84" s="5" t="s">
        <v>1</v>
      </c>
      <c r="D84" s="5" t="s">
        <v>1</v>
      </c>
      <c r="E84" s="5" t="s">
        <v>1</v>
      </c>
      <c r="F84" s="5" t="s">
        <v>1</v>
      </c>
      <c r="G84" s="5" t="s">
        <v>1</v>
      </c>
      <c r="H84" s="5" t="s">
        <v>1</v>
      </c>
      <c r="I84" s="5" t="s">
        <v>1</v>
      </c>
      <c r="J84" s="5" t="s">
        <v>1</v>
      </c>
      <c r="K84" s="5" t="s">
        <v>1</v>
      </c>
      <c r="L84" s="5" t="s">
        <v>1</v>
      </c>
      <c r="M84" s="5" t="s">
        <v>1</v>
      </c>
      <c r="N84" s="5" t="s">
        <v>1</v>
      </c>
      <c r="O84" s="5" t="s">
        <v>1</v>
      </c>
      <c r="P84" s="5" t="s">
        <v>1</v>
      </c>
      <c r="Q84" s="63" t="s">
        <v>1</v>
      </c>
      <c r="R84" s="63" t="s">
        <v>1</v>
      </c>
      <c r="S84" s="63" t="s">
        <v>1</v>
      </c>
    </row>
    <row r="85" spans="1:19" ht="30" customHeight="1" x14ac:dyDescent="0.25">
      <c r="A85" s="5" t="s">
        <v>1</v>
      </c>
      <c r="B85" s="5" t="s">
        <v>1</v>
      </c>
      <c r="C85" s="5" t="s">
        <v>1</v>
      </c>
      <c r="D85" s="5" t="s">
        <v>1</v>
      </c>
      <c r="E85" s="5" t="s">
        <v>1</v>
      </c>
      <c r="F85" s="5" t="s">
        <v>1</v>
      </c>
      <c r="G85" s="5" t="s">
        <v>1</v>
      </c>
      <c r="H85" s="5" t="s">
        <v>1</v>
      </c>
      <c r="I85" s="5" t="s">
        <v>1</v>
      </c>
      <c r="J85" s="5" t="s">
        <v>1</v>
      </c>
      <c r="K85" s="5" t="s">
        <v>1</v>
      </c>
      <c r="L85" s="5" t="s">
        <v>1</v>
      </c>
      <c r="M85" s="5" t="s">
        <v>1</v>
      </c>
      <c r="N85" s="5" t="s">
        <v>1</v>
      </c>
      <c r="O85" s="5" t="s">
        <v>1</v>
      </c>
      <c r="P85" s="5" t="s">
        <v>1</v>
      </c>
      <c r="Q85" s="63" t="s">
        <v>1</v>
      </c>
      <c r="R85" s="63" t="s">
        <v>1</v>
      </c>
      <c r="S85" s="63" t="s">
        <v>1</v>
      </c>
    </row>
    <row r="86" spans="1:19" ht="30" customHeight="1" x14ac:dyDescent="0.25">
      <c r="A86" s="5" t="s">
        <v>1</v>
      </c>
      <c r="B86" s="5" t="s">
        <v>1</v>
      </c>
      <c r="C86" s="5" t="s">
        <v>1</v>
      </c>
      <c r="D86" s="5" t="s">
        <v>1</v>
      </c>
      <c r="E86" s="5" t="s">
        <v>1</v>
      </c>
      <c r="F86" s="5" t="s">
        <v>1</v>
      </c>
      <c r="G86" s="5" t="s">
        <v>1</v>
      </c>
      <c r="H86" s="5" t="s">
        <v>1</v>
      </c>
      <c r="I86" s="5" t="s">
        <v>1</v>
      </c>
      <c r="J86" s="5" t="s">
        <v>1</v>
      </c>
      <c r="K86" s="5" t="s">
        <v>1</v>
      </c>
      <c r="L86" s="5" t="s">
        <v>1</v>
      </c>
      <c r="M86" s="5" t="s">
        <v>1</v>
      </c>
      <c r="N86" s="5" t="s">
        <v>1</v>
      </c>
      <c r="O86" s="5" t="s">
        <v>1</v>
      </c>
      <c r="P86" s="5" t="s">
        <v>1</v>
      </c>
      <c r="Q86" s="63" t="s">
        <v>1</v>
      </c>
      <c r="R86" s="63" t="s">
        <v>1</v>
      </c>
      <c r="S86" s="63" t="s">
        <v>1</v>
      </c>
    </row>
    <row r="87" spans="1:19" ht="30" customHeight="1" x14ac:dyDescent="0.25">
      <c r="A87" s="5" t="s">
        <v>1</v>
      </c>
      <c r="B87" s="5" t="s">
        <v>1</v>
      </c>
      <c r="C87" s="5" t="s">
        <v>1</v>
      </c>
      <c r="D87" s="5" t="s">
        <v>1</v>
      </c>
      <c r="E87" s="5" t="s">
        <v>1</v>
      </c>
      <c r="F87" s="5" t="s">
        <v>1</v>
      </c>
      <c r="G87" s="5" t="s">
        <v>1</v>
      </c>
      <c r="H87" s="5" t="s">
        <v>1</v>
      </c>
      <c r="I87" s="5" t="s">
        <v>1</v>
      </c>
      <c r="J87" s="5" t="s">
        <v>1</v>
      </c>
      <c r="K87" s="5" t="s">
        <v>1</v>
      </c>
      <c r="L87" s="5" t="s">
        <v>1</v>
      </c>
      <c r="M87" s="5" t="s">
        <v>1</v>
      </c>
      <c r="N87" s="5" t="s">
        <v>1</v>
      </c>
      <c r="O87" s="5" t="s">
        <v>1</v>
      </c>
      <c r="P87" s="5" t="s">
        <v>1</v>
      </c>
      <c r="Q87" s="63" t="s">
        <v>1</v>
      </c>
      <c r="R87" s="63" t="s">
        <v>1</v>
      </c>
      <c r="S87" s="63" t="s">
        <v>1</v>
      </c>
    </row>
    <row r="88" spans="1:19" ht="30" customHeight="1" x14ac:dyDescent="0.25">
      <c r="A88" s="5" t="s">
        <v>1</v>
      </c>
      <c r="B88" s="5" t="s">
        <v>1</v>
      </c>
      <c r="C88" s="5" t="s">
        <v>1</v>
      </c>
      <c r="D88" s="5" t="s">
        <v>1</v>
      </c>
      <c r="E88" s="5" t="s">
        <v>1</v>
      </c>
      <c r="F88" s="5" t="s">
        <v>1</v>
      </c>
      <c r="G88" s="5" t="s">
        <v>1</v>
      </c>
      <c r="H88" s="5" t="s">
        <v>1</v>
      </c>
      <c r="I88" s="5" t="s">
        <v>1</v>
      </c>
      <c r="J88" s="5" t="s">
        <v>1</v>
      </c>
      <c r="K88" s="5" t="s">
        <v>1</v>
      </c>
      <c r="L88" s="5" t="s">
        <v>1</v>
      </c>
      <c r="M88" s="5" t="s">
        <v>1</v>
      </c>
      <c r="N88" s="5" t="s">
        <v>1</v>
      </c>
      <c r="O88" s="5" t="s">
        <v>1</v>
      </c>
      <c r="P88" s="5" t="s">
        <v>1</v>
      </c>
      <c r="Q88" s="63" t="s">
        <v>1</v>
      </c>
      <c r="R88" s="63" t="s">
        <v>1</v>
      </c>
      <c r="S88" s="63" t="s">
        <v>1</v>
      </c>
    </row>
    <row r="89" spans="1:19" ht="30" customHeight="1" x14ac:dyDescent="0.25">
      <c r="A89" s="5" t="s">
        <v>1</v>
      </c>
      <c r="B89" s="5" t="s">
        <v>1</v>
      </c>
      <c r="C89" s="5" t="s">
        <v>1</v>
      </c>
      <c r="D89" s="5" t="s">
        <v>1</v>
      </c>
      <c r="E89" s="5" t="s">
        <v>1</v>
      </c>
      <c r="F89" s="5" t="s">
        <v>1</v>
      </c>
      <c r="G89" s="5" t="s">
        <v>1</v>
      </c>
      <c r="H89" s="5" t="s">
        <v>1</v>
      </c>
      <c r="I89" s="5" t="s">
        <v>1</v>
      </c>
      <c r="J89" s="5" t="s">
        <v>1</v>
      </c>
      <c r="K89" s="5" t="s">
        <v>1</v>
      </c>
      <c r="L89" s="5" t="s">
        <v>1</v>
      </c>
      <c r="M89" s="5" t="s">
        <v>1</v>
      </c>
      <c r="N89" s="5" t="s">
        <v>1</v>
      </c>
      <c r="O89" s="5" t="s">
        <v>1</v>
      </c>
      <c r="P89" s="5" t="s">
        <v>1</v>
      </c>
      <c r="Q89" s="63" t="s">
        <v>1</v>
      </c>
      <c r="R89" s="63" t="s">
        <v>1</v>
      </c>
      <c r="S89" s="63" t="s">
        <v>1</v>
      </c>
    </row>
    <row r="90" spans="1:19" ht="30" customHeight="1" x14ac:dyDescent="0.25">
      <c r="A90" s="5" t="s">
        <v>1</v>
      </c>
      <c r="B90" s="5" t="s">
        <v>1</v>
      </c>
      <c r="C90" s="5" t="s">
        <v>1</v>
      </c>
      <c r="D90" s="5" t="s">
        <v>1</v>
      </c>
      <c r="E90" s="5" t="s">
        <v>1</v>
      </c>
      <c r="F90" s="5" t="s">
        <v>1</v>
      </c>
      <c r="G90" s="5" t="s">
        <v>1</v>
      </c>
      <c r="H90" s="5" t="s">
        <v>1</v>
      </c>
      <c r="I90" s="5" t="s">
        <v>1</v>
      </c>
      <c r="J90" s="5" t="s">
        <v>1</v>
      </c>
      <c r="K90" s="5" t="s">
        <v>1</v>
      </c>
      <c r="L90" s="5" t="s">
        <v>1</v>
      </c>
      <c r="M90" s="5" t="s">
        <v>1</v>
      </c>
      <c r="N90" s="5" t="s">
        <v>1</v>
      </c>
      <c r="O90" s="5" t="s">
        <v>1</v>
      </c>
      <c r="P90" s="5" t="s">
        <v>1</v>
      </c>
      <c r="Q90" s="63" t="s">
        <v>1</v>
      </c>
      <c r="R90" s="63" t="s">
        <v>1</v>
      </c>
      <c r="S90" s="63" t="s">
        <v>1</v>
      </c>
    </row>
    <row r="139" s="19" customFormat="1" x14ac:dyDescent="0.25"/>
    <row r="140" s="19" customFormat="1" x14ac:dyDescent="0.25"/>
    <row r="141" s="19" customFormat="1" x14ac:dyDescent="0.25"/>
    <row r="142" s="19" customFormat="1" x14ac:dyDescent="0.25"/>
    <row r="143" s="19" customFormat="1" x14ac:dyDescent="0.25"/>
    <row r="144" s="19" customFormat="1" x14ac:dyDescent="0.25"/>
    <row r="145" s="19" customFormat="1" x14ac:dyDescent="0.25"/>
    <row r="146" s="19" customFormat="1" x14ac:dyDescent="0.25"/>
    <row r="147" s="19" customFormat="1" x14ac:dyDescent="0.25"/>
    <row r="148" s="19" customFormat="1" x14ac:dyDescent="0.25"/>
    <row r="149" s="19" customFormat="1" x14ac:dyDescent="0.25"/>
    <row r="150" s="19" customFormat="1" x14ac:dyDescent="0.25"/>
    <row r="151" s="19" customFormat="1" x14ac:dyDescent="0.25"/>
    <row r="152" s="19" customFormat="1" x14ac:dyDescent="0.25"/>
    <row r="153" s="19" customFormat="1" x14ac:dyDescent="0.25"/>
    <row r="154" s="19" customFormat="1" x14ac:dyDescent="0.25"/>
    <row r="155" s="19" customFormat="1" x14ac:dyDescent="0.25"/>
    <row r="156" s="19" customFormat="1" x14ac:dyDescent="0.25"/>
    <row r="157" s="19" customFormat="1" x14ac:dyDescent="0.25"/>
    <row r="158" s="19" customFormat="1" x14ac:dyDescent="0.25"/>
    <row r="159" s="19" customFormat="1" x14ac:dyDescent="0.25"/>
    <row r="160" s="19" customFormat="1" x14ac:dyDescent="0.25"/>
    <row r="161" s="19" customFormat="1" x14ac:dyDescent="0.25"/>
    <row r="162" s="19" customFormat="1" x14ac:dyDescent="0.25"/>
    <row r="163" s="19" customFormat="1" x14ac:dyDescent="0.25"/>
    <row r="164" s="19" customFormat="1" x14ac:dyDescent="0.25"/>
    <row r="165" s="19" customFormat="1" x14ac:dyDescent="0.25"/>
    <row r="166" s="19" customFormat="1" x14ac:dyDescent="0.25"/>
    <row r="167" s="19" customFormat="1" x14ac:dyDescent="0.25"/>
    <row r="168" s="19" customFormat="1" x14ac:dyDescent="0.25"/>
    <row r="169" s="19" customFormat="1" x14ac:dyDescent="0.25"/>
    <row r="170" s="19" customFormat="1" x14ac:dyDescent="0.25"/>
    <row r="171" s="19" customFormat="1" x14ac:dyDescent="0.25"/>
    <row r="172" s="19" customFormat="1" x14ac:dyDescent="0.25"/>
    <row r="173" s="19" customFormat="1" x14ac:dyDescent="0.25"/>
    <row r="174" s="19" customFormat="1" x14ac:dyDescent="0.25"/>
    <row r="175" s="19" customFormat="1" x14ac:dyDescent="0.25"/>
    <row r="176" s="19" customFormat="1" x14ac:dyDescent="0.25"/>
    <row r="177" s="19" customFormat="1" x14ac:dyDescent="0.25"/>
    <row r="178" s="19" customFormat="1" x14ac:dyDescent="0.25"/>
    <row r="179" s="19" customFormat="1" x14ac:dyDescent="0.25"/>
    <row r="180" s="19" customFormat="1" x14ac:dyDescent="0.25"/>
    <row r="181" s="19" customFormat="1" x14ac:dyDescent="0.25"/>
    <row r="182" s="19" customFormat="1" x14ac:dyDescent="0.25"/>
    <row r="183" s="19" customFormat="1" x14ac:dyDescent="0.25"/>
    <row r="184" s="19" customFormat="1" x14ac:dyDescent="0.25"/>
    <row r="185" s="19" customFormat="1" x14ac:dyDescent="0.25"/>
    <row r="186" s="19" customFormat="1" x14ac:dyDescent="0.25"/>
    <row r="187" s="19" customFormat="1" x14ac:dyDescent="0.25"/>
    <row r="188" s="19" customFormat="1" x14ac:dyDescent="0.25"/>
    <row r="189" s="19" customFormat="1" x14ac:dyDescent="0.25"/>
    <row r="190" s="19" customFormat="1" x14ac:dyDescent="0.25"/>
    <row r="191" s="19" customFormat="1" x14ac:dyDescent="0.25"/>
    <row r="192" s="19" customFormat="1" x14ac:dyDescent="0.25"/>
    <row r="193" s="19" customFormat="1" x14ac:dyDescent="0.25"/>
    <row r="194" s="19" customFormat="1" x14ac:dyDescent="0.25"/>
    <row r="195" s="19" customFormat="1" x14ac:dyDescent="0.25"/>
    <row r="196" s="19" customFormat="1" x14ac:dyDescent="0.25"/>
    <row r="197" s="19" customFormat="1" x14ac:dyDescent="0.25"/>
    <row r="198" s="19" customFormat="1" x14ac:dyDescent="0.25"/>
    <row r="199" s="19" customFormat="1" x14ac:dyDescent="0.25"/>
    <row r="200" s="19" customFormat="1" x14ac:dyDescent="0.25"/>
    <row r="201" s="19" customFormat="1" x14ac:dyDescent="0.25"/>
    <row r="202" s="19" customFormat="1" x14ac:dyDescent="0.25"/>
    <row r="203" s="19" customFormat="1" x14ac:dyDescent="0.25"/>
    <row r="204" s="19" customFormat="1" x14ac:dyDescent="0.25"/>
    <row r="205" s="19" customFormat="1" x14ac:dyDescent="0.25"/>
    <row r="206" s="19" customFormat="1" x14ac:dyDescent="0.25"/>
    <row r="207" s="19" customFormat="1" x14ac:dyDescent="0.25"/>
    <row r="208" s="19" customFormat="1" x14ac:dyDescent="0.25"/>
    <row r="209" s="19" customFormat="1" x14ac:dyDescent="0.25"/>
    <row r="210" s="19" customFormat="1" x14ac:dyDescent="0.25"/>
    <row r="211" s="19" customFormat="1" x14ac:dyDescent="0.25"/>
    <row r="212" s="19" customFormat="1" x14ac:dyDescent="0.25"/>
    <row r="213" s="19" customFormat="1" x14ac:dyDescent="0.25"/>
    <row r="214" s="19" customFormat="1" x14ac:dyDescent="0.25"/>
    <row r="215" s="19" customFormat="1" x14ac:dyDescent="0.25"/>
    <row r="216" s="19" customFormat="1" x14ac:dyDescent="0.25"/>
    <row r="217" s="19" customFormat="1" x14ac:dyDescent="0.25"/>
    <row r="218" s="19" customFormat="1" x14ac:dyDescent="0.25"/>
    <row r="219" s="19" customFormat="1" x14ac:dyDescent="0.25"/>
    <row r="220" s="19" customFormat="1" x14ac:dyDescent="0.25"/>
    <row r="221" s="19" customFormat="1" x14ac:dyDescent="0.25"/>
    <row r="222" s="19" customFormat="1" x14ac:dyDescent="0.25"/>
    <row r="223" s="19" customFormat="1" x14ac:dyDescent="0.25"/>
    <row r="224" s="19" customFormat="1" x14ac:dyDescent="0.25"/>
    <row r="225" s="19" customFormat="1" x14ac:dyDescent="0.25"/>
    <row r="226" s="19" customFormat="1" x14ac:dyDescent="0.25"/>
    <row r="227" s="19" customFormat="1" x14ac:dyDescent="0.25"/>
    <row r="228" s="19" customFormat="1" x14ac:dyDescent="0.25"/>
    <row r="229" s="19" customFormat="1" x14ac:dyDescent="0.25"/>
    <row r="230" s="19" customFormat="1" x14ac:dyDescent="0.25"/>
    <row r="231" s="19" customFormat="1" x14ac:dyDescent="0.25"/>
    <row r="232" s="19" customFormat="1" x14ac:dyDescent="0.25"/>
    <row r="233" s="19" customFormat="1" x14ac:dyDescent="0.25"/>
    <row r="234" s="19" customFormat="1" x14ac:dyDescent="0.25"/>
    <row r="235" s="19" customFormat="1" x14ac:dyDescent="0.25"/>
    <row r="236" s="19" customFormat="1" x14ac:dyDescent="0.25"/>
    <row r="237" s="19" customFormat="1" x14ac:dyDescent="0.25"/>
    <row r="238" s="19" customFormat="1" x14ac:dyDescent="0.25"/>
    <row r="239" s="19" customFormat="1" x14ac:dyDescent="0.25"/>
    <row r="240" s="19" customFormat="1" x14ac:dyDescent="0.25"/>
    <row r="241" s="19" customFormat="1" x14ac:dyDescent="0.25"/>
    <row r="242" s="19" customFormat="1" x14ac:dyDescent="0.25"/>
    <row r="243" s="19" customFormat="1" x14ac:dyDescent="0.25"/>
    <row r="244" s="19" customFormat="1" x14ac:dyDescent="0.25"/>
    <row r="245" s="19" customFormat="1" x14ac:dyDescent="0.25"/>
    <row r="246" s="19" customFormat="1" x14ac:dyDescent="0.25"/>
    <row r="247" s="19" customFormat="1" x14ac:dyDescent="0.25"/>
    <row r="248" s="19" customFormat="1" x14ac:dyDescent="0.25"/>
    <row r="249" s="19" customFormat="1" x14ac:dyDescent="0.25"/>
    <row r="250" s="19" customFormat="1" x14ac:dyDescent="0.25"/>
    <row r="251" s="19" customFormat="1" x14ac:dyDescent="0.25"/>
    <row r="252" s="19" customFormat="1" x14ac:dyDescent="0.25"/>
    <row r="253" s="19" customFormat="1" x14ac:dyDescent="0.25"/>
    <row r="254" s="19" customFormat="1" x14ac:dyDescent="0.25"/>
    <row r="255" s="19" customFormat="1" x14ac:dyDescent="0.25"/>
    <row r="256" s="19" customFormat="1" x14ac:dyDescent="0.25"/>
    <row r="257" s="19" customFormat="1" x14ac:dyDescent="0.25"/>
    <row r="258" s="19" customFormat="1" x14ac:dyDescent="0.25"/>
    <row r="259" s="19" customFormat="1" x14ac:dyDescent="0.25"/>
    <row r="260" s="19" customFormat="1" x14ac:dyDescent="0.25"/>
    <row r="261" s="19" customFormat="1" x14ac:dyDescent="0.25"/>
    <row r="262" s="19" customFormat="1" x14ac:dyDescent="0.25"/>
    <row r="263" s="19" customFormat="1" x14ac:dyDescent="0.25"/>
    <row r="264" s="19" customFormat="1" x14ac:dyDescent="0.25"/>
    <row r="265" s="19" customFormat="1" x14ac:dyDescent="0.25"/>
    <row r="266" s="19" customFormat="1" x14ac:dyDescent="0.25"/>
    <row r="267" s="19" customFormat="1" x14ac:dyDescent="0.25"/>
    <row r="268" s="19" customFormat="1" x14ac:dyDescent="0.25"/>
    <row r="269" s="19" customFormat="1" x14ac:dyDescent="0.25"/>
    <row r="270" s="19" customFormat="1" x14ac:dyDescent="0.25"/>
    <row r="271" s="19" customFormat="1" x14ac:dyDescent="0.25"/>
    <row r="272" s="19" customFormat="1" x14ac:dyDescent="0.25"/>
    <row r="273" s="19" customFormat="1" x14ac:dyDescent="0.25"/>
    <row r="274" s="19" customFormat="1" x14ac:dyDescent="0.25"/>
    <row r="275" s="19" customFormat="1" x14ac:dyDescent="0.25"/>
    <row r="276" s="19" customFormat="1" x14ac:dyDescent="0.25"/>
    <row r="277" s="19" customFormat="1" x14ac:dyDescent="0.25"/>
    <row r="278" s="19" customFormat="1" x14ac:dyDescent="0.25"/>
    <row r="279" s="19" customFormat="1" x14ac:dyDescent="0.25"/>
    <row r="280" s="19" customFormat="1" x14ac:dyDescent="0.25"/>
    <row r="281" s="19" customFormat="1" x14ac:dyDescent="0.25"/>
    <row r="282" s="19" customFormat="1" x14ac:dyDescent="0.25"/>
    <row r="283" s="19" customFormat="1" x14ac:dyDescent="0.25"/>
    <row r="284" s="19" customFormat="1" x14ac:dyDescent="0.25"/>
    <row r="285" s="19" customFormat="1" x14ac:dyDescent="0.25"/>
    <row r="286" s="19" customFormat="1" x14ac:dyDescent="0.25"/>
    <row r="287" s="19" customFormat="1" x14ac:dyDescent="0.25"/>
    <row r="288" s="19" customFormat="1" x14ac:dyDescent="0.25"/>
    <row r="289" s="19" customFormat="1" x14ac:dyDescent="0.25"/>
    <row r="290" s="19" customFormat="1" x14ac:dyDescent="0.25"/>
    <row r="291" s="19" customFormat="1" x14ac:dyDescent="0.25"/>
    <row r="292" s="19" customFormat="1" x14ac:dyDescent="0.25"/>
    <row r="293" s="19" customFormat="1" x14ac:dyDescent="0.25"/>
    <row r="294" s="19" customFormat="1" x14ac:dyDescent="0.25"/>
    <row r="295" s="19" customFormat="1" x14ac:dyDescent="0.25"/>
    <row r="296" s="19" customFormat="1" x14ac:dyDescent="0.25"/>
    <row r="297" s="19" customFormat="1" x14ac:dyDescent="0.25"/>
    <row r="298" s="19" customFormat="1" x14ac:dyDescent="0.25"/>
    <row r="299" s="19" customFormat="1" x14ac:dyDescent="0.25"/>
    <row r="300" s="19" customFormat="1" x14ac:dyDescent="0.25"/>
    <row r="301" s="19" customFormat="1" x14ac:dyDescent="0.25"/>
    <row r="302" s="19" customFormat="1" x14ac:dyDescent="0.25"/>
    <row r="303" s="19" customFormat="1" x14ac:dyDescent="0.25"/>
    <row r="304" s="19" customFormat="1" x14ac:dyDescent="0.25"/>
    <row r="305" s="19" customFormat="1" x14ac:dyDescent="0.25"/>
    <row r="306" s="19" customFormat="1" x14ac:dyDescent="0.25"/>
    <row r="307" s="19" customFormat="1" x14ac:dyDescent="0.25"/>
    <row r="308" s="19" customFormat="1" x14ac:dyDescent="0.25"/>
    <row r="309" s="19" customFormat="1" x14ac:dyDescent="0.25"/>
    <row r="310" s="19" customFormat="1" x14ac:dyDescent="0.25"/>
    <row r="311" s="19" customFormat="1" x14ac:dyDescent="0.25"/>
    <row r="312" s="19" customFormat="1" x14ac:dyDescent="0.25"/>
    <row r="313" s="19" customFormat="1" x14ac:dyDescent="0.25"/>
    <row r="314" s="19" customFormat="1" x14ac:dyDescent="0.25"/>
    <row r="315" s="19" customFormat="1" x14ac:dyDescent="0.25"/>
    <row r="316" s="19" customFormat="1" x14ac:dyDescent="0.25"/>
    <row r="317" s="19" customFormat="1" x14ac:dyDescent="0.25"/>
    <row r="318" s="19" customFormat="1" x14ac:dyDescent="0.25"/>
    <row r="319" s="19" customFormat="1" x14ac:dyDescent="0.25"/>
    <row r="320" s="19" customFormat="1" x14ac:dyDescent="0.25"/>
    <row r="321" s="19" customFormat="1" x14ac:dyDescent="0.25"/>
    <row r="322" s="19" customFormat="1" x14ac:dyDescent="0.25"/>
    <row r="323" s="19" customFormat="1" x14ac:dyDescent="0.25"/>
    <row r="324" s="19" customFormat="1" x14ac:dyDescent="0.25"/>
    <row r="325" s="19" customFormat="1" x14ac:dyDescent="0.25"/>
    <row r="326" s="19" customFormat="1" x14ac:dyDescent="0.25"/>
    <row r="327" s="19" customFormat="1" x14ac:dyDescent="0.25"/>
    <row r="328" s="19" customFormat="1" x14ac:dyDescent="0.25"/>
    <row r="329" s="19" customFormat="1" x14ac:dyDescent="0.25"/>
    <row r="330" s="19" customFormat="1" x14ac:dyDescent="0.25"/>
    <row r="331" s="19" customFormat="1" x14ac:dyDescent="0.25"/>
    <row r="332" s="19" customFormat="1" x14ac:dyDescent="0.25"/>
    <row r="333" s="19" customFormat="1" x14ac:dyDescent="0.25"/>
    <row r="334" s="19" customFormat="1" x14ac:dyDescent="0.25"/>
    <row r="335" s="19" customFormat="1" x14ac:dyDescent="0.25"/>
    <row r="336" s="19" customFormat="1" x14ac:dyDescent="0.25"/>
    <row r="337" s="19" customFormat="1" x14ac:dyDescent="0.25"/>
    <row r="338" s="19" customFormat="1" x14ac:dyDescent="0.25"/>
    <row r="339" s="19" customFormat="1" x14ac:dyDescent="0.25"/>
    <row r="340" s="19" customFormat="1" x14ac:dyDescent="0.25"/>
    <row r="341" s="19" customFormat="1" x14ac:dyDescent="0.25"/>
    <row r="342" s="19" customFormat="1" x14ac:dyDescent="0.25"/>
    <row r="343" s="19" customFormat="1" x14ac:dyDescent="0.25"/>
    <row r="344" s="19" customFormat="1" x14ac:dyDescent="0.25"/>
    <row r="345" s="19" customFormat="1" x14ac:dyDescent="0.25"/>
    <row r="346" s="19" customFormat="1" x14ac:dyDescent="0.25"/>
    <row r="347" s="19" customFormat="1" x14ac:dyDescent="0.25"/>
    <row r="348" s="19" customFormat="1" x14ac:dyDescent="0.25"/>
    <row r="349" s="19" customFormat="1" x14ac:dyDescent="0.25"/>
    <row r="350" s="19" customFormat="1" x14ac:dyDescent="0.25"/>
    <row r="351" s="19" customFormat="1" x14ac:dyDescent="0.25"/>
    <row r="352" s="19" customFormat="1" x14ac:dyDescent="0.25"/>
    <row r="353" s="19" customFormat="1" x14ac:dyDescent="0.25"/>
    <row r="354" s="19" customFormat="1" x14ac:dyDescent="0.25"/>
    <row r="355" s="19" customFormat="1" x14ac:dyDescent="0.25"/>
    <row r="356" s="19" customFormat="1" x14ac:dyDescent="0.25"/>
    <row r="357" s="19" customFormat="1" x14ac:dyDescent="0.25"/>
    <row r="358" s="19" customFormat="1" x14ac:dyDescent="0.25"/>
    <row r="359" s="19" customFormat="1" x14ac:dyDescent="0.25"/>
    <row r="360" s="19" customFormat="1" x14ac:dyDescent="0.25"/>
    <row r="361" s="19" customFormat="1" x14ac:dyDescent="0.25"/>
    <row r="362" s="19" customFormat="1" x14ac:dyDescent="0.25"/>
    <row r="363" s="19" customFormat="1" x14ac:dyDescent="0.25"/>
    <row r="364" s="19" customFormat="1" x14ac:dyDescent="0.25"/>
    <row r="365" s="19" customFormat="1" x14ac:dyDescent="0.25"/>
    <row r="366" s="19" customFormat="1" x14ac:dyDescent="0.25"/>
    <row r="367" s="19" customFormat="1" x14ac:dyDescent="0.25"/>
    <row r="368" s="19" customFormat="1" x14ac:dyDescent="0.25"/>
    <row r="369" s="19" customFormat="1" x14ac:dyDescent="0.25"/>
    <row r="370" s="19" customFormat="1" x14ac:dyDescent="0.25"/>
    <row r="371" s="19" customFormat="1" x14ac:dyDescent="0.25"/>
    <row r="372" s="19" customFormat="1" x14ac:dyDescent="0.25"/>
    <row r="373" s="19" customFormat="1" x14ac:dyDescent="0.25"/>
    <row r="374" s="19" customFormat="1" x14ac:dyDescent="0.25"/>
    <row r="375" s="19" customFormat="1" x14ac:dyDescent="0.25"/>
    <row r="376" s="19" customFormat="1" x14ac:dyDescent="0.25"/>
    <row r="377" s="61" customFormat="1" x14ac:dyDescent="0.25"/>
    <row r="378" s="61" customFormat="1" x14ac:dyDescent="0.25"/>
    <row r="379" s="61" customFormat="1" x14ac:dyDescent="0.25"/>
    <row r="380" s="61" customFormat="1" x14ac:dyDescent="0.25"/>
    <row r="381" s="61" customFormat="1" x14ac:dyDescent="0.25"/>
    <row r="382" s="61" customFormat="1" x14ac:dyDescent="0.25"/>
    <row r="383" s="61" customFormat="1" x14ac:dyDescent="0.25"/>
    <row r="384" s="61" customFormat="1" x14ac:dyDescent="0.25"/>
    <row r="385" s="61" customFormat="1" x14ac:dyDescent="0.25"/>
    <row r="386" s="61" customFormat="1" x14ac:dyDescent="0.25"/>
    <row r="387" s="61" customFormat="1" x14ac:dyDescent="0.25"/>
    <row r="388" s="61" customFormat="1" x14ac:dyDescent="0.25"/>
    <row r="389" s="61" customFormat="1" x14ac:dyDescent="0.25"/>
    <row r="390" s="61" customFormat="1" x14ac:dyDescent="0.25"/>
    <row r="391" s="61" customFormat="1" x14ac:dyDescent="0.25"/>
    <row r="392" s="61" customFormat="1" x14ac:dyDescent="0.25"/>
    <row r="393" s="61" customFormat="1" x14ac:dyDescent="0.25"/>
    <row r="394" s="61" customFormat="1" x14ac:dyDescent="0.25"/>
    <row r="395" s="61" customFormat="1" x14ac:dyDescent="0.25"/>
    <row r="396" s="61" customFormat="1" x14ac:dyDescent="0.25"/>
    <row r="397" s="61" customFormat="1" x14ac:dyDescent="0.25"/>
    <row r="398" s="61" customFormat="1" x14ac:dyDescent="0.25"/>
    <row r="399" s="61" customFormat="1" x14ac:dyDescent="0.25"/>
    <row r="400" s="61" customFormat="1" x14ac:dyDescent="0.25"/>
    <row r="401" s="61" customFormat="1" x14ac:dyDescent="0.25"/>
    <row r="402" s="61" customFormat="1" x14ac:dyDescent="0.25"/>
    <row r="403" s="61" customFormat="1" x14ac:dyDescent="0.25"/>
    <row r="404" s="61" customFormat="1" x14ac:dyDescent="0.25"/>
    <row r="405" s="61" customFormat="1" x14ac:dyDescent="0.25"/>
    <row r="406" s="61" customFormat="1" x14ac:dyDescent="0.25"/>
    <row r="407" s="61" customFormat="1" x14ac:dyDescent="0.25"/>
    <row r="408" s="61" customFormat="1" x14ac:dyDescent="0.25"/>
    <row r="409" s="61" customFormat="1" x14ac:dyDescent="0.25"/>
    <row r="410" s="61" customFormat="1" x14ac:dyDescent="0.25"/>
    <row r="411" s="61" customFormat="1" x14ac:dyDescent="0.25"/>
    <row r="412" s="61" customFormat="1" x14ac:dyDescent="0.25"/>
    <row r="413" s="61" customFormat="1" x14ac:dyDescent="0.25"/>
    <row r="414" s="61" customFormat="1" x14ac:dyDescent="0.25"/>
    <row r="415" s="61" customFormat="1" x14ac:dyDescent="0.25"/>
    <row r="416" s="61" customFormat="1" x14ac:dyDescent="0.25"/>
    <row r="417" s="61" customFormat="1" x14ac:dyDescent="0.25"/>
    <row r="418" s="61" customFormat="1" x14ac:dyDescent="0.25"/>
    <row r="419" s="61" customFormat="1" x14ac:dyDescent="0.25"/>
    <row r="420" s="61" customFormat="1" x14ac:dyDescent="0.25"/>
    <row r="421" s="61" customFormat="1" x14ac:dyDescent="0.25"/>
    <row r="422" s="61" customFormat="1" x14ac:dyDescent="0.25"/>
    <row r="423" s="61" customFormat="1" x14ac:dyDescent="0.25"/>
    <row r="424" s="61" customFormat="1" x14ac:dyDescent="0.25"/>
    <row r="425" s="61" customFormat="1" x14ac:dyDescent="0.25"/>
    <row r="426" s="61" customFormat="1" x14ac:dyDescent="0.25"/>
    <row r="427" s="61" customFormat="1" x14ac:dyDescent="0.25"/>
    <row r="428" s="61" customFormat="1" x14ac:dyDescent="0.25"/>
    <row r="429" s="61" customFormat="1" x14ac:dyDescent="0.25"/>
    <row r="430" s="61" customFormat="1" x14ac:dyDescent="0.25"/>
    <row r="431" s="61" customFormat="1" x14ac:dyDescent="0.25"/>
    <row r="432" s="61" customFormat="1" x14ac:dyDescent="0.25"/>
    <row r="433" s="61" customFormat="1" x14ac:dyDescent="0.25"/>
    <row r="434" s="61" customFormat="1" x14ac:dyDescent="0.25"/>
    <row r="435" s="61" customFormat="1" x14ac:dyDescent="0.25"/>
    <row r="436" s="61" customFormat="1" x14ac:dyDescent="0.25"/>
    <row r="437" s="61" customFormat="1" x14ac:dyDescent="0.25"/>
    <row r="438" s="61" customFormat="1" x14ac:dyDescent="0.25"/>
    <row r="439" s="61" customFormat="1" x14ac:dyDescent="0.25"/>
    <row r="440" s="61" customFormat="1" x14ac:dyDescent="0.25"/>
    <row r="441" s="61" customFormat="1" x14ac:dyDescent="0.25"/>
    <row r="442" s="61" customFormat="1" x14ac:dyDescent="0.25"/>
    <row r="443" s="61" customFormat="1" x14ac:dyDescent="0.25"/>
    <row r="444" s="61" customFormat="1" x14ac:dyDescent="0.25"/>
    <row r="445" s="61" customFormat="1" x14ac:dyDescent="0.25"/>
    <row r="446" s="61" customFormat="1" x14ac:dyDescent="0.25"/>
    <row r="447" s="61" customFormat="1" x14ac:dyDescent="0.25"/>
    <row r="448" s="61" customFormat="1" x14ac:dyDescent="0.25"/>
    <row r="449" s="61" customFormat="1" x14ac:dyDescent="0.25"/>
    <row r="450" s="61" customFormat="1" x14ac:dyDescent="0.25"/>
    <row r="451" s="61" customFormat="1" x14ac:dyDescent="0.25"/>
    <row r="452" s="61" customFormat="1" x14ac:dyDescent="0.25"/>
    <row r="453" s="61" customFormat="1" x14ac:dyDescent="0.25"/>
    <row r="454" s="61" customFormat="1" x14ac:dyDescent="0.25"/>
    <row r="455" s="61" customFormat="1" x14ac:dyDescent="0.25"/>
    <row r="456" s="61" customFormat="1" x14ac:dyDescent="0.25"/>
    <row r="457" s="61" customFormat="1" x14ac:dyDescent="0.25"/>
    <row r="458" s="61" customFormat="1" x14ac:dyDescent="0.25"/>
    <row r="459" s="61" customFormat="1" x14ac:dyDescent="0.25"/>
    <row r="460" s="61" customFormat="1" x14ac:dyDescent="0.25"/>
    <row r="461" s="61" customFormat="1" x14ac:dyDescent="0.25"/>
    <row r="462" s="61" customFormat="1" x14ac:dyDescent="0.25"/>
    <row r="463" s="61" customFormat="1" x14ac:dyDescent="0.25"/>
    <row r="464" s="61" customFormat="1" x14ac:dyDescent="0.25"/>
    <row r="465" s="61" customFormat="1" x14ac:dyDescent="0.25"/>
    <row r="466" s="61" customFormat="1" x14ac:dyDescent="0.25"/>
    <row r="467" s="61" customFormat="1" x14ac:dyDescent="0.25"/>
    <row r="468" s="61" customFormat="1" x14ac:dyDescent="0.25"/>
    <row r="469" s="61" customFormat="1" x14ac:dyDescent="0.25"/>
    <row r="470" s="61" customFormat="1" x14ac:dyDescent="0.25"/>
    <row r="471" s="61" customFormat="1" x14ac:dyDescent="0.25"/>
    <row r="472" s="61" customFormat="1" x14ac:dyDescent="0.25"/>
    <row r="473" s="61" customFormat="1" x14ac:dyDescent="0.25"/>
    <row r="474" s="61" customFormat="1" x14ac:dyDescent="0.25"/>
    <row r="475" s="61" customFormat="1" x14ac:dyDescent="0.25"/>
    <row r="476" s="61" customFormat="1" x14ac:dyDescent="0.25"/>
    <row r="477" s="61" customFormat="1" x14ac:dyDescent="0.25"/>
    <row r="478" s="61" customFormat="1" x14ac:dyDescent="0.25"/>
    <row r="479" s="61" customFormat="1" x14ac:dyDescent="0.25"/>
    <row r="480" s="61" customFormat="1" x14ac:dyDescent="0.25"/>
    <row r="481" s="61" customFormat="1" x14ac:dyDescent="0.25"/>
    <row r="482" s="61" customFormat="1" x14ac:dyDescent="0.25"/>
    <row r="483" s="61" customFormat="1" x14ac:dyDescent="0.25"/>
    <row r="484" s="61" customFormat="1" x14ac:dyDescent="0.25"/>
    <row r="485" s="61" customFormat="1" x14ac:dyDescent="0.25"/>
    <row r="486" s="61" customFormat="1" x14ac:dyDescent="0.25"/>
    <row r="487" s="61" customFormat="1" x14ac:dyDescent="0.25"/>
    <row r="488" s="61" customFormat="1" x14ac:dyDescent="0.25"/>
    <row r="489" s="61" customFormat="1" x14ac:dyDescent="0.25"/>
    <row r="490" s="61" customFormat="1" x14ac:dyDescent="0.25"/>
    <row r="491" s="61" customFormat="1" x14ac:dyDescent="0.25"/>
    <row r="492" s="61" customFormat="1" x14ac:dyDescent="0.25"/>
    <row r="493" s="61" customFormat="1" x14ac:dyDescent="0.25"/>
    <row r="494" s="61" customFormat="1" x14ac:dyDescent="0.25"/>
    <row r="495" s="61" customFormat="1" x14ac:dyDescent="0.25"/>
    <row r="496" s="61" customFormat="1" x14ac:dyDescent="0.25"/>
    <row r="497" s="61" customFormat="1" x14ac:dyDescent="0.25"/>
    <row r="498" s="61" customFormat="1" x14ac:dyDescent="0.25"/>
    <row r="499" s="61" customFormat="1" x14ac:dyDescent="0.25"/>
    <row r="500" s="61" customFormat="1" x14ac:dyDescent="0.25"/>
    <row r="501" s="61" customFormat="1" x14ac:dyDescent="0.25"/>
    <row r="502" s="61" customFormat="1" x14ac:dyDescent="0.25"/>
    <row r="503" s="61" customFormat="1" x14ac:dyDescent="0.25"/>
    <row r="504" s="61" customFormat="1" x14ac:dyDescent="0.25"/>
    <row r="505" s="61" customFormat="1" x14ac:dyDescent="0.25"/>
    <row r="506" s="61" customFormat="1" x14ac:dyDescent="0.25"/>
    <row r="507" s="61" customFormat="1" x14ac:dyDescent="0.25"/>
    <row r="508" s="61" customFormat="1" x14ac:dyDescent="0.25"/>
    <row r="509" s="61" customFormat="1" x14ac:dyDescent="0.25"/>
    <row r="510" s="61" customFormat="1" x14ac:dyDescent="0.25"/>
    <row r="511" s="61" customFormat="1" x14ac:dyDescent="0.25"/>
    <row r="512" s="61" customFormat="1" x14ac:dyDescent="0.25"/>
    <row r="513" s="61" customFormat="1" x14ac:dyDescent="0.25"/>
    <row r="514" s="61" customFormat="1" x14ac:dyDescent="0.25"/>
    <row r="515" s="61" customFormat="1" x14ac:dyDescent="0.25"/>
    <row r="516" s="61" customFormat="1" x14ac:dyDescent="0.25"/>
    <row r="517" s="61" customFormat="1" x14ac:dyDescent="0.25"/>
    <row r="518" s="61" customFormat="1" x14ac:dyDescent="0.25"/>
    <row r="519" s="61" customFormat="1" x14ac:dyDescent="0.25"/>
    <row r="520" s="61" customFormat="1" x14ac:dyDescent="0.25"/>
    <row r="521" s="61" customFormat="1" x14ac:dyDescent="0.25"/>
    <row r="522" s="61" customFormat="1" x14ac:dyDescent="0.25"/>
    <row r="523" s="61" customFormat="1" x14ac:dyDescent="0.25"/>
    <row r="524" s="61" customFormat="1" x14ac:dyDescent="0.25"/>
    <row r="525" s="61" customFormat="1" x14ac:dyDescent="0.25"/>
    <row r="526" s="61" customFormat="1" x14ac:dyDescent="0.25"/>
    <row r="527" s="61" customFormat="1" x14ac:dyDescent="0.25"/>
    <row r="528" s="61" customFormat="1" x14ac:dyDescent="0.25"/>
    <row r="529" s="61" customFormat="1" x14ac:dyDescent="0.25"/>
    <row r="530" s="61" customFormat="1" x14ac:dyDescent="0.25"/>
    <row r="531" s="61" customFormat="1" x14ac:dyDescent="0.25"/>
    <row r="532" s="61" customFormat="1" x14ac:dyDescent="0.25"/>
    <row r="533" s="61" customFormat="1" x14ac:dyDescent="0.25"/>
    <row r="534" s="61" customFormat="1" x14ac:dyDescent="0.25"/>
    <row r="535" s="61" customFormat="1" x14ac:dyDescent="0.25"/>
    <row r="536" s="61" customFormat="1" x14ac:dyDescent="0.25"/>
    <row r="537" s="61" customFormat="1" x14ac:dyDescent="0.25"/>
    <row r="538" s="61" customFormat="1" x14ac:dyDescent="0.25"/>
    <row r="539" s="61" customFormat="1" x14ac:dyDescent="0.25"/>
    <row r="540" s="61" customFormat="1" x14ac:dyDescent="0.25"/>
    <row r="541" s="61" customFormat="1" x14ac:dyDescent="0.25"/>
    <row r="542" s="61" customFormat="1" x14ac:dyDescent="0.25"/>
    <row r="543" s="61" customFormat="1" x14ac:dyDescent="0.25"/>
    <row r="544" s="61" customFormat="1" x14ac:dyDescent="0.25"/>
    <row r="545" s="61" customFormat="1" x14ac:dyDescent="0.25"/>
    <row r="546" s="61" customFormat="1" x14ac:dyDescent="0.25"/>
    <row r="547" s="61" customFormat="1" x14ac:dyDescent="0.25"/>
    <row r="548" s="61" customFormat="1" x14ac:dyDescent="0.25"/>
    <row r="549" s="61" customFormat="1" x14ac:dyDescent="0.25"/>
    <row r="550" s="61" customFormat="1" x14ac:dyDescent="0.25"/>
    <row r="551" s="61" customFormat="1" x14ac:dyDescent="0.25"/>
    <row r="552" s="61" customFormat="1" x14ac:dyDescent="0.25"/>
    <row r="553" s="61" customFormat="1" x14ac:dyDescent="0.25"/>
    <row r="554" s="61" customFormat="1" x14ac:dyDescent="0.25"/>
    <row r="555" s="61" customFormat="1" x14ac:dyDescent="0.25"/>
    <row r="556" s="61" customFormat="1" x14ac:dyDescent="0.25"/>
    <row r="557" s="61" customFormat="1" x14ac:dyDescent="0.25"/>
    <row r="558" s="61" customFormat="1" x14ac:dyDescent="0.25"/>
    <row r="559" s="61" customFormat="1" x14ac:dyDescent="0.25"/>
    <row r="560" s="61" customFormat="1" x14ac:dyDescent="0.25"/>
    <row r="561" s="61" customFormat="1" x14ac:dyDescent="0.25"/>
    <row r="562" s="61" customFormat="1" x14ac:dyDescent="0.25"/>
    <row r="563" s="61" customFormat="1" x14ac:dyDescent="0.25"/>
    <row r="564" s="61" customFormat="1" x14ac:dyDescent="0.25"/>
    <row r="565" s="61" customFormat="1" x14ac:dyDescent="0.25"/>
    <row r="566" s="61" customFormat="1" x14ac:dyDescent="0.25"/>
    <row r="567" s="61" customFormat="1" x14ac:dyDescent="0.25"/>
    <row r="568" s="61" customFormat="1" x14ac:dyDescent="0.25"/>
    <row r="569" s="61" customFormat="1" x14ac:dyDescent="0.25"/>
    <row r="570" s="61" customFormat="1" x14ac:dyDescent="0.25"/>
    <row r="571" s="61" customFormat="1" x14ac:dyDescent="0.25"/>
    <row r="572" s="61" customFormat="1" x14ac:dyDescent="0.25"/>
    <row r="573" s="61" customFormat="1" x14ac:dyDescent="0.25"/>
    <row r="574" s="61" customFormat="1" x14ac:dyDescent="0.25"/>
    <row r="575" s="61" customFormat="1" x14ac:dyDescent="0.25"/>
    <row r="576" s="61" customFormat="1" x14ac:dyDescent="0.25"/>
    <row r="577" s="61" customFormat="1" x14ac:dyDescent="0.25"/>
    <row r="578" s="61" customFormat="1" x14ac:dyDescent="0.25"/>
    <row r="579" s="61" customFormat="1" x14ac:dyDescent="0.25"/>
    <row r="580" s="61" customFormat="1" x14ac:dyDescent="0.25"/>
    <row r="581" s="61" customFormat="1" x14ac:dyDescent="0.25"/>
    <row r="582" s="61" customFormat="1" x14ac:dyDescent="0.25"/>
    <row r="583" s="61" customFormat="1" x14ac:dyDescent="0.25"/>
    <row r="584" s="61" customFormat="1" x14ac:dyDescent="0.25"/>
    <row r="585" s="61" customFormat="1" x14ac:dyDescent="0.25"/>
    <row r="586" s="61" customFormat="1" x14ac:dyDescent="0.25"/>
    <row r="587" s="61" customFormat="1" x14ac:dyDescent="0.25"/>
    <row r="588" s="61" customFormat="1" x14ac:dyDescent="0.25"/>
    <row r="589" s="61" customFormat="1" x14ac:dyDescent="0.25"/>
    <row r="590" s="61" customFormat="1" x14ac:dyDescent="0.25"/>
    <row r="591" s="61" customFormat="1" x14ac:dyDescent="0.25"/>
    <row r="592" s="61" customFormat="1" x14ac:dyDescent="0.25"/>
    <row r="593" s="61" customFormat="1" x14ac:dyDescent="0.25"/>
    <row r="594" s="61" customFormat="1" x14ac:dyDescent="0.25"/>
    <row r="595" s="61" customFormat="1" x14ac:dyDescent="0.25"/>
    <row r="596" s="61" customFormat="1" x14ac:dyDescent="0.25"/>
    <row r="597" s="61" customFormat="1" x14ac:dyDescent="0.25"/>
    <row r="598" s="61" customFormat="1" x14ac:dyDescent="0.25"/>
    <row r="599" s="61" customFormat="1" x14ac:dyDescent="0.25"/>
    <row r="600" s="61" customFormat="1" x14ac:dyDescent="0.25"/>
    <row r="601" s="61" customFormat="1" x14ac:dyDescent="0.25"/>
    <row r="602" s="61" customFormat="1" x14ac:dyDescent="0.25"/>
    <row r="603" s="61" customFormat="1" x14ac:dyDescent="0.25"/>
    <row r="604" s="61" customFormat="1" x14ac:dyDescent="0.25"/>
    <row r="605" s="61" customFormat="1" x14ac:dyDescent="0.25"/>
    <row r="606" s="61" customFormat="1" x14ac:dyDescent="0.25"/>
    <row r="607" s="61" customFormat="1" x14ac:dyDescent="0.25"/>
    <row r="608" s="61" customFormat="1" x14ac:dyDescent="0.25"/>
    <row r="609" s="61" customFormat="1" x14ac:dyDescent="0.25"/>
    <row r="610" s="61" customFormat="1" x14ac:dyDescent="0.25"/>
    <row r="611" s="61" customFormat="1" x14ac:dyDescent="0.25"/>
    <row r="612" s="61" customFormat="1" x14ac:dyDescent="0.25"/>
    <row r="613" s="61" customFormat="1" x14ac:dyDescent="0.25"/>
    <row r="614" s="61" customFormat="1" x14ac:dyDescent="0.25"/>
    <row r="615" s="61" customFormat="1" x14ac:dyDescent="0.25"/>
    <row r="616" s="61" customFormat="1" x14ac:dyDescent="0.25"/>
    <row r="617" s="61" customFormat="1" x14ac:dyDescent="0.25"/>
    <row r="618" s="61" customFormat="1" x14ac:dyDescent="0.25"/>
    <row r="619" s="61" customFormat="1" x14ac:dyDescent="0.25"/>
    <row r="620" s="61" customFormat="1" x14ac:dyDescent="0.25"/>
    <row r="621" s="61" customFormat="1" x14ac:dyDescent="0.25"/>
    <row r="622" s="61" customFormat="1" x14ac:dyDescent="0.25"/>
    <row r="623" s="61" customFormat="1" x14ac:dyDescent="0.25"/>
    <row r="624" s="61" customFormat="1" x14ac:dyDescent="0.25"/>
    <row r="625" s="61" customFormat="1" x14ac:dyDescent="0.25"/>
    <row r="626" s="61" customFormat="1" x14ac:dyDescent="0.25"/>
    <row r="627" s="61" customFormat="1" x14ac:dyDescent="0.25"/>
    <row r="628" s="61" customFormat="1" x14ac:dyDescent="0.25"/>
    <row r="629" s="61" customFormat="1" x14ac:dyDescent="0.25"/>
    <row r="630" s="61" customFormat="1" x14ac:dyDescent="0.25"/>
    <row r="631" s="61" customFormat="1" x14ac:dyDescent="0.25"/>
    <row r="632" s="61" customFormat="1" x14ac:dyDescent="0.25"/>
    <row r="633" s="61" customFormat="1" x14ac:dyDescent="0.25"/>
    <row r="634" s="61" customFormat="1" x14ac:dyDescent="0.25"/>
    <row r="635" s="61" customFormat="1" x14ac:dyDescent="0.25"/>
    <row r="636" s="61" customFormat="1" x14ac:dyDescent="0.25"/>
    <row r="637" s="61" customFormat="1" x14ac:dyDescent="0.25"/>
    <row r="638" s="61" customFormat="1" x14ac:dyDescent="0.25"/>
    <row r="639" s="61" customFormat="1" x14ac:dyDescent="0.25"/>
    <row r="640" s="61" customFormat="1" x14ac:dyDescent="0.25"/>
    <row r="641" s="61" customFormat="1" x14ac:dyDescent="0.25"/>
    <row r="642" s="61" customFormat="1" x14ac:dyDescent="0.25"/>
    <row r="643" s="61" customFormat="1" x14ac:dyDescent="0.25"/>
    <row r="644" s="61" customFormat="1" x14ac:dyDescent="0.25"/>
    <row r="645" s="61" customFormat="1" x14ac:dyDescent="0.25"/>
    <row r="646" s="61" customFormat="1" x14ac:dyDescent="0.25"/>
    <row r="647" s="61" customFormat="1" x14ac:dyDescent="0.25"/>
    <row r="648" s="61" customFormat="1" x14ac:dyDescent="0.25"/>
    <row r="649" s="61" customFormat="1" x14ac:dyDescent="0.25"/>
    <row r="650" s="61" customFormat="1" x14ac:dyDescent="0.25"/>
    <row r="651" s="61" customFormat="1" x14ac:dyDescent="0.25"/>
    <row r="652" s="61" customFormat="1" x14ac:dyDescent="0.25"/>
    <row r="653" s="61" customFormat="1" x14ac:dyDescent="0.25"/>
    <row r="654" s="61" customFormat="1" x14ac:dyDescent="0.25"/>
    <row r="655" s="61" customFormat="1" x14ac:dyDescent="0.25"/>
    <row r="656" s="61" customFormat="1" x14ac:dyDescent="0.25"/>
    <row r="657" s="61" customFormat="1" x14ac:dyDescent="0.25"/>
    <row r="658" s="61" customFormat="1" x14ac:dyDescent="0.25"/>
    <row r="659" s="61" customFormat="1" x14ac:dyDescent="0.25"/>
    <row r="660" s="61" customFormat="1" x14ac:dyDescent="0.25"/>
    <row r="661" s="61" customFormat="1" x14ac:dyDescent="0.25"/>
    <row r="662" s="61" customFormat="1" x14ac:dyDescent="0.25"/>
    <row r="663" s="61" customFormat="1" x14ac:dyDescent="0.25"/>
    <row r="664" s="61" customFormat="1" x14ac:dyDescent="0.25"/>
    <row r="665" s="61" customFormat="1" x14ac:dyDescent="0.25"/>
    <row r="666" s="61" customFormat="1" x14ac:dyDescent="0.25"/>
    <row r="667" s="61" customFormat="1" x14ac:dyDescent="0.25"/>
    <row r="668" s="61" customFormat="1" x14ac:dyDescent="0.25"/>
    <row r="669" s="61" customFormat="1" x14ac:dyDescent="0.25"/>
    <row r="670" s="61" customFormat="1" x14ac:dyDescent="0.25"/>
    <row r="671" s="61" customFormat="1" x14ac:dyDescent="0.25"/>
    <row r="672" s="61" customFormat="1" x14ac:dyDescent="0.25"/>
    <row r="673" s="61" customFormat="1" x14ac:dyDescent="0.25"/>
    <row r="674" s="61" customFormat="1" x14ac:dyDescent="0.25"/>
    <row r="675" s="61" customFormat="1" x14ac:dyDescent="0.25"/>
    <row r="676" s="61" customFormat="1" x14ac:dyDescent="0.25"/>
    <row r="677" s="61" customFormat="1" x14ac:dyDescent="0.25"/>
    <row r="678" s="61" customFormat="1" x14ac:dyDescent="0.25"/>
    <row r="679" s="61" customFormat="1" x14ac:dyDescent="0.25"/>
    <row r="680" s="61" customFormat="1" x14ac:dyDescent="0.25"/>
    <row r="681" s="61" customFormat="1" x14ac:dyDescent="0.25"/>
    <row r="682" s="61" customFormat="1" x14ac:dyDescent="0.25"/>
    <row r="683" s="61" customFormat="1" x14ac:dyDescent="0.25"/>
    <row r="684" s="61" customFormat="1" x14ac:dyDescent="0.25"/>
    <row r="685" s="61" customFormat="1" x14ac:dyDescent="0.25"/>
    <row r="686" s="61" customFormat="1" x14ac:dyDescent="0.25"/>
    <row r="687" s="61" customFormat="1" x14ac:dyDescent="0.25"/>
    <row r="688" s="61" customFormat="1" x14ac:dyDescent="0.25"/>
    <row r="689" s="61" customFormat="1" x14ac:dyDescent="0.25"/>
    <row r="690" s="61" customFormat="1" x14ac:dyDescent="0.25"/>
    <row r="691" s="61" customFormat="1" x14ac:dyDescent="0.25"/>
    <row r="692" s="61" customFormat="1" x14ac:dyDescent="0.25"/>
    <row r="693" s="61" customFormat="1" x14ac:dyDescent="0.25"/>
    <row r="694" s="61" customFormat="1" x14ac:dyDescent="0.25"/>
    <row r="695" s="61" customFormat="1" x14ac:dyDescent="0.25"/>
    <row r="696" s="61" customFormat="1" x14ac:dyDescent="0.25"/>
    <row r="697" s="61" customFormat="1" x14ac:dyDescent="0.25"/>
    <row r="698" s="61" customFormat="1" x14ac:dyDescent="0.25"/>
    <row r="699" s="61" customFormat="1" x14ac:dyDescent="0.25"/>
    <row r="700" s="61" customFormat="1" x14ac:dyDescent="0.25"/>
    <row r="701" s="61" customFormat="1" x14ac:dyDescent="0.25"/>
    <row r="702" s="61" customFormat="1" x14ac:dyDescent="0.25"/>
    <row r="703" s="61" customFormat="1" x14ac:dyDescent="0.25"/>
    <row r="704" s="61" customFormat="1" x14ac:dyDescent="0.25"/>
    <row r="705" s="61" customFormat="1" x14ac:dyDescent="0.25"/>
    <row r="706" s="61" customFormat="1" x14ac:dyDescent="0.25"/>
    <row r="707" s="61" customFormat="1" x14ac:dyDescent="0.25"/>
    <row r="708" s="61" customFormat="1" x14ac:dyDescent="0.25"/>
    <row r="709" s="61" customFormat="1" x14ac:dyDescent="0.25"/>
    <row r="710" s="61" customFormat="1" x14ac:dyDescent="0.25"/>
    <row r="711" s="61" customFormat="1" x14ac:dyDescent="0.25"/>
    <row r="712" s="61" customFormat="1" x14ac:dyDescent="0.25"/>
    <row r="713" s="61" customFormat="1" x14ac:dyDescent="0.25"/>
    <row r="714" s="61" customFormat="1" x14ac:dyDescent="0.25"/>
    <row r="715" s="61" customFormat="1" x14ac:dyDescent="0.25"/>
    <row r="716" s="61" customFormat="1" x14ac:dyDescent="0.25"/>
    <row r="717" s="61" customFormat="1" x14ac:dyDescent="0.25"/>
    <row r="718" s="61" customFormat="1" x14ac:dyDescent="0.25"/>
    <row r="719" s="61" customFormat="1" x14ac:dyDescent="0.25"/>
    <row r="720" s="61" customFormat="1" x14ac:dyDescent="0.25"/>
    <row r="721" s="61" customFormat="1" x14ac:dyDescent="0.25"/>
    <row r="722" s="61" customFormat="1" x14ac:dyDescent="0.25"/>
    <row r="723" s="61" customFormat="1" x14ac:dyDescent="0.25"/>
    <row r="724" s="61" customFormat="1" x14ac:dyDescent="0.25"/>
    <row r="725" s="61" customFormat="1" x14ac:dyDescent="0.25"/>
    <row r="726" s="61" customFormat="1" x14ac:dyDescent="0.25"/>
    <row r="727" s="61" customFormat="1" x14ac:dyDescent="0.25"/>
    <row r="728" s="61" customFormat="1" x14ac:dyDescent="0.25"/>
    <row r="729" s="61" customFormat="1" x14ac:dyDescent="0.25"/>
    <row r="730" s="61" customFormat="1" x14ac:dyDescent="0.25"/>
    <row r="731" s="61" customFormat="1" x14ac:dyDescent="0.25"/>
    <row r="732" s="61" customFormat="1" x14ac:dyDescent="0.25"/>
    <row r="733" s="61" customFormat="1" x14ac:dyDescent="0.25"/>
    <row r="734" s="61" customFormat="1" x14ac:dyDescent="0.25"/>
    <row r="735" s="61" customFormat="1" x14ac:dyDescent="0.25"/>
    <row r="736" s="61" customFormat="1" x14ac:dyDescent="0.25"/>
    <row r="737" s="61" customFormat="1" x14ac:dyDescent="0.25"/>
    <row r="738" s="61" customFormat="1" x14ac:dyDescent="0.25"/>
    <row r="739" s="61" customFormat="1" x14ac:dyDescent="0.25"/>
    <row r="740" s="61" customFormat="1" x14ac:dyDescent="0.25"/>
    <row r="741" s="61" customFormat="1" x14ac:dyDescent="0.25"/>
    <row r="742" s="61" customFormat="1" x14ac:dyDescent="0.25"/>
    <row r="743" s="61" customFormat="1" x14ac:dyDescent="0.25"/>
    <row r="744" s="61" customFormat="1" x14ac:dyDescent="0.25"/>
    <row r="745" s="61" customFormat="1" x14ac:dyDescent="0.25"/>
    <row r="746" s="61" customFormat="1" x14ac:dyDescent="0.25"/>
    <row r="747" s="61" customFormat="1" x14ac:dyDescent="0.25"/>
    <row r="748" s="61" customFormat="1" x14ac:dyDescent="0.25"/>
    <row r="749" s="61" customFormat="1" x14ac:dyDescent="0.25"/>
    <row r="750" s="61" customFormat="1" x14ac:dyDescent="0.25"/>
    <row r="751" s="61" customFormat="1" x14ac:dyDescent="0.25"/>
    <row r="752" s="61" customFormat="1" x14ac:dyDescent="0.25"/>
    <row r="753" s="61" customFormat="1" x14ac:dyDescent="0.25"/>
    <row r="754" s="61" customFormat="1" x14ac:dyDescent="0.25"/>
    <row r="755" s="61" customFormat="1" x14ac:dyDescent="0.25"/>
    <row r="756" s="61" customFormat="1" x14ac:dyDescent="0.25"/>
    <row r="757" s="61" customFormat="1" x14ac:dyDescent="0.25"/>
    <row r="758" s="61" customFormat="1" x14ac:dyDescent="0.25"/>
    <row r="759" s="61" customFormat="1" x14ac:dyDescent="0.25"/>
    <row r="760" s="61" customFormat="1" x14ac:dyDescent="0.25"/>
    <row r="761" s="61" customFormat="1" x14ac:dyDescent="0.25"/>
    <row r="762" s="61" customFormat="1" x14ac:dyDescent="0.25"/>
    <row r="763" s="61" customFormat="1" x14ac:dyDescent="0.25"/>
    <row r="764" s="61" customFormat="1" x14ac:dyDescent="0.25"/>
    <row r="765" s="61" customFormat="1" x14ac:dyDescent="0.25"/>
    <row r="766" s="61" customFormat="1" x14ac:dyDescent="0.25"/>
    <row r="767" s="61" customFormat="1" x14ac:dyDescent="0.25"/>
    <row r="768" s="61" customFormat="1" x14ac:dyDescent="0.25"/>
    <row r="769" s="61" customFormat="1" x14ac:dyDescent="0.25"/>
    <row r="770" s="61" customFormat="1" x14ac:dyDescent="0.25"/>
    <row r="771" s="61" customFormat="1" x14ac:dyDescent="0.25"/>
    <row r="772" s="61" customFormat="1" x14ac:dyDescent="0.25"/>
    <row r="773" s="61" customFormat="1" x14ac:dyDescent="0.25"/>
    <row r="774" s="61" customFormat="1" x14ac:dyDescent="0.25"/>
    <row r="775" s="61" customFormat="1" x14ac:dyDescent="0.25"/>
    <row r="776" s="61" customFormat="1" x14ac:dyDescent="0.25"/>
    <row r="777" s="61" customFormat="1" x14ac:dyDescent="0.25"/>
    <row r="778" s="61" customFormat="1" x14ac:dyDescent="0.25"/>
    <row r="779" s="61" customFormat="1" x14ac:dyDescent="0.25"/>
    <row r="780" s="61" customFormat="1" x14ac:dyDescent="0.25"/>
    <row r="781" s="61" customFormat="1" x14ac:dyDescent="0.25"/>
    <row r="782" s="61" customFormat="1" x14ac:dyDescent="0.25"/>
    <row r="783" s="61" customFormat="1" x14ac:dyDescent="0.25"/>
    <row r="784" s="61" customFormat="1" x14ac:dyDescent="0.25"/>
    <row r="785" s="61" customFormat="1" x14ac:dyDescent="0.25"/>
    <row r="786" s="61" customFormat="1" x14ac:dyDescent="0.25"/>
    <row r="787" s="61" customFormat="1" x14ac:dyDescent="0.25"/>
    <row r="788" s="61" customFormat="1" x14ac:dyDescent="0.25"/>
    <row r="789" s="61" customFormat="1" x14ac:dyDescent="0.25"/>
    <row r="790" s="61" customFormat="1" x14ac:dyDescent="0.25"/>
    <row r="791" s="61" customFormat="1" x14ac:dyDescent="0.25"/>
    <row r="792" s="61" customFormat="1" x14ac:dyDescent="0.25"/>
    <row r="793" s="61" customFormat="1" x14ac:dyDescent="0.25"/>
    <row r="794" s="61" customFormat="1" x14ac:dyDescent="0.25"/>
    <row r="795" s="61" customFormat="1" x14ac:dyDescent="0.25"/>
    <row r="796" s="61" customFormat="1" x14ac:dyDescent="0.25"/>
    <row r="797" s="61" customFormat="1" x14ac:dyDescent="0.25"/>
    <row r="798" s="61" customFormat="1" x14ac:dyDescent="0.25"/>
    <row r="799" s="61" customFormat="1" x14ac:dyDescent="0.25"/>
    <row r="800" s="61" customFormat="1" x14ac:dyDescent="0.25"/>
    <row r="801" s="61" customFormat="1" x14ac:dyDescent="0.25"/>
    <row r="802" s="61" customFormat="1" x14ac:dyDescent="0.25"/>
  </sheetData>
  <mergeCells count="1">
    <mergeCell ref="G3:P3"/>
  </mergeCells>
  <dataValidations count="1">
    <dataValidation type="decimal" allowBlank="1" showInputMessage="1" showErrorMessage="1" error="You only can enter a positive amount." prompt="Enter a positive amount." sqref="E55 G55:P55">
      <formula1>0</formula1>
      <formula2>999999999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07"/>
  <sheetViews>
    <sheetView workbookViewId="0"/>
  </sheetViews>
  <sheetFormatPr defaultColWidth="9.140625" defaultRowHeight="15" x14ac:dyDescent="0.25"/>
  <cols>
    <col min="1" max="1" width="57.7109375" style="4" customWidth="1"/>
    <col min="2" max="2" width="2.7109375" style="4" customWidth="1"/>
    <col min="3" max="3" width="13.7109375" style="4" customWidth="1"/>
    <col min="4" max="4" width="2.7109375" style="4" customWidth="1"/>
    <col min="5" max="5" width="13.7109375" style="4" customWidth="1"/>
    <col min="6" max="6" width="2.7109375" style="4" customWidth="1"/>
    <col min="7" max="16" width="13.7109375" style="4" customWidth="1"/>
    <col min="17" max="17" width="13.28515625" style="4" hidden="1" customWidth="1"/>
    <col min="18" max="18" width="48.140625" style="4" hidden="1" customWidth="1"/>
    <col min="19" max="19" width="45.5703125" style="4" hidden="1" customWidth="1"/>
    <col min="20" max="23" width="9.140625" style="4" hidden="1" customWidth="1"/>
    <col min="24" max="25" width="11.28515625" style="4" hidden="1" customWidth="1"/>
    <col min="26" max="52" width="9.140625" style="4" hidden="1" customWidth="1"/>
    <col min="53" max="55" width="20.7109375" style="4" customWidth="1"/>
    <col min="56" max="62" width="9.140625" style="4" customWidth="1"/>
    <col min="63" max="65" width="9.140625" style="4"/>
    <col min="66" max="66" width="12" style="4" customWidth="1"/>
    <col min="67" max="16384" width="9.140625" style="4"/>
  </cols>
  <sheetData>
    <row r="1" spans="1:55" ht="15" customHeight="1" x14ac:dyDescent="0.25">
      <c r="A1" s="2" t="str">
        <f>'[1]Cover Page'!$A$3</f>
        <v>Lithgow City Council</v>
      </c>
      <c r="B1" s="3"/>
      <c r="D1" s="3"/>
      <c r="F1" s="8"/>
      <c r="Q1" s="1" t="s">
        <v>2</v>
      </c>
      <c r="R1" s="1" t="s">
        <v>2</v>
      </c>
      <c r="S1" s="1" t="s">
        <v>2</v>
      </c>
      <c r="T1" s="1" t="s">
        <v>2</v>
      </c>
      <c r="U1" s="1" t="s">
        <v>2</v>
      </c>
      <c r="V1" s="1" t="s">
        <v>2</v>
      </c>
      <c r="W1" s="1" t="s">
        <v>2</v>
      </c>
      <c r="X1" s="1" t="s">
        <v>2</v>
      </c>
      <c r="Y1" s="1" t="s">
        <v>2</v>
      </c>
      <c r="Z1" s="1" t="s">
        <v>2</v>
      </c>
      <c r="AA1" s="1" t="s">
        <v>2</v>
      </c>
      <c r="AB1" s="1" t="s">
        <v>2</v>
      </c>
      <c r="AC1" s="1" t="s">
        <v>2</v>
      </c>
      <c r="AD1" s="1" t="s">
        <v>2</v>
      </c>
      <c r="AE1" s="1" t="s">
        <v>2</v>
      </c>
      <c r="AF1" s="1" t="s">
        <v>2</v>
      </c>
      <c r="AG1" s="1" t="s">
        <v>2</v>
      </c>
      <c r="AH1" s="1" t="s">
        <v>2</v>
      </c>
      <c r="AI1" s="1" t="s">
        <v>2</v>
      </c>
      <c r="AJ1" s="1" t="s">
        <v>2</v>
      </c>
      <c r="AK1" s="1" t="s">
        <v>2</v>
      </c>
      <c r="AL1" s="1" t="s">
        <v>2</v>
      </c>
      <c r="AM1" s="1" t="s">
        <v>2</v>
      </c>
      <c r="AN1" s="1" t="s">
        <v>2</v>
      </c>
      <c r="AO1" s="1" t="s">
        <v>2</v>
      </c>
      <c r="AP1" s="1" t="s">
        <v>2</v>
      </c>
      <c r="AQ1" s="1" t="s">
        <v>2</v>
      </c>
      <c r="AR1" s="1" t="s">
        <v>2</v>
      </c>
      <c r="AS1" s="1" t="s">
        <v>2</v>
      </c>
      <c r="AT1" s="1" t="s">
        <v>2</v>
      </c>
      <c r="AU1" s="1" t="s">
        <v>2</v>
      </c>
      <c r="AV1" s="1" t="s">
        <v>2</v>
      </c>
      <c r="AW1" s="1" t="s">
        <v>2</v>
      </c>
      <c r="AX1" s="1" t="s">
        <v>2</v>
      </c>
      <c r="AY1" s="1" t="s">
        <v>2</v>
      </c>
      <c r="AZ1" s="1" t="s">
        <v>2</v>
      </c>
      <c r="BA1" s="5" t="s">
        <v>1</v>
      </c>
      <c r="BB1" s="5" t="s">
        <v>1</v>
      </c>
      <c r="BC1" s="5" t="s">
        <v>1</v>
      </c>
    </row>
    <row r="2" spans="1:55" ht="15" customHeight="1" x14ac:dyDescent="0.25">
      <c r="A2" s="2" t="str">
        <f>'[1]Cover Page'!$A$5</f>
        <v>10 Year Financial Plan for the Years ending 30 June 2029</v>
      </c>
      <c r="B2" s="3"/>
      <c r="D2" s="3"/>
      <c r="F2" s="8"/>
      <c r="AZ2" s="1" t="s">
        <v>2</v>
      </c>
      <c r="BA2" s="5" t="s">
        <v>1</v>
      </c>
      <c r="BB2" s="5" t="s">
        <v>1</v>
      </c>
      <c r="BC2" s="5" t="s">
        <v>1</v>
      </c>
    </row>
    <row r="3" spans="1:55" ht="15" customHeight="1" x14ac:dyDescent="0.25">
      <c r="A3" s="7" t="str">
        <f>"CASH FLOW STATEMENT - "&amp;UPPER(general_fund_name)</f>
        <v>CASH FLOW STATEMENT - GENERAL FUND</v>
      </c>
      <c r="B3" s="8"/>
      <c r="C3" s="9" t="s">
        <v>3</v>
      </c>
      <c r="D3" s="79"/>
      <c r="E3" s="9" t="s">
        <v>4</v>
      </c>
      <c r="F3" s="8"/>
      <c r="G3" s="12" t="s">
        <v>5</v>
      </c>
      <c r="H3" s="12"/>
      <c r="I3" s="12"/>
      <c r="J3" s="12"/>
      <c r="K3" s="12"/>
      <c r="L3" s="12"/>
      <c r="M3" s="12"/>
      <c r="N3" s="12"/>
      <c r="O3" s="12"/>
      <c r="P3" s="12"/>
      <c r="AZ3" s="1" t="s">
        <v>2</v>
      </c>
      <c r="BA3" s="5" t="s">
        <v>1</v>
      </c>
      <c r="BB3" s="5" t="s">
        <v>1</v>
      </c>
      <c r="BC3" s="5" t="s">
        <v>1</v>
      </c>
    </row>
    <row r="4" spans="1:55" ht="15" customHeight="1" x14ac:dyDescent="0.25">
      <c r="A4" s="2" t="str">
        <f>"Scenario: "&amp;general_scenario_name</f>
        <v>Scenario: Base Scenario</v>
      </c>
      <c r="B4" s="14"/>
      <c r="C4" s="15" t="str">
        <f>Starting_year_general-2&amp;"/"&amp;RIGHT(Starting_year_general-1,2)</f>
        <v>2017/18</v>
      </c>
      <c r="D4" s="14"/>
      <c r="E4" s="15" t="str">
        <f>Starting_year_general-1&amp;"/"&amp;RIGHT(Starting_year_general,2)</f>
        <v>2018/19</v>
      </c>
      <c r="F4" s="14"/>
      <c r="G4" s="15" t="str">
        <f>Starting_year_general&amp;"/"&amp;RIGHT(Starting_year_general+1,2)</f>
        <v>2019/20</v>
      </c>
      <c r="H4" s="15" t="str">
        <f>Starting_year_general+1&amp;"/"&amp;RIGHT(Starting_year_general+2,2)</f>
        <v>2020/21</v>
      </c>
      <c r="I4" s="15" t="str">
        <f>Starting_year_general+2&amp;"/"&amp;RIGHT(Starting_year_general+3,2)</f>
        <v>2021/22</v>
      </c>
      <c r="J4" s="15" t="str">
        <f>Starting_year_general+3&amp;"/"&amp;RIGHT(Starting_year_general+4,2)</f>
        <v>2022/23</v>
      </c>
      <c r="K4" s="15" t="str">
        <f>Starting_year_general+4&amp;"/"&amp;RIGHT(Starting_year_general+5,2)</f>
        <v>2023/24</v>
      </c>
      <c r="L4" s="15" t="str">
        <f>Starting_year_general+5&amp;"/"&amp;RIGHT(Starting_year_general+6,2)</f>
        <v>2024/25</v>
      </c>
      <c r="M4" s="15" t="str">
        <f>Starting_year_general+6&amp;"/"&amp;RIGHT(Starting_year_general+7,2)</f>
        <v>2025/26</v>
      </c>
      <c r="N4" s="15" t="str">
        <f>Starting_year_general+7&amp;"/"&amp;RIGHT(Starting_year_general+8,2)</f>
        <v>2026/27</v>
      </c>
      <c r="O4" s="15" t="str">
        <f>Starting_year_general+8&amp;"/"&amp;RIGHT(Starting_year_general+9,2)</f>
        <v>2027/28</v>
      </c>
      <c r="P4" s="15" t="str">
        <f>Starting_year_general+9&amp;"/"&amp;RIGHT(Starting_year_general+10,2)</f>
        <v>2028/29</v>
      </c>
      <c r="V4" s="9" t="str">
        <f>E4</f>
        <v>2018/19</v>
      </c>
      <c r="W4" s="9" t="str">
        <f t="shared" ref="W4:AF4" si="0">G4</f>
        <v>2019/20</v>
      </c>
      <c r="X4" s="9" t="str">
        <f t="shared" si="0"/>
        <v>2020/21</v>
      </c>
      <c r="Y4" s="9" t="str">
        <f t="shared" si="0"/>
        <v>2021/22</v>
      </c>
      <c r="Z4" s="9" t="str">
        <f t="shared" si="0"/>
        <v>2022/23</v>
      </c>
      <c r="AA4" s="9" t="str">
        <f t="shared" si="0"/>
        <v>2023/24</v>
      </c>
      <c r="AB4" s="9" t="str">
        <f t="shared" si="0"/>
        <v>2024/25</v>
      </c>
      <c r="AC4" s="9" t="str">
        <f t="shared" si="0"/>
        <v>2025/26</v>
      </c>
      <c r="AD4" s="9" t="str">
        <f t="shared" si="0"/>
        <v>2026/27</v>
      </c>
      <c r="AE4" s="9" t="str">
        <f t="shared" si="0"/>
        <v>2027/28</v>
      </c>
      <c r="AF4" s="9" t="str">
        <f t="shared" si="0"/>
        <v>2028/29</v>
      </c>
      <c r="AV4" s="9"/>
      <c r="AW4" s="9"/>
      <c r="AX4" s="9"/>
      <c r="AZ4" s="1" t="s">
        <v>2</v>
      </c>
      <c r="BA4" s="5" t="s">
        <v>1</v>
      </c>
      <c r="BB4" s="5" t="s">
        <v>1</v>
      </c>
      <c r="BC4" s="5" t="s">
        <v>1</v>
      </c>
    </row>
    <row r="5" spans="1:55" ht="15" customHeight="1" thickBot="1" x14ac:dyDescent="0.3">
      <c r="A5" s="16"/>
      <c r="B5" s="17"/>
      <c r="C5" s="18" t="str">
        <f>IF('[1]Cover Page'!$K$19=TRUE,"$","$'000")</f>
        <v>$'000</v>
      </c>
      <c r="D5" s="17"/>
      <c r="E5" s="18" t="str">
        <f>IF('[1]Cover Page'!$K$19=TRUE,"$","$'000")</f>
        <v>$'000</v>
      </c>
      <c r="F5" s="17"/>
      <c r="G5" s="18" t="str">
        <f>IF('[1]Cover Page'!$K$19=TRUE,"$","$'000")</f>
        <v>$'000</v>
      </c>
      <c r="H5" s="18" t="str">
        <f>IF('[1]Cover Page'!$K$19=TRUE,"$","$'000")</f>
        <v>$'000</v>
      </c>
      <c r="I5" s="18" t="str">
        <f>IF('[1]Cover Page'!$K$19=TRUE,"$","$'000")</f>
        <v>$'000</v>
      </c>
      <c r="J5" s="18" t="str">
        <f>IF('[1]Cover Page'!$K$19=TRUE,"$","$'000")</f>
        <v>$'000</v>
      </c>
      <c r="K5" s="18" t="str">
        <f>IF('[1]Cover Page'!$K$19=TRUE,"$","$'000")</f>
        <v>$'000</v>
      </c>
      <c r="L5" s="18" t="str">
        <f>IF('[1]Cover Page'!$K$19=TRUE,"$","$'000")</f>
        <v>$'000</v>
      </c>
      <c r="M5" s="18" t="str">
        <f>IF('[1]Cover Page'!$K$19=TRUE,"$","$'000")</f>
        <v>$'000</v>
      </c>
      <c r="N5" s="18" t="str">
        <f>IF('[1]Cover Page'!$K$19=TRUE,"$","$'000")</f>
        <v>$'000</v>
      </c>
      <c r="O5" s="18" t="str">
        <f>IF('[1]Cover Page'!$K$19=TRUE,"$","$'000")</f>
        <v>$'000</v>
      </c>
      <c r="P5" s="18" t="str">
        <f>IF('[1]Cover Page'!$K$19=TRUE,"$","$'000")</f>
        <v>$'000</v>
      </c>
      <c r="AZ5" s="1" t="s">
        <v>2</v>
      </c>
      <c r="BA5" s="5" t="s">
        <v>1</v>
      </c>
      <c r="BB5" s="5" t="s">
        <v>1</v>
      </c>
      <c r="BC5" s="5" t="s">
        <v>1</v>
      </c>
    </row>
    <row r="6" spans="1:55" x14ac:dyDescent="0.25">
      <c r="A6" s="20" t="s">
        <v>171</v>
      </c>
      <c r="B6" s="21"/>
      <c r="C6" s="19"/>
      <c r="D6" s="21"/>
      <c r="E6" s="19"/>
      <c r="F6" s="21"/>
      <c r="G6" s="19"/>
      <c r="H6" s="24"/>
      <c r="I6" s="19"/>
      <c r="J6" s="19"/>
      <c r="K6" s="19"/>
      <c r="L6" s="19"/>
      <c r="M6" s="19"/>
      <c r="N6" s="19"/>
      <c r="O6" s="19"/>
      <c r="P6" s="19"/>
      <c r="AZ6" s="1" t="s">
        <v>2</v>
      </c>
      <c r="BA6" s="5" t="s">
        <v>1</v>
      </c>
      <c r="BB6" s="5" t="s">
        <v>1</v>
      </c>
      <c r="BC6" s="5" t="s">
        <v>1</v>
      </c>
    </row>
    <row r="7" spans="1:55" ht="15.75" thickBot="1" x14ac:dyDescent="0.3">
      <c r="A7" s="25" t="s">
        <v>172</v>
      </c>
      <c r="B7" s="21"/>
      <c r="C7" s="19"/>
      <c r="D7" s="21"/>
      <c r="E7" s="19"/>
      <c r="F7" s="21"/>
      <c r="G7" s="19"/>
      <c r="H7" s="19"/>
      <c r="I7" s="19"/>
      <c r="J7" s="19"/>
      <c r="K7" s="19"/>
      <c r="L7" s="19"/>
      <c r="M7" s="19"/>
      <c r="N7" s="19"/>
      <c r="O7" s="19"/>
      <c r="P7" s="19"/>
      <c r="R7" s="60" t="s">
        <v>173</v>
      </c>
      <c r="AZ7" s="1" t="s">
        <v>2</v>
      </c>
      <c r="BA7" s="5" t="s">
        <v>1</v>
      </c>
      <c r="BB7" s="5" t="s">
        <v>1</v>
      </c>
      <c r="BC7" s="5" t="s">
        <v>1</v>
      </c>
    </row>
    <row r="8" spans="1:55" ht="15.75" thickTop="1" x14ac:dyDescent="0.25">
      <c r="A8" s="19" t="s">
        <v>13</v>
      </c>
      <c r="B8" s="21"/>
      <c r="C8" s="19">
        <v>0</v>
      </c>
      <c r="D8" s="21"/>
      <c r="E8" s="19">
        <v>16747136.739935443</v>
      </c>
      <c r="F8" s="21"/>
      <c r="G8" s="19">
        <v>17690544.25098931</v>
      </c>
      <c r="H8" s="19">
        <v>18159623.050702233</v>
      </c>
      <c r="I8" s="19">
        <v>18607876.861317892</v>
      </c>
      <c r="J8" s="19">
        <v>19066966.956287675</v>
      </c>
      <c r="K8" s="19">
        <v>19537534.238149919</v>
      </c>
      <c r="L8" s="19">
        <v>20019865.747316528</v>
      </c>
      <c r="M8" s="19">
        <v>20514255.473225296</v>
      </c>
      <c r="N8" s="19">
        <v>21021004.933290608</v>
      </c>
      <c r="O8" s="19">
        <v>21540423.194926832</v>
      </c>
      <c r="P8" s="19">
        <v>22072826.846631434</v>
      </c>
      <c r="Q8" s="80"/>
      <c r="R8" s="81" t="s">
        <v>13</v>
      </c>
      <c r="S8" s="82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Z8" s="1" t="s">
        <v>2</v>
      </c>
      <c r="BA8" s="5" t="s">
        <v>1</v>
      </c>
      <c r="BB8" s="5" t="s">
        <v>1</v>
      </c>
      <c r="BC8" s="5" t="s">
        <v>1</v>
      </c>
    </row>
    <row r="9" spans="1:55" x14ac:dyDescent="0.25">
      <c r="A9" s="19" t="s">
        <v>15</v>
      </c>
      <c r="B9" s="21"/>
      <c r="C9" s="19">
        <v>0</v>
      </c>
      <c r="D9" s="21"/>
      <c r="E9" s="19">
        <v>1437181.3403303674</v>
      </c>
      <c r="F9" s="21"/>
      <c r="G9" s="19">
        <v>1619767.468868196</v>
      </c>
      <c r="H9" s="19">
        <v>3056753.597807995</v>
      </c>
      <c r="I9" s="19">
        <v>3555064.0268369615</v>
      </c>
      <c r="J9" s="19">
        <v>3889695.3945634225</v>
      </c>
      <c r="K9" s="19">
        <v>4281843.5397287495</v>
      </c>
      <c r="L9" s="19">
        <v>4433855.2529366538</v>
      </c>
      <c r="M9" s="19">
        <v>4544701.6556978906</v>
      </c>
      <c r="N9" s="19">
        <v>4658319.1913420837</v>
      </c>
      <c r="O9" s="19">
        <v>4774777.1451906394</v>
      </c>
      <c r="P9" s="19">
        <v>4894146.5740519203</v>
      </c>
      <c r="Q9" s="80"/>
      <c r="R9" s="84" t="s">
        <v>15</v>
      </c>
      <c r="S9" s="85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Z9" s="1" t="s">
        <v>2</v>
      </c>
      <c r="BA9" s="5" t="s">
        <v>1</v>
      </c>
      <c r="BB9" s="5" t="s">
        <v>1</v>
      </c>
      <c r="BC9" s="5" t="s">
        <v>1</v>
      </c>
    </row>
    <row r="10" spans="1:55" x14ac:dyDescent="0.25">
      <c r="A10" s="19" t="s">
        <v>174</v>
      </c>
      <c r="B10" s="21"/>
      <c r="C10" s="19">
        <v>0</v>
      </c>
      <c r="D10" s="21"/>
      <c r="E10" s="19">
        <v>940952.91322850622</v>
      </c>
      <c r="F10" s="21"/>
      <c r="G10" s="19">
        <v>863848.40155134583</v>
      </c>
      <c r="H10" s="19">
        <v>879373.55460132216</v>
      </c>
      <c r="I10" s="19">
        <v>908891.09732667578</v>
      </c>
      <c r="J10" s="19">
        <v>935601.88278900972</v>
      </c>
      <c r="K10" s="19">
        <v>960386.14312552335</v>
      </c>
      <c r="L10" s="19">
        <v>986197.52365968726</v>
      </c>
      <c r="M10" s="19">
        <v>1014969.2089687844</v>
      </c>
      <c r="N10" s="19">
        <v>1039276.7594390054</v>
      </c>
      <c r="O10" s="19">
        <v>1070720.0179347014</v>
      </c>
      <c r="P10" s="19">
        <v>1108017.4687955191</v>
      </c>
      <c r="Q10" s="80"/>
      <c r="R10" s="84" t="s">
        <v>16</v>
      </c>
      <c r="S10" s="85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Z10" s="1" t="s">
        <v>2</v>
      </c>
      <c r="BA10" s="5" t="s">
        <v>1</v>
      </c>
      <c r="BB10" s="5" t="s">
        <v>1</v>
      </c>
      <c r="BC10" s="5" t="s">
        <v>1</v>
      </c>
    </row>
    <row r="11" spans="1:55" x14ac:dyDescent="0.25">
      <c r="A11" s="19" t="s">
        <v>175</v>
      </c>
      <c r="B11" s="21"/>
      <c r="C11" s="19">
        <v>0</v>
      </c>
      <c r="D11" s="21"/>
      <c r="E11" s="19">
        <v>11340463.011675697</v>
      </c>
      <c r="F11" s="21"/>
      <c r="G11" s="19">
        <v>10584662.250610815</v>
      </c>
      <c r="H11" s="19">
        <v>10636805.466380281</v>
      </c>
      <c r="I11" s="19">
        <v>10795041.198386466</v>
      </c>
      <c r="J11" s="19">
        <v>10956966.813429471</v>
      </c>
      <c r="K11" s="19">
        <v>11121321.316334624</v>
      </c>
      <c r="L11" s="19">
        <v>11290331.007142378</v>
      </c>
      <c r="M11" s="19">
        <v>11462129.827364311</v>
      </c>
      <c r="N11" s="19">
        <v>11636554.500002766</v>
      </c>
      <c r="O11" s="19">
        <v>11813645.410755845</v>
      </c>
      <c r="P11" s="19">
        <v>11993443.528824991</v>
      </c>
      <c r="Q11" s="80"/>
      <c r="R11" s="84" t="s">
        <v>19</v>
      </c>
      <c r="S11" s="85" t="s">
        <v>20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Z11" s="1" t="s">
        <v>2</v>
      </c>
      <c r="BA11" s="5" t="s">
        <v>1</v>
      </c>
      <c r="BB11" s="5" t="s">
        <v>1</v>
      </c>
      <c r="BC11" s="5" t="s">
        <v>1</v>
      </c>
    </row>
    <row r="12" spans="1:55" x14ac:dyDescent="0.25">
      <c r="A12" s="24" t="s">
        <v>176</v>
      </c>
      <c r="B12" s="21"/>
      <c r="C12" s="19">
        <v>0</v>
      </c>
      <c r="D12" s="21"/>
      <c r="E12" s="34">
        <v>0</v>
      </c>
      <c r="F12" s="21"/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80"/>
      <c r="R12" s="84"/>
      <c r="S12" s="85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Z12" s="1" t="s">
        <v>2</v>
      </c>
      <c r="BA12" s="5" t="s">
        <v>1</v>
      </c>
      <c r="BB12" s="5" t="s">
        <v>1</v>
      </c>
      <c r="BC12" s="5" t="s">
        <v>1</v>
      </c>
    </row>
    <row r="13" spans="1:55" x14ac:dyDescent="0.25">
      <c r="A13" s="19" t="s">
        <v>131</v>
      </c>
      <c r="B13" s="21"/>
      <c r="C13" s="19">
        <v>0</v>
      </c>
      <c r="D13" s="21"/>
      <c r="E13" s="19">
        <v>968573.99160844367</v>
      </c>
      <c r="F13" s="21"/>
      <c r="G13" s="19">
        <v>1404638.0252951602</v>
      </c>
      <c r="H13" s="19">
        <v>1569893.1077808619</v>
      </c>
      <c r="I13" s="19">
        <v>1482322.1490074266</v>
      </c>
      <c r="J13" s="19">
        <v>1527081.6388077787</v>
      </c>
      <c r="K13" s="19">
        <v>1573862.3228371763</v>
      </c>
      <c r="L13" s="19">
        <v>1586016.8106016088</v>
      </c>
      <c r="M13" s="19">
        <v>1625709.1294612726</v>
      </c>
      <c r="N13" s="19">
        <v>1666394.3734844225</v>
      </c>
      <c r="O13" s="19">
        <v>1708097.3972193543</v>
      </c>
      <c r="P13" s="19">
        <v>1750843.6496571228</v>
      </c>
      <c r="Q13" s="80"/>
      <c r="R13" s="84" t="s">
        <v>18</v>
      </c>
      <c r="S13" s="85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Z13" s="1" t="s">
        <v>2</v>
      </c>
      <c r="BA13" s="5" t="s">
        <v>1</v>
      </c>
      <c r="BB13" s="5" t="s">
        <v>1</v>
      </c>
      <c r="BC13" s="5" t="s">
        <v>1</v>
      </c>
    </row>
    <row r="14" spans="1:55" x14ac:dyDescent="0.25">
      <c r="A14" s="25" t="s">
        <v>177</v>
      </c>
      <c r="B14" s="21"/>
      <c r="C14" s="19"/>
      <c r="D14" s="21"/>
      <c r="E14" s="19"/>
      <c r="F14" s="21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80"/>
      <c r="R14" s="84"/>
      <c r="S14" s="85"/>
      <c r="AZ14" s="1" t="s">
        <v>2</v>
      </c>
      <c r="BA14" s="5" t="s">
        <v>1</v>
      </c>
      <c r="BB14" s="5" t="s">
        <v>1</v>
      </c>
      <c r="BC14" s="5" t="s">
        <v>1</v>
      </c>
    </row>
    <row r="15" spans="1:55" x14ac:dyDescent="0.25">
      <c r="A15" s="19" t="s">
        <v>31</v>
      </c>
      <c r="B15" s="40"/>
      <c r="C15" s="19">
        <v>0</v>
      </c>
      <c r="D15" s="40"/>
      <c r="E15" s="19">
        <v>-11232840.705357559</v>
      </c>
      <c r="F15" s="40"/>
      <c r="G15" s="19">
        <v>-11528019.805947552</v>
      </c>
      <c r="H15" s="19">
        <v>-12534017.672482127</v>
      </c>
      <c r="I15" s="19">
        <v>-12758787.904868875</v>
      </c>
      <c r="J15" s="19">
        <v>-13077171.625443995</v>
      </c>
      <c r="K15" s="19">
        <v>-13404100.92456495</v>
      </c>
      <c r="L15" s="19">
        <v>-13739203.477547675</v>
      </c>
      <c r="M15" s="19">
        <v>-14082683.751364728</v>
      </c>
      <c r="N15" s="19">
        <v>-14434750.89461562</v>
      </c>
      <c r="O15" s="19">
        <v>-14795619.77882899</v>
      </c>
      <c r="P15" s="19">
        <v>-15165510.270789634</v>
      </c>
      <c r="Q15" s="80"/>
      <c r="R15" s="84" t="s">
        <v>31</v>
      </c>
      <c r="S15" s="85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Z15" s="1" t="s">
        <v>2</v>
      </c>
      <c r="BA15" s="5" t="s">
        <v>1</v>
      </c>
      <c r="BB15" s="5" t="s">
        <v>1</v>
      </c>
      <c r="BC15" s="5" t="s">
        <v>1</v>
      </c>
    </row>
    <row r="16" spans="1:55" x14ac:dyDescent="0.25">
      <c r="A16" s="19" t="s">
        <v>33</v>
      </c>
      <c r="B16" s="40"/>
      <c r="C16" s="19">
        <v>0</v>
      </c>
      <c r="D16" s="40"/>
      <c r="E16" s="19">
        <v>-5716386.3150264267</v>
      </c>
      <c r="F16" s="40"/>
      <c r="G16" s="19">
        <v>-4344407.9136376483</v>
      </c>
      <c r="H16" s="19">
        <v>-4439429.6707288651</v>
      </c>
      <c r="I16" s="19">
        <v>-4606123.6896210508</v>
      </c>
      <c r="J16" s="19">
        <v>-4689760.1136141326</v>
      </c>
      <c r="K16" s="19">
        <v>-4758979.5536332186</v>
      </c>
      <c r="L16" s="19">
        <v>-4804494.1656805873</v>
      </c>
      <c r="M16" s="19">
        <v>-5047421.612315014</v>
      </c>
      <c r="N16" s="19">
        <v>-5077237.5673739621</v>
      </c>
      <c r="O16" s="19">
        <v>-5186451.4823282836</v>
      </c>
      <c r="P16" s="19">
        <v>-5237506.0473697567</v>
      </c>
      <c r="Q16" s="80"/>
      <c r="R16" s="84" t="s">
        <v>33</v>
      </c>
      <c r="S16" s="85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Z16" s="1" t="s">
        <v>2</v>
      </c>
      <c r="BA16" s="5" t="s">
        <v>1</v>
      </c>
      <c r="BB16" s="5" t="s">
        <v>1</v>
      </c>
      <c r="BC16" s="5" t="s">
        <v>1</v>
      </c>
    </row>
    <row r="17" spans="1:55" x14ac:dyDescent="0.25">
      <c r="A17" s="19" t="s">
        <v>32</v>
      </c>
      <c r="B17" s="40"/>
      <c r="C17" s="19">
        <v>0</v>
      </c>
      <c r="D17" s="40"/>
      <c r="E17" s="19">
        <v>-204513.00515139909</v>
      </c>
      <c r="F17" s="40"/>
      <c r="G17" s="19">
        <v>-163330.06303463111</v>
      </c>
      <c r="H17" s="19">
        <v>-133040.32892687761</v>
      </c>
      <c r="I17" s="19">
        <v>-103158.76659434632</v>
      </c>
      <c r="J17" s="19">
        <v>-72689.023903488909</v>
      </c>
      <c r="K17" s="19">
        <v>-49991.326510191073</v>
      </c>
      <c r="L17" s="19">
        <v>-24907.709785957493</v>
      </c>
      <c r="M17" s="19">
        <v>-9893.8540861368474</v>
      </c>
      <c r="N17" s="19">
        <v>-9212.9583008175214</v>
      </c>
      <c r="O17" s="19">
        <v>-8527.4716954573923</v>
      </c>
      <c r="P17" s="19">
        <v>-7769.7192504894174</v>
      </c>
      <c r="Q17" s="80"/>
      <c r="R17" s="84" t="s">
        <v>32</v>
      </c>
      <c r="S17" s="85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Z17" s="1" t="s">
        <v>2</v>
      </c>
      <c r="BA17" s="5" t="s">
        <v>1</v>
      </c>
      <c r="BB17" s="5" t="s">
        <v>1</v>
      </c>
      <c r="BC17" s="5" t="s">
        <v>1</v>
      </c>
    </row>
    <row r="18" spans="1:55" x14ac:dyDescent="0.25">
      <c r="A18" s="19" t="s">
        <v>178</v>
      </c>
      <c r="B18" s="40"/>
      <c r="C18" s="19">
        <v>0</v>
      </c>
      <c r="D18" s="21"/>
      <c r="E18" s="19">
        <v>0</v>
      </c>
      <c r="F18" s="21"/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80"/>
      <c r="R18" s="84"/>
      <c r="S18" s="85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Z18" s="1" t="s">
        <v>2</v>
      </c>
      <c r="BA18" s="5" t="s">
        <v>1</v>
      </c>
      <c r="BB18" s="5" t="s">
        <v>1</v>
      </c>
      <c r="BC18" s="5" t="s">
        <v>1</v>
      </c>
    </row>
    <row r="19" spans="1:55" ht="15.75" thickBot="1" x14ac:dyDescent="0.3">
      <c r="A19" s="19" t="s">
        <v>131</v>
      </c>
      <c r="B19" s="40"/>
      <c r="C19" s="19">
        <v>0</v>
      </c>
      <c r="D19" s="40"/>
      <c r="E19" s="19">
        <v>-4548193.9888903536</v>
      </c>
      <c r="F19" s="40"/>
      <c r="G19" s="19">
        <v>-4938053.6524064308</v>
      </c>
      <c r="H19" s="19">
        <v>-4862181.4772502286</v>
      </c>
      <c r="I19" s="19">
        <v>-4978763.5146003673</v>
      </c>
      <c r="J19" s="19">
        <v>-4899094.4437483503</v>
      </c>
      <c r="K19" s="19">
        <v>-5006895.5483532827</v>
      </c>
      <c r="L19" s="19">
        <v>-5256998.8163698129</v>
      </c>
      <c r="M19" s="19">
        <v>-5229644.5040719118</v>
      </c>
      <c r="N19" s="19">
        <v>-5344667.9757799981</v>
      </c>
      <c r="O19" s="19">
        <v>-5462245.4770433102</v>
      </c>
      <c r="P19" s="19">
        <v>-5722379.3563454729</v>
      </c>
      <c r="Q19" s="61"/>
      <c r="R19" s="61" t="e">
        <f>-'[1]CF workings'!R118-SUM(R57)+R94+'[1]BS workings'!R918+'[1]BS workings'!R919</f>
        <v>#VALUE!</v>
      </c>
      <c r="S19" s="86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Z19" s="1" t="s">
        <v>2</v>
      </c>
      <c r="BA19" s="5" t="s">
        <v>1</v>
      </c>
      <c r="BB19" s="5" t="s">
        <v>1</v>
      </c>
      <c r="BC19" s="5" t="s">
        <v>1</v>
      </c>
    </row>
    <row r="20" spans="1:55" ht="15.75" thickTop="1" x14ac:dyDescent="0.25">
      <c r="A20" s="19"/>
      <c r="B20" s="40"/>
      <c r="C20" s="19"/>
      <c r="D20" s="40"/>
      <c r="E20" s="19"/>
      <c r="F20" s="40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80"/>
      <c r="AZ20" s="1" t="s">
        <v>2</v>
      </c>
      <c r="BA20" s="5" t="s">
        <v>1</v>
      </c>
      <c r="BB20" s="5" t="s">
        <v>1</v>
      </c>
      <c r="BC20" s="5" t="s">
        <v>1</v>
      </c>
    </row>
    <row r="21" spans="1:55" x14ac:dyDescent="0.25">
      <c r="A21" s="25" t="s">
        <v>179</v>
      </c>
      <c r="B21" s="40"/>
      <c r="C21" s="42">
        <v>0</v>
      </c>
      <c r="D21" s="40"/>
      <c r="E21" s="42">
        <v>9732373.9823527206</v>
      </c>
      <c r="F21" s="40"/>
      <c r="G21" s="42">
        <v>11189648.96228857</v>
      </c>
      <c r="H21" s="42">
        <v>12333779.627884597</v>
      </c>
      <c r="I21" s="42">
        <v>12902361.457190786</v>
      </c>
      <c r="J21" s="42">
        <v>13637597.479167391</v>
      </c>
      <c r="K21" s="42">
        <v>14254980.207114341</v>
      </c>
      <c r="L21" s="42">
        <v>14490662.172272824</v>
      </c>
      <c r="M21" s="42">
        <v>14792121.572879756</v>
      </c>
      <c r="N21" s="42">
        <v>15155680.361488491</v>
      </c>
      <c r="O21" s="42">
        <v>15454818.956131326</v>
      </c>
      <c r="P21" s="42">
        <v>15686112.674205633</v>
      </c>
      <c r="Q21" s="80"/>
      <c r="AZ21" s="1" t="s">
        <v>2</v>
      </c>
      <c r="BA21" s="5" t="s">
        <v>1</v>
      </c>
      <c r="BB21" s="5" t="s">
        <v>1</v>
      </c>
      <c r="BC21" s="5" t="s">
        <v>1</v>
      </c>
    </row>
    <row r="22" spans="1:55" x14ac:dyDescent="0.25">
      <c r="A22" s="19"/>
      <c r="B22" s="40"/>
      <c r="C22" s="19"/>
      <c r="D22" s="40"/>
      <c r="E22" s="19"/>
      <c r="F22" s="40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80"/>
      <c r="AZ22" s="1" t="s">
        <v>2</v>
      </c>
      <c r="BA22" s="5" t="s">
        <v>1</v>
      </c>
      <c r="BB22" s="5" t="s">
        <v>1</v>
      </c>
      <c r="BC22" s="5" t="s">
        <v>1</v>
      </c>
    </row>
    <row r="23" spans="1:55" x14ac:dyDescent="0.25">
      <c r="A23" s="20" t="s">
        <v>180</v>
      </c>
      <c r="B23" s="40"/>
      <c r="C23" s="19"/>
      <c r="D23" s="40"/>
      <c r="E23" s="19"/>
      <c r="F23" s="40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80"/>
      <c r="AZ23" s="1" t="s">
        <v>2</v>
      </c>
      <c r="BA23" s="5" t="s">
        <v>1</v>
      </c>
      <c r="BB23" s="5" t="s">
        <v>1</v>
      </c>
      <c r="BC23" s="5" t="s">
        <v>1</v>
      </c>
    </row>
    <row r="24" spans="1:55" x14ac:dyDescent="0.25">
      <c r="A24" s="25" t="s">
        <v>172</v>
      </c>
      <c r="B24" s="40"/>
      <c r="C24" s="19"/>
      <c r="D24" s="40"/>
      <c r="E24" s="19"/>
      <c r="F24" s="40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80"/>
      <c r="AZ24" s="1" t="s">
        <v>2</v>
      </c>
      <c r="BA24" s="5" t="s">
        <v>1</v>
      </c>
      <c r="BB24" s="5" t="s">
        <v>1</v>
      </c>
      <c r="BC24" s="5" t="s">
        <v>1</v>
      </c>
    </row>
    <row r="25" spans="1:55" x14ac:dyDescent="0.25">
      <c r="A25" s="24" t="s">
        <v>181</v>
      </c>
      <c r="B25" s="40"/>
      <c r="C25" s="19">
        <v>0</v>
      </c>
      <c r="D25" s="40"/>
      <c r="E25" s="19">
        <v>0</v>
      </c>
      <c r="F25" s="40"/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80"/>
      <c r="AZ25" s="1" t="s">
        <v>2</v>
      </c>
      <c r="BA25" s="5" t="s">
        <v>1</v>
      </c>
      <c r="BB25" s="5" t="s">
        <v>1</v>
      </c>
      <c r="BC25" s="5" t="s">
        <v>1</v>
      </c>
    </row>
    <row r="26" spans="1:55" x14ac:dyDescent="0.25">
      <c r="A26" s="19" t="s">
        <v>182</v>
      </c>
      <c r="B26" s="40"/>
      <c r="C26" s="19">
        <v>0</v>
      </c>
      <c r="D26" s="40"/>
      <c r="E26" s="19">
        <v>0</v>
      </c>
      <c r="F26" s="40"/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80"/>
      <c r="AZ26" s="1" t="s">
        <v>2</v>
      </c>
      <c r="BA26" s="5" t="s">
        <v>1</v>
      </c>
      <c r="BB26" s="5" t="s">
        <v>1</v>
      </c>
      <c r="BC26" s="5" t="s">
        <v>1</v>
      </c>
    </row>
    <row r="27" spans="1:55" x14ac:dyDescent="0.25">
      <c r="A27" s="19" t="s">
        <v>183</v>
      </c>
      <c r="B27" s="40"/>
      <c r="C27" s="19">
        <v>0</v>
      </c>
      <c r="D27" s="40"/>
      <c r="E27" s="19">
        <v>0</v>
      </c>
      <c r="F27" s="40"/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80"/>
      <c r="AZ27" s="1" t="s">
        <v>2</v>
      </c>
      <c r="BA27" s="5" t="s">
        <v>1</v>
      </c>
      <c r="BB27" s="5" t="s">
        <v>1</v>
      </c>
      <c r="BC27" s="5" t="s">
        <v>1</v>
      </c>
    </row>
    <row r="28" spans="1:55" x14ac:dyDescent="0.25">
      <c r="A28" s="19" t="s">
        <v>184</v>
      </c>
      <c r="B28" s="40"/>
      <c r="C28" s="19">
        <v>0</v>
      </c>
      <c r="D28" s="40"/>
      <c r="E28" s="19">
        <v>0</v>
      </c>
      <c r="F28" s="40"/>
      <c r="G28" s="19">
        <v>1566000</v>
      </c>
      <c r="H28" s="19">
        <v>1476000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80"/>
      <c r="AZ28" s="1" t="s">
        <v>2</v>
      </c>
      <c r="BA28" s="5" t="s">
        <v>1</v>
      </c>
      <c r="BB28" s="5" t="s">
        <v>1</v>
      </c>
      <c r="BC28" s="5" t="s">
        <v>1</v>
      </c>
    </row>
    <row r="29" spans="1:55" x14ac:dyDescent="0.25">
      <c r="A29" s="19" t="s">
        <v>185</v>
      </c>
      <c r="B29" s="40"/>
      <c r="C29" s="19">
        <v>0</v>
      </c>
      <c r="D29" s="40"/>
      <c r="E29" s="19">
        <v>0</v>
      </c>
      <c r="F29" s="40"/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80"/>
      <c r="AZ29" s="1" t="s">
        <v>2</v>
      </c>
      <c r="BA29" s="5" t="s">
        <v>1</v>
      </c>
      <c r="BB29" s="5" t="s">
        <v>1</v>
      </c>
      <c r="BC29" s="5" t="s">
        <v>1</v>
      </c>
    </row>
    <row r="30" spans="1:55" x14ac:dyDescent="0.25">
      <c r="A30" s="24" t="s">
        <v>186</v>
      </c>
      <c r="B30" s="40"/>
      <c r="C30" s="34">
        <v>0</v>
      </c>
      <c r="D30" s="40"/>
      <c r="E30" s="19">
        <v>0</v>
      </c>
      <c r="F30" s="40"/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80"/>
      <c r="AZ30" s="1" t="s">
        <v>2</v>
      </c>
      <c r="BA30" s="5" t="s">
        <v>1</v>
      </c>
      <c r="BB30" s="5" t="s">
        <v>1</v>
      </c>
      <c r="BC30" s="5" t="s">
        <v>1</v>
      </c>
    </row>
    <row r="31" spans="1:55" x14ac:dyDescent="0.25">
      <c r="A31" s="19" t="s">
        <v>187</v>
      </c>
      <c r="B31" s="40"/>
      <c r="C31" s="19">
        <v>0</v>
      </c>
      <c r="D31" s="40"/>
      <c r="E31" s="19">
        <v>0</v>
      </c>
      <c r="F31" s="40"/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80"/>
      <c r="AZ31" s="1" t="s">
        <v>2</v>
      </c>
      <c r="BA31" s="5" t="s">
        <v>1</v>
      </c>
      <c r="BB31" s="5" t="s">
        <v>1</v>
      </c>
      <c r="BC31" s="5" t="s">
        <v>1</v>
      </c>
    </row>
    <row r="32" spans="1:55" x14ac:dyDescent="0.25">
      <c r="A32" s="19" t="s">
        <v>188</v>
      </c>
      <c r="B32" s="87"/>
      <c r="C32" s="19">
        <v>0</v>
      </c>
      <c r="D32" s="87"/>
      <c r="E32" s="54"/>
      <c r="F32" s="87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80"/>
      <c r="AZ32" s="1" t="s">
        <v>2</v>
      </c>
      <c r="BA32" s="5" t="s">
        <v>1</v>
      </c>
      <c r="BB32" s="5" t="s">
        <v>1</v>
      </c>
      <c r="BC32" s="5" t="s">
        <v>1</v>
      </c>
    </row>
    <row r="33" spans="1:55" x14ac:dyDescent="0.25">
      <c r="A33" s="19" t="s">
        <v>189</v>
      </c>
      <c r="B33" s="87"/>
      <c r="C33" s="19">
        <v>0</v>
      </c>
      <c r="D33" s="87"/>
      <c r="E33" s="19">
        <v>0</v>
      </c>
      <c r="F33" s="87"/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80"/>
      <c r="AZ33" s="1" t="s">
        <v>2</v>
      </c>
      <c r="BA33" s="5" t="s">
        <v>1</v>
      </c>
      <c r="BB33" s="5" t="s">
        <v>1</v>
      </c>
      <c r="BC33" s="5" t="s">
        <v>1</v>
      </c>
    </row>
    <row r="34" spans="1:55" x14ac:dyDescent="0.25">
      <c r="A34" s="24" t="s">
        <v>190</v>
      </c>
      <c r="B34" s="87"/>
      <c r="C34" s="19">
        <v>0</v>
      </c>
      <c r="D34" s="87"/>
      <c r="E34" s="54"/>
      <c r="F34" s="87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80"/>
      <c r="AZ34" s="1"/>
      <c r="BA34" s="5" t="s">
        <v>1</v>
      </c>
      <c r="BB34" s="5" t="s">
        <v>1</v>
      </c>
      <c r="BC34" s="5" t="s">
        <v>1</v>
      </c>
    </row>
    <row r="35" spans="1:55" x14ac:dyDescent="0.25">
      <c r="A35" s="25" t="s">
        <v>177</v>
      </c>
      <c r="B35" s="40"/>
      <c r="C35" s="19"/>
      <c r="D35" s="40"/>
      <c r="E35" s="19"/>
      <c r="F35" s="40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80"/>
      <c r="AZ35" s="1" t="s">
        <v>2</v>
      </c>
      <c r="BA35" s="5" t="s">
        <v>1</v>
      </c>
      <c r="BB35" s="5" t="s">
        <v>1</v>
      </c>
      <c r="BC35" s="5" t="s">
        <v>1</v>
      </c>
    </row>
    <row r="36" spans="1:55" x14ac:dyDescent="0.25">
      <c r="A36" s="24" t="s">
        <v>191</v>
      </c>
      <c r="B36" s="40"/>
      <c r="C36" s="19">
        <v>0</v>
      </c>
      <c r="D36" s="40"/>
      <c r="E36" s="19">
        <v>0</v>
      </c>
      <c r="F36" s="40"/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80"/>
      <c r="AZ36" s="1" t="s">
        <v>2</v>
      </c>
      <c r="BA36" s="5" t="s">
        <v>1</v>
      </c>
      <c r="BB36" s="5" t="s">
        <v>1</v>
      </c>
      <c r="BC36" s="5" t="s">
        <v>1</v>
      </c>
    </row>
    <row r="37" spans="1:55" x14ac:dyDescent="0.25">
      <c r="A37" s="19" t="s">
        <v>192</v>
      </c>
      <c r="B37" s="40"/>
      <c r="C37" s="19">
        <v>0</v>
      </c>
      <c r="D37" s="40"/>
      <c r="E37" s="19">
        <v>0</v>
      </c>
      <c r="F37" s="40"/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80"/>
      <c r="AZ37" s="1" t="s">
        <v>2</v>
      </c>
      <c r="BA37" s="5" t="s">
        <v>1</v>
      </c>
      <c r="BB37" s="5" t="s">
        <v>1</v>
      </c>
      <c r="BC37" s="5" t="s">
        <v>1</v>
      </c>
    </row>
    <row r="38" spans="1:55" x14ac:dyDescent="0.25">
      <c r="A38" s="19" t="s">
        <v>193</v>
      </c>
      <c r="B38" s="40"/>
      <c r="C38" s="19">
        <v>0</v>
      </c>
      <c r="D38" s="40"/>
      <c r="E38" s="19">
        <v>-16095963.030000001</v>
      </c>
      <c r="F38" s="40"/>
      <c r="G38" s="19">
        <v>-16045000</v>
      </c>
      <c r="H38" s="19">
        <v>-13276000</v>
      </c>
      <c r="I38" s="19">
        <v>-12243000</v>
      </c>
      <c r="J38" s="19">
        <v>-13245000</v>
      </c>
      <c r="K38" s="19">
        <v>-13240000</v>
      </c>
      <c r="L38" s="19">
        <v>-12817000</v>
      </c>
      <c r="M38" s="19">
        <v>-13638000</v>
      </c>
      <c r="N38" s="19">
        <v>-12836000</v>
      </c>
      <c r="O38" s="19">
        <v>-13099000</v>
      </c>
      <c r="P38" s="19">
        <v>-14196000</v>
      </c>
      <c r="Q38" s="80"/>
      <c r="AZ38" s="1" t="s">
        <v>2</v>
      </c>
      <c r="BA38" s="5" t="s">
        <v>1</v>
      </c>
      <c r="BB38" s="5" t="s">
        <v>1</v>
      </c>
      <c r="BC38" s="5" t="s">
        <v>1</v>
      </c>
    </row>
    <row r="39" spans="1:55" x14ac:dyDescent="0.25">
      <c r="A39" s="19" t="s">
        <v>194</v>
      </c>
      <c r="B39" s="40"/>
      <c r="C39" s="19">
        <v>0</v>
      </c>
      <c r="D39" s="40"/>
      <c r="E39" s="19">
        <v>0</v>
      </c>
      <c r="F39" s="40"/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80"/>
      <c r="AZ39" s="1" t="s">
        <v>2</v>
      </c>
      <c r="BA39" s="5" t="s">
        <v>1</v>
      </c>
      <c r="BB39" s="5" t="s">
        <v>1</v>
      </c>
      <c r="BC39" s="5" t="s">
        <v>1</v>
      </c>
    </row>
    <row r="40" spans="1:55" x14ac:dyDescent="0.25">
      <c r="A40" s="24" t="s">
        <v>195</v>
      </c>
      <c r="B40" s="40"/>
      <c r="C40" s="34">
        <v>0</v>
      </c>
      <c r="D40" s="40"/>
      <c r="E40" s="19">
        <v>0</v>
      </c>
      <c r="F40" s="40"/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80"/>
      <c r="AZ40" s="1" t="s">
        <v>2</v>
      </c>
      <c r="BA40" s="5" t="s">
        <v>1</v>
      </c>
      <c r="BB40" s="5" t="s">
        <v>1</v>
      </c>
      <c r="BC40" s="5" t="s">
        <v>1</v>
      </c>
    </row>
    <row r="41" spans="1:55" x14ac:dyDescent="0.25">
      <c r="A41" s="19" t="s">
        <v>196</v>
      </c>
      <c r="B41" s="40"/>
      <c r="C41" s="19">
        <v>0</v>
      </c>
      <c r="D41" s="40"/>
      <c r="E41" s="19">
        <v>0</v>
      </c>
      <c r="F41" s="40"/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80"/>
      <c r="AZ41" s="1" t="s">
        <v>2</v>
      </c>
      <c r="BA41" s="5" t="s">
        <v>1</v>
      </c>
      <c r="BB41" s="5" t="s">
        <v>1</v>
      </c>
      <c r="BC41" s="5" t="s">
        <v>1</v>
      </c>
    </row>
    <row r="42" spans="1:55" x14ac:dyDescent="0.25">
      <c r="A42" s="19" t="s">
        <v>197</v>
      </c>
      <c r="B42" s="40"/>
      <c r="C42" s="34">
        <v>0</v>
      </c>
      <c r="D42" s="40"/>
      <c r="E42" s="34">
        <v>0</v>
      </c>
      <c r="F42" s="40"/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80"/>
      <c r="AZ42" s="1" t="s">
        <v>2</v>
      </c>
      <c r="BA42" s="5" t="s">
        <v>1</v>
      </c>
      <c r="BB42" s="5" t="s">
        <v>1</v>
      </c>
      <c r="BC42" s="5" t="s">
        <v>1</v>
      </c>
    </row>
    <row r="43" spans="1:55" x14ac:dyDescent="0.25">
      <c r="A43" s="19" t="s">
        <v>198</v>
      </c>
      <c r="B43" s="87"/>
      <c r="C43" s="34">
        <v>0</v>
      </c>
      <c r="D43" s="87"/>
      <c r="E43" s="34">
        <v>0</v>
      </c>
      <c r="F43" s="87"/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80"/>
      <c r="AZ43" s="1" t="s">
        <v>2</v>
      </c>
      <c r="BA43" s="5" t="s">
        <v>1</v>
      </c>
      <c r="BB43" s="5" t="s">
        <v>1</v>
      </c>
      <c r="BC43" s="5" t="s">
        <v>1</v>
      </c>
    </row>
    <row r="44" spans="1:55" x14ac:dyDescent="0.25">
      <c r="A44" s="19" t="s">
        <v>199</v>
      </c>
      <c r="B44" s="87"/>
      <c r="C44" s="34">
        <v>0</v>
      </c>
      <c r="D44" s="87"/>
      <c r="E44" s="54"/>
      <c r="F44" s="87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80"/>
      <c r="AZ44" s="1"/>
      <c r="BA44" s="5" t="s">
        <v>1</v>
      </c>
      <c r="BB44" s="5" t="s">
        <v>1</v>
      </c>
      <c r="BC44" s="5" t="s">
        <v>1</v>
      </c>
    </row>
    <row r="45" spans="1:55" x14ac:dyDescent="0.25">
      <c r="A45" s="19"/>
      <c r="B45" s="40"/>
      <c r="C45" s="19"/>
      <c r="D45" s="40"/>
      <c r="E45" s="19"/>
      <c r="F45" s="40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80"/>
      <c r="AZ45" s="1" t="s">
        <v>2</v>
      </c>
      <c r="BA45" s="5" t="s">
        <v>1</v>
      </c>
      <c r="BB45" s="5" t="s">
        <v>1</v>
      </c>
      <c r="BC45" s="5" t="s">
        <v>1</v>
      </c>
    </row>
    <row r="46" spans="1:55" x14ac:dyDescent="0.25">
      <c r="A46" s="25" t="s">
        <v>200</v>
      </c>
      <c r="B46" s="40"/>
      <c r="C46" s="42">
        <v>0</v>
      </c>
      <c r="D46" s="40"/>
      <c r="E46" s="42">
        <v>-16095963.030000001</v>
      </c>
      <c r="F46" s="40"/>
      <c r="G46" s="42">
        <v>-14479000</v>
      </c>
      <c r="H46" s="42">
        <v>-11800000</v>
      </c>
      <c r="I46" s="42">
        <v>-12243000</v>
      </c>
      <c r="J46" s="42">
        <v>-13245000</v>
      </c>
      <c r="K46" s="42">
        <v>-13240000</v>
      </c>
      <c r="L46" s="42">
        <v>-12817000</v>
      </c>
      <c r="M46" s="42">
        <v>-13638000</v>
      </c>
      <c r="N46" s="42">
        <v>-12836000</v>
      </c>
      <c r="O46" s="42">
        <v>-13099000</v>
      </c>
      <c r="P46" s="42">
        <v>-14196000</v>
      </c>
      <c r="Q46" s="80"/>
      <c r="AZ46" s="1" t="s">
        <v>2</v>
      </c>
      <c r="BA46" s="5" t="s">
        <v>1</v>
      </c>
      <c r="BB46" s="5" t="s">
        <v>1</v>
      </c>
      <c r="BC46" s="5" t="s">
        <v>1</v>
      </c>
    </row>
    <row r="47" spans="1:55" x14ac:dyDescent="0.25">
      <c r="A47" s="19"/>
      <c r="B47" s="40"/>
      <c r="C47" s="19"/>
      <c r="D47" s="40"/>
      <c r="E47" s="19"/>
      <c r="F47" s="40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80"/>
      <c r="AZ47" s="1" t="s">
        <v>2</v>
      </c>
      <c r="BA47" s="5" t="s">
        <v>1</v>
      </c>
      <c r="BB47" s="5" t="s">
        <v>1</v>
      </c>
      <c r="BC47" s="5" t="s">
        <v>1</v>
      </c>
    </row>
    <row r="48" spans="1:55" x14ac:dyDescent="0.25">
      <c r="A48" s="20" t="s">
        <v>201</v>
      </c>
      <c r="B48" s="40"/>
      <c r="C48" s="19"/>
      <c r="D48" s="40"/>
      <c r="E48" s="19"/>
      <c r="F48" s="40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80"/>
      <c r="AZ48" s="1" t="s">
        <v>2</v>
      </c>
      <c r="BA48" s="5" t="s">
        <v>1</v>
      </c>
      <c r="BB48" s="5" t="s">
        <v>1</v>
      </c>
      <c r="BC48" s="5" t="s">
        <v>1</v>
      </c>
    </row>
    <row r="49" spans="1:55" x14ac:dyDescent="0.25">
      <c r="A49" s="25" t="s">
        <v>172</v>
      </c>
      <c r="B49" s="40"/>
      <c r="C49" s="19"/>
      <c r="D49" s="40"/>
      <c r="E49" s="19"/>
      <c r="F49" s="40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80"/>
      <c r="AZ49" s="1" t="s">
        <v>2</v>
      </c>
      <c r="BA49" s="5" t="s">
        <v>1</v>
      </c>
      <c r="BB49" s="5" t="s">
        <v>1</v>
      </c>
      <c r="BC49" s="5" t="s">
        <v>1</v>
      </c>
    </row>
    <row r="50" spans="1:55" x14ac:dyDescent="0.25">
      <c r="A50" s="19" t="s">
        <v>202</v>
      </c>
      <c r="B50" s="40"/>
      <c r="C50" s="19">
        <v>0</v>
      </c>
      <c r="D50" s="40"/>
      <c r="E50" s="19">
        <v>0</v>
      </c>
      <c r="F50" s="40"/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80"/>
      <c r="AZ50" s="1" t="s">
        <v>2</v>
      </c>
      <c r="BA50" s="5" t="s">
        <v>1</v>
      </c>
      <c r="BB50" s="5" t="s">
        <v>1</v>
      </c>
      <c r="BC50" s="5" t="s">
        <v>1</v>
      </c>
    </row>
    <row r="51" spans="1:55" x14ac:dyDescent="0.25">
      <c r="A51" s="19" t="s">
        <v>203</v>
      </c>
      <c r="B51" s="40"/>
      <c r="C51" s="19">
        <v>0</v>
      </c>
      <c r="D51" s="40"/>
      <c r="E51" s="19">
        <v>0</v>
      </c>
      <c r="F51" s="40"/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80"/>
      <c r="AZ51" s="1" t="s">
        <v>2</v>
      </c>
      <c r="BA51" s="5" t="s">
        <v>1</v>
      </c>
      <c r="BB51" s="5" t="s">
        <v>1</v>
      </c>
      <c r="BC51" s="5" t="s">
        <v>1</v>
      </c>
    </row>
    <row r="52" spans="1:55" x14ac:dyDescent="0.25">
      <c r="A52" s="19" t="s">
        <v>204</v>
      </c>
      <c r="B52" s="87"/>
      <c r="C52" s="19">
        <v>0</v>
      </c>
      <c r="D52" s="87"/>
      <c r="E52" s="54"/>
      <c r="F52" s="87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80"/>
      <c r="AZ52" s="1" t="s">
        <v>2</v>
      </c>
      <c r="BA52" s="5" t="s">
        <v>1</v>
      </c>
      <c r="BB52" s="5" t="s">
        <v>1</v>
      </c>
      <c r="BC52" s="5" t="s">
        <v>1</v>
      </c>
    </row>
    <row r="53" spans="1:55" x14ac:dyDescent="0.25">
      <c r="A53" s="25" t="s">
        <v>177</v>
      </c>
      <c r="B53" s="40"/>
      <c r="C53" s="19"/>
      <c r="D53" s="40"/>
      <c r="E53" s="19"/>
      <c r="F53" s="40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80"/>
      <c r="AZ53" s="1" t="s">
        <v>2</v>
      </c>
      <c r="BA53" s="5" t="s">
        <v>1</v>
      </c>
      <c r="BB53" s="5" t="s">
        <v>1</v>
      </c>
      <c r="BC53" s="5" t="s">
        <v>1</v>
      </c>
    </row>
    <row r="54" spans="1:55" x14ac:dyDescent="0.25">
      <c r="A54" s="19" t="s">
        <v>205</v>
      </c>
      <c r="B54" s="40"/>
      <c r="C54" s="19">
        <v>0</v>
      </c>
      <c r="D54" s="40"/>
      <c r="E54" s="19">
        <v>-852039.35000000009</v>
      </c>
      <c r="F54" s="40"/>
      <c r="G54" s="19">
        <v>-705046.89</v>
      </c>
      <c r="H54" s="19">
        <v>-704649.3</v>
      </c>
      <c r="I54" s="19">
        <v>-734663.81</v>
      </c>
      <c r="J54" s="19">
        <v>-624353.55000000005</v>
      </c>
      <c r="K54" s="19">
        <v>-647093.4</v>
      </c>
      <c r="L54" s="19">
        <v>-672208.98</v>
      </c>
      <c r="M54" s="19">
        <v>-17299.919999999998</v>
      </c>
      <c r="N54" s="19">
        <v>-17988.11</v>
      </c>
      <c r="O54" s="19">
        <v>-18680.939999999999</v>
      </c>
      <c r="P54" s="19">
        <v>-19446.810000000001</v>
      </c>
      <c r="Q54" s="80"/>
      <c r="AZ54" s="1" t="s">
        <v>2</v>
      </c>
      <c r="BA54" s="5" t="s">
        <v>1</v>
      </c>
      <c r="BB54" s="5" t="s">
        <v>1</v>
      </c>
      <c r="BC54" s="5" t="s">
        <v>1</v>
      </c>
    </row>
    <row r="55" spans="1:55" x14ac:dyDescent="0.25">
      <c r="A55" s="19" t="s">
        <v>206</v>
      </c>
      <c r="B55" s="87"/>
      <c r="C55" s="19">
        <v>0</v>
      </c>
      <c r="D55" s="87"/>
      <c r="E55" s="19">
        <v>0</v>
      </c>
      <c r="F55" s="40"/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80"/>
      <c r="AZ55" s="1" t="s">
        <v>2</v>
      </c>
      <c r="BA55" s="5" t="s">
        <v>1</v>
      </c>
      <c r="BB55" s="5" t="s">
        <v>1</v>
      </c>
      <c r="BC55" s="5" t="s">
        <v>1</v>
      </c>
    </row>
    <row r="56" spans="1:55" x14ac:dyDescent="0.25">
      <c r="A56" s="19" t="s">
        <v>207</v>
      </c>
      <c r="B56" s="87"/>
      <c r="C56" s="19">
        <v>0</v>
      </c>
      <c r="D56" s="87"/>
      <c r="E56" s="19">
        <v>0</v>
      </c>
      <c r="F56" s="87"/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80"/>
      <c r="AZ56" s="1" t="s">
        <v>2</v>
      </c>
      <c r="BA56" s="5" t="s">
        <v>1</v>
      </c>
      <c r="BB56" s="5" t="s">
        <v>1</v>
      </c>
      <c r="BC56" s="5" t="s">
        <v>1</v>
      </c>
    </row>
    <row r="57" spans="1:55" x14ac:dyDescent="0.25">
      <c r="A57" s="19" t="s">
        <v>208</v>
      </c>
      <c r="B57" s="87"/>
      <c r="C57" s="19">
        <v>0</v>
      </c>
      <c r="D57" s="87"/>
      <c r="E57" s="54"/>
      <c r="F57" s="87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80"/>
      <c r="AZ57" s="1" t="s">
        <v>2</v>
      </c>
      <c r="BA57" s="5" t="s">
        <v>1</v>
      </c>
      <c r="BB57" s="5" t="s">
        <v>1</v>
      </c>
      <c r="BC57" s="5" t="s">
        <v>1</v>
      </c>
    </row>
    <row r="58" spans="1:55" x14ac:dyDescent="0.25">
      <c r="A58" s="19"/>
      <c r="B58" s="40"/>
      <c r="C58" s="19"/>
      <c r="D58" s="40"/>
      <c r="E58" s="19"/>
      <c r="F58" s="40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80"/>
      <c r="AZ58" s="1" t="s">
        <v>2</v>
      </c>
      <c r="BA58" s="5" t="s">
        <v>1</v>
      </c>
      <c r="BB58" s="5" t="s">
        <v>1</v>
      </c>
      <c r="BC58" s="5" t="s">
        <v>1</v>
      </c>
    </row>
    <row r="59" spans="1:55" x14ac:dyDescent="0.25">
      <c r="A59" s="25" t="s">
        <v>209</v>
      </c>
      <c r="B59" s="40"/>
      <c r="C59" s="42">
        <v>0</v>
      </c>
      <c r="D59" s="40"/>
      <c r="E59" s="42">
        <v>-852039.35000000009</v>
      </c>
      <c r="F59" s="40"/>
      <c r="G59" s="42">
        <v>-705046.89</v>
      </c>
      <c r="H59" s="42">
        <v>-704649.3</v>
      </c>
      <c r="I59" s="42">
        <v>-734663.81</v>
      </c>
      <c r="J59" s="42">
        <v>-624353.55000000005</v>
      </c>
      <c r="K59" s="42">
        <v>-647093.4</v>
      </c>
      <c r="L59" s="42">
        <v>-672208.98</v>
      </c>
      <c r="M59" s="42">
        <v>-17299.919999999998</v>
      </c>
      <c r="N59" s="42">
        <v>-17988.11</v>
      </c>
      <c r="O59" s="42">
        <v>-18680.939999999999</v>
      </c>
      <c r="P59" s="42">
        <v>-19446.810000000001</v>
      </c>
      <c r="Q59" s="80"/>
      <c r="AZ59" s="1" t="s">
        <v>2</v>
      </c>
      <c r="BA59" s="5" t="s">
        <v>1</v>
      </c>
      <c r="BB59" s="5" t="s">
        <v>1</v>
      </c>
      <c r="BC59" s="5" t="s">
        <v>1</v>
      </c>
    </row>
    <row r="60" spans="1:55" x14ac:dyDescent="0.25">
      <c r="A60" s="19"/>
      <c r="B60" s="40"/>
      <c r="C60" s="19"/>
      <c r="D60" s="40"/>
      <c r="E60" s="19"/>
      <c r="F60" s="40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80"/>
      <c r="AZ60" s="1" t="s">
        <v>2</v>
      </c>
      <c r="BA60" s="5" t="s">
        <v>1</v>
      </c>
      <c r="BB60" s="5" t="s">
        <v>1</v>
      </c>
      <c r="BC60" s="5" t="s">
        <v>1</v>
      </c>
    </row>
    <row r="61" spans="1:55" x14ac:dyDescent="0.25">
      <c r="A61" s="25" t="s">
        <v>210</v>
      </c>
      <c r="B61" s="40"/>
      <c r="C61" s="19">
        <v>0</v>
      </c>
      <c r="D61" s="40"/>
      <c r="E61" s="19">
        <v>-7215628.3976472802</v>
      </c>
      <c r="F61" s="40"/>
      <c r="G61" s="19">
        <v>-3994397.9277114305</v>
      </c>
      <c r="H61" s="19">
        <v>-170869.67211540346</v>
      </c>
      <c r="I61" s="19">
        <v>-75302.352809214499</v>
      </c>
      <c r="J61" s="19">
        <v>-231756.07083260943</v>
      </c>
      <c r="K61" s="19">
        <v>367886.80711434071</v>
      </c>
      <c r="L61" s="19">
        <v>1001453.1922728238</v>
      </c>
      <c r="M61" s="19">
        <v>1136821.6528797559</v>
      </c>
      <c r="N61" s="19">
        <v>2301692.2514884914</v>
      </c>
      <c r="O61" s="19">
        <v>2337138.0161313261</v>
      </c>
      <c r="P61" s="19">
        <v>1470665.8642056328</v>
      </c>
      <c r="Q61" s="80"/>
      <c r="AZ61" s="1" t="s">
        <v>2</v>
      </c>
      <c r="BA61" s="5" t="s">
        <v>1</v>
      </c>
      <c r="BB61" s="5" t="s">
        <v>1</v>
      </c>
      <c r="BC61" s="5" t="s">
        <v>1</v>
      </c>
    </row>
    <row r="62" spans="1:55" x14ac:dyDescent="0.25">
      <c r="A62" s="19"/>
      <c r="B62" s="40"/>
      <c r="C62" s="19"/>
      <c r="D62" s="40"/>
      <c r="E62" s="19"/>
      <c r="F62" s="40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80"/>
      <c r="AZ62" s="1" t="s">
        <v>2</v>
      </c>
      <c r="BA62" s="5" t="s">
        <v>1</v>
      </c>
      <c r="BB62" s="5" t="s">
        <v>1</v>
      </c>
      <c r="BC62" s="5" t="s">
        <v>1</v>
      </c>
    </row>
    <row r="63" spans="1:55" x14ac:dyDescent="0.25">
      <c r="A63" s="25" t="s">
        <v>211</v>
      </c>
      <c r="B63" s="40"/>
      <c r="C63" s="19">
        <v>0</v>
      </c>
      <c r="D63" s="40"/>
      <c r="E63" s="34">
        <v>23421000</v>
      </c>
      <c r="F63" s="40"/>
      <c r="G63" s="19">
        <v>16205371.60235272</v>
      </c>
      <c r="H63" s="19">
        <v>12210973.674641289</v>
      </c>
      <c r="I63" s="19">
        <v>12040104.002525885</v>
      </c>
      <c r="J63" s="19">
        <v>11964801.64971667</v>
      </c>
      <c r="K63" s="19">
        <v>11733045.57888406</v>
      </c>
      <c r="L63" s="19">
        <v>12100932.3859984</v>
      </c>
      <c r="M63" s="19">
        <v>13102385.578271223</v>
      </c>
      <c r="N63" s="19">
        <v>14239207.231150979</v>
      </c>
      <c r="O63" s="19">
        <v>16540899.482639471</v>
      </c>
      <c r="P63" s="19">
        <v>18878037.498770796</v>
      </c>
      <c r="Q63" s="80"/>
      <c r="AZ63" s="1" t="s">
        <v>2</v>
      </c>
      <c r="BA63" s="5" t="s">
        <v>1</v>
      </c>
      <c r="BB63" s="5" t="s">
        <v>1</v>
      </c>
      <c r="BC63" s="5" t="s">
        <v>1</v>
      </c>
    </row>
    <row r="64" spans="1:55" x14ac:dyDescent="0.25">
      <c r="A64" s="19"/>
      <c r="B64" s="40"/>
      <c r="C64" s="19"/>
      <c r="D64" s="40"/>
      <c r="E64" s="19"/>
      <c r="F64" s="40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80"/>
      <c r="AZ64" s="1" t="s">
        <v>2</v>
      </c>
      <c r="BA64" s="5" t="s">
        <v>1</v>
      </c>
      <c r="BB64" s="5" t="s">
        <v>1</v>
      </c>
      <c r="BC64" s="5" t="s">
        <v>1</v>
      </c>
    </row>
    <row r="65" spans="1:55" ht="15.75" thickBot="1" x14ac:dyDescent="0.3">
      <c r="A65" s="25" t="s">
        <v>212</v>
      </c>
      <c r="B65" s="47"/>
      <c r="C65" s="69">
        <v>23421000</v>
      </c>
      <c r="D65" s="47"/>
      <c r="E65" s="69">
        <v>16205371.60235272</v>
      </c>
      <c r="F65" s="47"/>
      <c r="G65" s="69">
        <v>12210973.674641289</v>
      </c>
      <c r="H65" s="69">
        <v>12040104.002525885</v>
      </c>
      <c r="I65" s="69">
        <v>11964801.64971667</v>
      </c>
      <c r="J65" s="69">
        <v>11733045.57888406</v>
      </c>
      <c r="K65" s="69">
        <v>12100932.3859984</v>
      </c>
      <c r="L65" s="69">
        <v>13102385.578271223</v>
      </c>
      <c r="M65" s="69">
        <v>14239207.231150979</v>
      </c>
      <c r="N65" s="69">
        <v>16540899.482639471</v>
      </c>
      <c r="O65" s="69">
        <v>18878037.498770796</v>
      </c>
      <c r="P65" s="69">
        <v>20348703.362976428</v>
      </c>
      <c r="Q65" s="80"/>
      <c r="AZ65" s="1" t="s">
        <v>2</v>
      </c>
      <c r="BA65" s="5" t="s">
        <v>1</v>
      </c>
      <c r="BB65" s="5" t="s">
        <v>1</v>
      </c>
      <c r="BC65" s="5" t="s">
        <v>1</v>
      </c>
    </row>
    <row r="66" spans="1:55" x14ac:dyDescent="0.25">
      <c r="A66" s="19"/>
      <c r="B66" s="40"/>
      <c r="C66" s="19"/>
      <c r="D66" s="40"/>
      <c r="E66" s="19"/>
      <c r="F66" s="40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80"/>
      <c r="AZ66" s="1" t="s">
        <v>2</v>
      </c>
      <c r="BA66" s="5" t="s">
        <v>1</v>
      </c>
      <c r="BB66" s="5" t="s">
        <v>1</v>
      </c>
      <c r="BC66" s="5" t="s">
        <v>1</v>
      </c>
    </row>
    <row r="67" spans="1:55" x14ac:dyDescent="0.25">
      <c r="A67" s="88"/>
      <c r="B67" s="40"/>
      <c r="C67" s="88"/>
      <c r="D67" s="40"/>
      <c r="E67" s="88"/>
      <c r="F67" s="40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0"/>
      <c r="AZ67" s="1" t="s">
        <v>2</v>
      </c>
      <c r="BA67" s="5" t="s">
        <v>1</v>
      </c>
      <c r="BB67" s="5" t="s">
        <v>1</v>
      </c>
      <c r="BC67" s="5" t="s">
        <v>1</v>
      </c>
    </row>
    <row r="68" spans="1:55" x14ac:dyDescent="0.25">
      <c r="A68" s="19"/>
      <c r="B68" s="40"/>
      <c r="C68" s="19"/>
      <c r="D68" s="40"/>
      <c r="E68" s="19"/>
      <c r="F68" s="40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80"/>
      <c r="AZ68" s="1" t="s">
        <v>2</v>
      </c>
      <c r="BA68" s="5" t="s">
        <v>1</v>
      </c>
      <c r="BB68" s="5" t="s">
        <v>1</v>
      </c>
      <c r="BC68" s="5" t="s">
        <v>1</v>
      </c>
    </row>
    <row r="69" spans="1:55" x14ac:dyDescent="0.25">
      <c r="A69" s="24" t="s">
        <v>212</v>
      </c>
      <c r="B69" s="40"/>
      <c r="C69" s="19">
        <v>23421000</v>
      </c>
      <c r="D69" s="40"/>
      <c r="E69" s="19">
        <v>16205371.60235272</v>
      </c>
      <c r="F69" s="40"/>
      <c r="G69" s="19">
        <v>12210973.674641289</v>
      </c>
      <c r="H69" s="19">
        <v>12040104.002525885</v>
      </c>
      <c r="I69" s="19">
        <v>11964801.64971667</v>
      </c>
      <c r="J69" s="19">
        <v>11733045.57888406</v>
      </c>
      <c r="K69" s="19">
        <v>12100932.3859984</v>
      </c>
      <c r="L69" s="19">
        <v>13102385.578271223</v>
      </c>
      <c r="M69" s="19">
        <v>14239207.231150979</v>
      </c>
      <c r="N69" s="19">
        <v>16540899.482639471</v>
      </c>
      <c r="O69" s="19">
        <v>18878037.498770796</v>
      </c>
      <c r="P69" s="19">
        <v>20348703.362976428</v>
      </c>
      <c r="Q69" s="80"/>
      <c r="AZ69" s="1" t="s">
        <v>2</v>
      </c>
      <c r="BA69" s="5" t="s">
        <v>1</v>
      </c>
      <c r="BB69" s="5" t="s">
        <v>1</v>
      </c>
      <c r="BC69" s="5" t="s">
        <v>1</v>
      </c>
    </row>
    <row r="70" spans="1:55" x14ac:dyDescent="0.25">
      <c r="A70" s="24" t="s">
        <v>213</v>
      </c>
      <c r="B70" s="40"/>
      <c r="C70" s="19">
        <v>0</v>
      </c>
      <c r="D70" s="40"/>
      <c r="E70" s="19">
        <v>0</v>
      </c>
      <c r="F70" s="40"/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80"/>
      <c r="AZ70" s="1" t="s">
        <v>2</v>
      </c>
      <c r="BA70" s="5" t="s">
        <v>1</v>
      </c>
      <c r="BB70" s="5" t="s">
        <v>1</v>
      </c>
      <c r="BC70" s="5" t="s">
        <v>1</v>
      </c>
    </row>
    <row r="71" spans="1:55" x14ac:dyDescent="0.25">
      <c r="A71" s="89" t="s">
        <v>214</v>
      </c>
      <c r="B71" s="47"/>
      <c r="C71" s="89">
        <v>23421000</v>
      </c>
      <c r="D71" s="47"/>
      <c r="E71" s="89">
        <v>16205371.60235272</v>
      </c>
      <c r="F71" s="47"/>
      <c r="G71" s="89">
        <v>12210973.674641289</v>
      </c>
      <c r="H71" s="89">
        <v>12040104.002525885</v>
      </c>
      <c r="I71" s="89">
        <v>11964801.64971667</v>
      </c>
      <c r="J71" s="89">
        <v>11733045.57888406</v>
      </c>
      <c r="K71" s="89">
        <v>12100932.3859984</v>
      </c>
      <c r="L71" s="89">
        <v>13102385.578271223</v>
      </c>
      <c r="M71" s="89">
        <v>14239207.231150979</v>
      </c>
      <c r="N71" s="89">
        <v>16540899.482639471</v>
      </c>
      <c r="O71" s="89">
        <v>18878037.498770796</v>
      </c>
      <c r="P71" s="89">
        <v>20348703.362976428</v>
      </c>
      <c r="Q71" s="80"/>
      <c r="AZ71" s="1" t="s">
        <v>2</v>
      </c>
      <c r="BA71" s="5" t="s">
        <v>1</v>
      </c>
      <c r="BB71" s="5" t="s">
        <v>1</v>
      </c>
      <c r="BC71" s="5" t="s">
        <v>1</v>
      </c>
    </row>
    <row r="72" spans="1:55" x14ac:dyDescent="0.25">
      <c r="A72" s="19"/>
      <c r="B72" s="40"/>
      <c r="C72" s="19"/>
      <c r="D72" s="40"/>
      <c r="E72" s="19"/>
      <c r="F72" s="40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80"/>
      <c r="AZ72" s="1" t="s">
        <v>2</v>
      </c>
      <c r="BA72" s="5" t="s">
        <v>1</v>
      </c>
      <c r="BB72" s="5" t="s">
        <v>1</v>
      </c>
      <c r="BC72" s="5" t="s">
        <v>1</v>
      </c>
    </row>
    <row r="73" spans="1:55" x14ac:dyDescent="0.25">
      <c r="A73" s="20" t="s">
        <v>215</v>
      </c>
      <c r="B73" s="40"/>
      <c r="C73" s="19"/>
      <c r="D73" s="40"/>
      <c r="E73" s="19"/>
      <c r="F73" s="40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80"/>
      <c r="AZ73" s="1" t="s">
        <v>2</v>
      </c>
      <c r="BA73" s="5" t="s">
        <v>1</v>
      </c>
      <c r="BB73" s="5" t="s">
        <v>1</v>
      </c>
      <c r="BC73" s="5" t="s">
        <v>1</v>
      </c>
    </row>
    <row r="74" spans="1:55" x14ac:dyDescent="0.25">
      <c r="A74" s="90" t="s">
        <v>216</v>
      </c>
      <c r="B74" s="40"/>
      <c r="C74" s="19">
        <v>10501317.439999999</v>
      </c>
      <c r="D74" s="40"/>
      <c r="E74" s="19">
        <v>10030245.439999999</v>
      </c>
      <c r="F74" s="40"/>
      <c r="G74" s="19">
        <v>9484245.4399999995</v>
      </c>
      <c r="H74" s="19">
        <v>9188245.4399999995</v>
      </c>
      <c r="I74" s="19">
        <v>8692245.4399999995</v>
      </c>
      <c r="J74" s="19">
        <v>8396245.4399999995</v>
      </c>
      <c r="K74" s="19">
        <v>7900245.4399999995</v>
      </c>
      <c r="L74" s="19">
        <v>7528245.4399999995</v>
      </c>
      <c r="M74" s="19">
        <v>7132245.4399999995</v>
      </c>
      <c r="N74" s="19">
        <v>6936245.4399999995</v>
      </c>
      <c r="O74" s="19">
        <v>6540245.4399999995</v>
      </c>
      <c r="P74" s="19">
        <v>6344245.4399999995</v>
      </c>
      <c r="Q74" s="80"/>
      <c r="AZ74" s="1" t="s">
        <v>2</v>
      </c>
      <c r="BA74" s="5" t="s">
        <v>1</v>
      </c>
      <c r="BB74" s="5" t="s">
        <v>1</v>
      </c>
      <c r="BC74" s="5" t="s">
        <v>1</v>
      </c>
    </row>
    <row r="75" spans="1:55" x14ac:dyDescent="0.25">
      <c r="A75" s="90" t="s">
        <v>217</v>
      </c>
      <c r="B75" s="40"/>
      <c r="C75" s="19">
        <v>12919055.52</v>
      </c>
      <c r="D75" s="40"/>
      <c r="E75" s="19">
        <v>12115910.52</v>
      </c>
      <c r="F75" s="40"/>
      <c r="G75" s="19">
        <v>12385719.52</v>
      </c>
      <c r="H75" s="19">
        <v>12108498.52</v>
      </c>
      <c r="I75" s="19">
        <v>12725780.52</v>
      </c>
      <c r="J75" s="19">
        <v>13595230.52</v>
      </c>
      <c r="K75" s="19">
        <v>14688602.52</v>
      </c>
      <c r="L75" s="19">
        <v>15522495.52</v>
      </c>
      <c r="M75" s="19">
        <v>16176123.52</v>
      </c>
      <c r="N75" s="19">
        <v>16951260.52</v>
      </c>
      <c r="O75" s="19">
        <v>17800154.52</v>
      </c>
      <c r="P75" s="19">
        <v>18628378.52</v>
      </c>
      <c r="Q75" s="80"/>
      <c r="AZ75" s="1" t="s">
        <v>2</v>
      </c>
      <c r="BA75" s="5" t="s">
        <v>1</v>
      </c>
      <c r="BB75" s="5" t="s">
        <v>1</v>
      </c>
      <c r="BC75" s="5" t="s">
        <v>1</v>
      </c>
    </row>
    <row r="76" spans="1:55" x14ac:dyDescent="0.25">
      <c r="A76" s="90" t="s">
        <v>218</v>
      </c>
      <c r="B76" s="40"/>
      <c r="C76" s="19">
        <v>627.04000000096858</v>
      </c>
      <c r="D76" s="40"/>
      <c r="E76" s="19">
        <v>-5940784.3576472793</v>
      </c>
      <c r="F76" s="40"/>
      <c r="G76" s="19">
        <v>-9658991.2853587102</v>
      </c>
      <c r="H76" s="19">
        <v>-9256639.9574741144</v>
      </c>
      <c r="I76" s="19">
        <v>-9453224.3102833293</v>
      </c>
      <c r="J76" s="19">
        <v>-10258430.381115939</v>
      </c>
      <c r="K76" s="19">
        <v>-10487915.574001599</v>
      </c>
      <c r="L76" s="19">
        <v>-9948355.3817287758</v>
      </c>
      <c r="M76" s="19">
        <v>-9069161.7288490199</v>
      </c>
      <c r="N76" s="19">
        <v>-7346606.477360528</v>
      </c>
      <c r="O76" s="19">
        <v>-5462362.4612292033</v>
      </c>
      <c r="P76" s="19">
        <v>-4623920.5970235709</v>
      </c>
      <c r="Q76" s="80"/>
      <c r="AZ76" s="1" t="s">
        <v>2</v>
      </c>
      <c r="BA76" s="5" t="s">
        <v>1</v>
      </c>
      <c r="BB76" s="5" t="s">
        <v>1</v>
      </c>
      <c r="BC76" s="5" t="s">
        <v>1</v>
      </c>
    </row>
    <row r="77" spans="1:55" ht="15.75" thickBot="1" x14ac:dyDescent="0.3">
      <c r="A77" s="19"/>
      <c r="B77" s="47"/>
      <c r="C77" s="69">
        <v>23421000</v>
      </c>
      <c r="D77" s="47"/>
      <c r="E77" s="69">
        <v>16205371.602352722</v>
      </c>
      <c r="F77" s="47"/>
      <c r="G77" s="69">
        <v>12210973.674641291</v>
      </c>
      <c r="H77" s="69">
        <v>12040104.002525887</v>
      </c>
      <c r="I77" s="69">
        <v>11964801.649716672</v>
      </c>
      <c r="J77" s="69">
        <v>11733045.578884061</v>
      </c>
      <c r="K77" s="69">
        <v>12100932.385998402</v>
      </c>
      <c r="L77" s="69">
        <v>13102385.578271225</v>
      </c>
      <c r="M77" s="69">
        <v>14239207.231150981</v>
      </c>
      <c r="N77" s="69">
        <v>16540899.482639473</v>
      </c>
      <c r="O77" s="69">
        <v>18878037.498770796</v>
      </c>
      <c r="P77" s="69">
        <v>20348703.362976432</v>
      </c>
      <c r="Q77" s="80"/>
      <c r="AZ77" s="1" t="s">
        <v>2</v>
      </c>
      <c r="BA77" s="5" t="s">
        <v>1</v>
      </c>
      <c r="BB77" s="5" t="s">
        <v>1</v>
      </c>
      <c r="BC77" s="5" t="s">
        <v>1</v>
      </c>
    </row>
    <row r="78" spans="1:55" hidden="1" x14ac:dyDescent="0.25">
      <c r="A78" s="19"/>
      <c r="B78" s="37"/>
      <c r="C78" s="19"/>
      <c r="D78" s="37"/>
      <c r="E78" s="19"/>
      <c r="F78" s="37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80"/>
      <c r="AZ78" s="1" t="s">
        <v>2</v>
      </c>
      <c r="BA78" s="5" t="s">
        <v>1</v>
      </c>
      <c r="BB78" s="5" t="s">
        <v>1</v>
      </c>
      <c r="BC78" s="5" t="s">
        <v>1</v>
      </c>
    </row>
    <row r="79" spans="1:55" hidden="1" x14ac:dyDescent="0.25">
      <c r="A79" s="19"/>
      <c r="B79" s="37"/>
      <c r="C79" s="19"/>
      <c r="D79" s="37"/>
      <c r="E79" s="19"/>
      <c r="F79" s="37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80"/>
      <c r="AZ79" s="1" t="s">
        <v>2</v>
      </c>
      <c r="BA79" s="5" t="s">
        <v>1</v>
      </c>
      <c r="BB79" s="5" t="s">
        <v>1</v>
      </c>
      <c r="BC79" s="5" t="s">
        <v>1</v>
      </c>
    </row>
    <row r="80" spans="1:55" hidden="1" x14ac:dyDescent="0.25">
      <c r="A80" s="19"/>
      <c r="B80" s="37"/>
      <c r="C80" s="19"/>
      <c r="D80" s="37"/>
      <c r="E80" s="19"/>
      <c r="F80" s="37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80"/>
      <c r="AZ80" s="1" t="s">
        <v>2</v>
      </c>
      <c r="BA80" s="5" t="s">
        <v>1</v>
      </c>
      <c r="BB80" s="5" t="s">
        <v>1</v>
      </c>
      <c r="BC80" s="5" t="s">
        <v>1</v>
      </c>
    </row>
    <row r="81" spans="1:55" hidden="1" x14ac:dyDescent="0.25">
      <c r="A81" s="24" t="s">
        <v>219</v>
      </c>
      <c r="B81" s="71"/>
      <c r="C81" s="19"/>
      <c r="D81" s="71"/>
      <c r="E81" s="19">
        <f>('[1]BS workings'!E48-'[1]BS workings'!E49)</f>
        <v>16205371.602352718</v>
      </c>
      <c r="F81" s="71"/>
      <c r="G81" s="19">
        <f ca="1">('[1]BS workings'!G48-'[1]BS workings'!G49)</f>
        <v>12210973.674641291</v>
      </c>
      <c r="H81" s="19">
        <f ca="1">('[1]BS workings'!H48-'[1]BS workings'!H49)</f>
        <v>12040104.00252589</v>
      </c>
      <c r="I81" s="19">
        <f ca="1">('[1]BS workings'!I48-'[1]BS workings'!I49)</f>
        <v>11964801.64971667</v>
      </c>
      <c r="J81" s="19">
        <f ca="1">('[1]BS workings'!J48-'[1]BS workings'!J49)</f>
        <v>11733045.578884056</v>
      </c>
      <c r="K81" s="19">
        <f ca="1">('[1]BS workings'!K48-'[1]BS workings'!K49)</f>
        <v>12100932.385998407</v>
      </c>
      <c r="L81" s="19">
        <f ca="1">('[1]BS workings'!L48-'[1]BS workings'!L49)</f>
        <v>13102385.578271221</v>
      </c>
      <c r="M81" s="19">
        <f ca="1">('[1]BS workings'!M48-'[1]BS workings'!M49)</f>
        <v>14239207.231150996</v>
      </c>
      <c r="N81" s="19">
        <f ca="1">('[1]BS workings'!N48-'[1]BS workings'!N49)</f>
        <v>16540899.482639484</v>
      </c>
      <c r="O81" s="19">
        <f ca="1">('[1]BS workings'!O48-'[1]BS workings'!O49)</f>
        <v>18878037.498770811</v>
      </c>
      <c r="P81" s="19">
        <f ca="1">('[1]BS workings'!P48-'[1]BS workings'!P49)</f>
        <v>20348703.362976443</v>
      </c>
      <c r="Q81" s="80"/>
      <c r="AZ81" s="1" t="s">
        <v>2</v>
      </c>
      <c r="BA81" s="5" t="s">
        <v>1</v>
      </c>
      <c r="BB81" s="5" t="s">
        <v>1</v>
      </c>
      <c r="BC81" s="5" t="s">
        <v>1</v>
      </c>
    </row>
    <row r="82" spans="1:55" hidden="1" x14ac:dyDescent="0.25">
      <c r="A82" s="24" t="s">
        <v>220</v>
      </c>
      <c r="B82" s="71"/>
      <c r="C82" s="19"/>
      <c r="D82" s="71"/>
      <c r="E82" s="19">
        <f t="shared" ref="E82:P82" si="1">ROUND(E81-E65,0)</f>
        <v>0</v>
      </c>
      <c r="F82" s="71"/>
      <c r="G82" s="19">
        <f ca="1">ROUND(G81-G65,0)</f>
        <v>0</v>
      </c>
      <c r="H82" s="19">
        <f t="shared" ca="1" si="1"/>
        <v>0</v>
      </c>
      <c r="I82" s="19">
        <f t="shared" ca="1" si="1"/>
        <v>0</v>
      </c>
      <c r="J82" s="19">
        <f t="shared" ca="1" si="1"/>
        <v>0</v>
      </c>
      <c r="K82" s="19">
        <f t="shared" ca="1" si="1"/>
        <v>0</v>
      </c>
      <c r="L82" s="19">
        <f t="shared" ca="1" si="1"/>
        <v>0</v>
      </c>
      <c r="M82" s="19">
        <f t="shared" ca="1" si="1"/>
        <v>0</v>
      </c>
      <c r="N82" s="19">
        <f t="shared" ca="1" si="1"/>
        <v>0</v>
      </c>
      <c r="O82" s="19">
        <f t="shared" ca="1" si="1"/>
        <v>0</v>
      </c>
      <c r="P82" s="19">
        <f t="shared" ca="1" si="1"/>
        <v>0</v>
      </c>
      <c r="Q82" s="80"/>
      <c r="AZ82" s="1" t="s">
        <v>2</v>
      </c>
      <c r="BA82" s="5" t="s">
        <v>1</v>
      </c>
      <c r="BB82" s="5" t="s">
        <v>1</v>
      </c>
      <c r="BC82" s="5" t="s">
        <v>1</v>
      </c>
    </row>
    <row r="83" spans="1:55" hidden="1" x14ac:dyDescent="0.25">
      <c r="A83" s="72" t="s">
        <v>221</v>
      </c>
      <c r="B83" s="73"/>
      <c r="C83" s="91"/>
      <c r="D83" s="73"/>
      <c r="E83" s="92" t="str">
        <f>IF(ABS(ROUND(E82,0))&gt;2000,E$4,"")</f>
        <v/>
      </c>
      <c r="F83" s="73"/>
      <c r="G83" s="93" t="str">
        <f ca="1">IF(ABS(ROUND(G82,0))&gt;2000,IF(E83="",G$4,E83&amp;", "&amp;G$4),E83)</f>
        <v/>
      </c>
      <c r="H83" s="93" t="str">
        <f ca="1">IF(ABS(ROUND(H82,0))&gt;2000,IF(G83="",H$4,G83&amp;", "&amp;H$4),G83)</f>
        <v/>
      </c>
      <c r="I83" s="93" t="str">
        <f t="shared" ref="I83:P83" ca="1" si="2">IF(ABS(ROUND(I82,0))&gt;2000,IF(H83="",I$4,H83&amp;", "&amp;I$4),H83)</f>
        <v/>
      </c>
      <c r="J83" s="93" t="str">
        <f t="shared" ca="1" si="2"/>
        <v/>
      </c>
      <c r="K83" s="93" t="str">
        <f t="shared" ca="1" si="2"/>
        <v/>
      </c>
      <c r="L83" s="93" t="str">
        <f t="shared" ca="1" si="2"/>
        <v/>
      </c>
      <c r="M83" s="93" t="str">
        <f t="shared" ca="1" si="2"/>
        <v/>
      </c>
      <c r="N83" s="93" t="str">
        <f t="shared" ca="1" si="2"/>
        <v/>
      </c>
      <c r="O83" s="93" t="str">
        <f t="shared" ca="1" si="2"/>
        <v/>
      </c>
      <c r="P83" s="93" t="str">
        <f t="shared" ca="1" si="2"/>
        <v/>
      </c>
      <c r="Q83" s="80"/>
      <c r="AZ83" s="1" t="s">
        <v>2</v>
      </c>
      <c r="BA83" s="5" t="s">
        <v>1</v>
      </c>
      <c r="BB83" s="5" t="s">
        <v>1</v>
      </c>
      <c r="BC83" s="5" t="s">
        <v>1</v>
      </c>
    </row>
    <row r="84" spans="1:55" hidden="1" x14ac:dyDescent="0.25">
      <c r="A84" s="19"/>
      <c r="B84" s="37"/>
      <c r="C84" s="19"/>
      <c r="D84" s="37"/>
      <c r="E84" s="19"/>
      <c r="F84" s="37"/>
      <c r="G84" s="19"/>
      <c r="H84" s="19"/>
      <c r="I84" s="19"/>
      <c r="J84" s="19"/>
      <c r="K84" s="19"/>
      <c r="L84" s="19"/>
      <c r="M84" s="19"/>
      <c r="N84" s="19"/>
      <c r="O84" s="19"/>
      <c r="P84" s="19"/>
      <c r="AZ84" s="1" t="s">
        <v>2</v>
      </c>
      <c r="BA84" s="5" t="s">
        <v>1</v>
      </c>
      <c r="BB84" s="5" t="s">
        <v>1</v>
      </c>
      <c r="BC84" s="5" t="s">
        <v>1</v>
      </c>
    </row>
    <row r="85" spans="1:55" hidden="1" x14ac:dyDescent="0.25">
      <c r="A85" s="24" t="s">
        <v>222</v>
      </c>
      <c r="B85" s="71"/>
      <c r="C85" s="19"/>
      <c r="D85" s="71"/>
      <c r="E85" s="19"/>
      <c r="F85" s="71"/>
      <c r="G85" s="19"/>
      <c r="H85" s="19"/>
      <c r="I85" s="19"/>
      <c r="J85" s="19"/>
      <c r="K85" s="19"/>
      <c r="L85" s="19"/>
      <c r="M85" s="19"/>
      <c r="N85" s="19"/>
      <c r="O85" s="19"/>
      <c r="P85" s="19"/>
      <c r="AZ85" s="1" t="s">
        <v>2</v>
      </c>
      <c r="BA85" s="5" t="s">
        <v>1</v>
      </c>
      <c r="BB85" s="5" t="s">
        <v>1</v>
      </c>
      <c r="BC85" s="5" t="s">
        <v>1</v>
      </c>
    </row>
    <row r="86" spans="1:55" hidden="1" x14ac:dyDescent="0.25">
      <c r="A86" s="24" t="s">
        <v>223</v>
      </c>
      <c r="B86" s="71"/>
      <c r="C86" s="19"/>
      <c r="D86" s="71"/>
      <c r="E86" s="19"/>
      <c r="F86" s="71"/>
      <c r="G86" s="19"/>
      <c r="H86" s="19"/>
      <c r="I86" s="19"/>
      <c r="J86" s="19"/>
      <c r="K86" s="19"/>
      <c r="L86" s="19"/>
      <c r="M86" s="19"/>
      <c r="N86" s="19"/>
      <c r="O86" s="19"/>
      <c r="P86" s="19"/>
      <c r="AZ86" s="1" t="s">
        <v>2</v>
      </c>
      <c r="BA86" s="5" t="s">
        <v>1</v>
      </c>
      <c r="BB86" s="5" t="s">
        <v>1</v>
      </c>
      <c r="BC86" s="5" t="s">
        <v>1</v>
      </c>
    </row>
    <row r="87" spans="1:55" hidden="1" x14ac:dyDescent="0.25">
      <c r="A87" s="24" t="s">
        <v>224</v>
      </c>
      <c r="B87" s="71"/>
      <c r="C87" s="19"/>
      <c r="D87" s="71"/>
      <c r="E87" s="19"/>
      <c r="F87" s="71"/>
      <c r="G87" s="19"/>
      <c r="H87" s="19"/>
      <c r="I87" s="19"/>
      <c r="J87" s="19"/>
      <c r="K87" s="19"/>
      <c r="L87" s="19"/>
      <c r="M87" s="19"/>
      <c r="N87" s="19"/>
      <c r="O87" s="19"/>
      <c r="P87" s="19"/>
      <c r="AZ87" s="1" t="s">
        <v>2</v>
      </c>
      <c r="BA87" s="5" t="s">
        <v>1</v>
      </c>
      <c r="BB87" s="5" t="s">
        <v>1</v>
      </c>
      <c r="BC87" s="5" t="s">
        <v>1</v>
      </c>
    </row>
    <row r="88" spans="1:55" hidden="1" x14ac:dyDescent="0.25">
      <c r="A88" s="24" t="s">
        <v>225</v>
      </c>
      <c r="B88" s="71"/>
      <c r="C88" s="19"/>
      <c r="D88" s="71"/>
      <c r="E88" s="19">
        <f>'[1]BS workings'!E32</f>
        <v>0</v>
      </c>
      <c r="F88" s="71"/>
      <c r="G88" s="19">
        <f>'[1]BS workings'!G32</f>
        <v>0</v>
      </c>
      <c r="H88" s="19">
        <f>'[1]BS workings'!H32</f>
        <v>0</v>
      </c>
      <c r="I88" s="19">
        <f>'[1]BS workings'!I32</f>
        <v>0</v>
      </c>
      <c r="J88" s="19">
        <f>'[1]BS workings'!J32</f>
        <v>0</v>
      </c>
      <c r="K88" s="19">
        <f>'[1]BS workings'!K32</f>
        <v>0</v>
      </c>
      <c r="L88" s="19">
        <f>'[1]BS workings'!L32</f>
        <v>0</v>
      </c>
      <c r="M88" s="19">
        <f>'[1]BS workings'!M32</f>
        <v>0</v>
      </c>
      <c r="N88" s="19">
        <f>'[1]BS workings'!N32</f>
        <v>0</v>
      </c>
      <c r="O88" s="19">
        <f>'[1]BS workings'!O32</f>
        <v>0</v>
      </c>
      <c r="P88" s="19">
        <f>'[1]BS workings'!P32</f>
        <v>0</v>
      </c>
      <c r="AZ88" s="1" t="s">
        <v>2</v>
      </c>
      <c r="BA88" s="5" t="s">
        <v>1</v>
      </c>
      <c r="BB88" s="5" t="s">
        <v>1</v>
      </c>
      <c r="BC88" s="5" t="s">
        <v>1</v>
      </c>
    </row>
    <row r="89" spans="1:55" hidden="1" x14ac:dyDescent="0.25">
      <c r="A89" s="19"/>
      <c r="B89" s="37"/>
      <c r="C89" s="19"/>
      <c r="D89" s="37"/>
      <c r="E89" s="19"/>
      <c r="F89" s="37"/>
      <c r="G89" s="19"/>
      <c r="H89" s="19"/>
      <c r="I89" s="19"/>
      <c r="J89" s="19"/>
      <c r="K89" s="19"/>
      <c r="L89" s="19"/>
      <c r="M89" s="19"/>
      <c r="N89" s="19"/>
      <c r="O89" s="19"/>
      <c r="P89" s="19"/>
      <c r="AZ89" s="1" t="s">
        <v>2</v>
      </c>
      <c r="BA89" s="5" t="s">
        <v>1</v>
      </c>
      <c r="BB89" s="5" t="s">
        <v>1</v>
      </c>
      <c r="BC89" s="5" t="s">
        <v>1</v>
      </c>
    </row>
    <row r="90" spans="1:55" hidden="1" x14ac:dyDescent="0.25">
      <c r="A90" s="19"/>
      <c r="B90" s="37"/>
      <c r="C90" s="19"/>
      <c r="D90" s="37"/>
      <c r="E90" s="19"/>
      <c r="F90" s="37"/>
      <c r="G90" s="19"/>
      <c r="H90" s="19"/>
      <c r="I90" s="19"/>
      <c r="J90" s="19"/>
      <c r="K90" s="19"/>
      <c r="L90" s="19"/>
      <c r="M90" s="19"/>
      <c r="N90" s="19"/>
      <c r="O90" s="19"/>
      <c r="P90" s="19"/>
      <c r="AZ90" s="1" t="s">
        <v>2</v>
      </c>
      <c r="BA90" s="5" t="s">
        <v>1</v>
      </c>
      <c r="BB90" s="5" t="s">
        <v>1</v>
      </c>
      <c r="BC90" s="5" t="s">
        <v>1</v>
      </c>
    </row>
    <row r="91" spans="1:55" hidden="1" x14ac:dyDescent="0.25">
      <c r="A91" s="19"/>
      <c r="B91" s="37"/>
      <c r="C91" s="42"/>
      <c r="D91" s="37"/>
      <c r="E91" s="42">
        <f>SUM(E86:E90)</f>
        <v>0</v>
      </c>
      <c r="F91" s="37"/>
      <c r="G91" s="42">
        <f t="shared" ref="G91:P91" si="3">SUM(G86:G90)</f>
        <v>0</v>
      </c>
      <c r="H91" s="42">
        <f t="shared" si="3"/>
        <v>0</v>
      </c>
      <c r="I91" s="42">
        <f t="shared" si="3"/>
        <v>0</v>
      </c>
      <c r="J91" s="42">
        <f t="shared" si="3"/>
        <v>0</v>
      </c>
      <c r="K91" s="42">
        <f t="shared" si="3"/>
        <v>0</v>
      </c>
      <c r="L91" s="42">
        <f t="shared" si="3"/>
        <v>0</v>
      </c>
      <c r="M91" s="42">
        <f t="shared" si="3"/>
        <v>0</v>
      </c>
      <c r="N91" s="42">
        <f t="shared" si="3"/>
        <v>0</v>
      </c>
      <c r="O91" s="42">
        <f t="shared" si="3"/>
        <v>0</v>
      </c>
      <c r="P91" s="42">
        <f t="shared" si="3"/>
        <v>0</v>
      </c>
      <c r="AZ91" s="1" t="s">
        <v>2</v>
      </c>
      <c r="BA91" s="5" t="s">
        <v>1</v>
      </c>
      <c r="BB91" s="5" t="s">
        <v>1</v>
      </c>
      <c r="BC91" s="5" t="s">
        <v>1</v>
      </c>
    </row>
    <row r="92" spans="1:55" hidden="1" x14ac:dyDescent="0.25">
      <c r="A92" s="19"/>
      <c r="B92" s="37"/>
      <c r="C92" s="19"/>
      <c r="D92" s="37"/>
      <c r="E92" s="19"/>
      <c r="F92" s="37"/>
      <c r="G92" s="19"/>
      <c r="H92" s="19"/>
      <c r="I92" s="19"/>
      <c r="J92" s="19"/>
      <c r="K92" s="19"/>
      <c r="L92" s="19"/>
      <c r="M92" s="19"/>
      <c r="N92" s="19"/>
      <c r="O92" s="19"/>
      <c r="P92" s="19"/>
      <c r="AZ92" s="1" t="s">
        <v>2</v>
      </c>
      <c r="BA92" s="5" t="s">
        <v>1</v>
      </c>
      <c r="BB92" s="5" t="s">
        <v>1</v>
      </c>
      <c r="BC92" s="5" t="s">
        <v>1</v>
      </c>
    </row>
    <row r="93" spans="1:55" hidden="1" x14ac:dyDescent="0.25">
      <c r="A93" s="24" t="s">
        <v>226</v>
      </c>
      <c r="B93" s="71"/>
      <c r="C93" s="19"/>
      <c r="D93" s="71"/>
      <c r="E93" s="19">
        <f>IF(E91&gt;0,E91,0)</f>
        <v>0</v>
      </c>
      <c r="F93" s="71"/>
      <c r="G93" s="19">
        <f t="shared" ref="G93:P93" si="4">IF(G91&gt;0,G91,0)</f>
        <v>0</v>
      </c>
      <c r="H93" s="19">
        <f t="shared" si="4"/>
        <v>0</v>
      </c>
      <c r="I93" s="19">
        <f t="shared" si="4"/>
        <v>0</v>
      </c>
      <c r="J93" s="19">
        <f t="shared" si="4"/>
        <v>0</v>
      </c>
      <c r="K93" s="19">
        <f t="shared" si="4"/>
        <v>0</v>
      </c>
      <c r="L93" s="19">
        <f t="shared" si="4"/>
        <v>0</v>
      </c>
      <c r="M93" s="19">
        <f t="shared" si="4"/>
        <v>0</v>
      </c>
      <c r="N93" s="19">
        <f t="shared" si="4"/>
        <v>0</v>
      </c>
      <c r="O93" s="19">
        <f t="shared" si="4"/>
        <v>0</v>
      </c>
      <c r="P93" s="19">
        <f t="shared" si="4"/>
        <v>0</v>
      </c>
      <c r="AZ93" s="1" t="s">
        <v>2</v>
      </c>
      <c r="BA93" s="5" t="s">
        <v>1</v>
      </c>
      <c r="BB93" s="5" t="s">
        <v>1</v>
      </c>
      <c r="BC93" s="5" t="s">
        <v>1</v>
      </c>
    </row>
    <row r="94" spans="1:55" hidden="1" x14ac:dyDescent="0.25">
      <c r="A94" s="24" t="s">
        <v>227</v>
      </c>
      <c r="B94" s="71"/>
      <c r="C94" s="19"/>
      <c r="D94" s="71"/>
      <c r="E94" s="19">
        <f>IF(E91&lt;0,E91,0)</f>
        <v>0</v>
      </c>
      <c r="F94" s="71"/>
      <c r="G94" s="19">
        <f t="shared" ref="G94:P94" si="5">IF(G91&lt;0,G91,0)</f>
        <v>0</v>
      </c>
      <c r="H94" s="19">
        <f t="shared" si="5"/>
        <v>0</v>
      </c>
      <c r="I94" s="19">
        <f t="shared" si="5"/>
        <v>0</v>
      </c>
      <c r="J94" s="19">
        <f t="shared" si="5"/>
        <v>0</v>
      </c>
      <c r="K94" s="19">
        <f t="shared" si="5"/>
        <v>0</v>
      </c>
      <c r="L94" s="19">
        <f t="shared" si="5"/>
        <v>0</v>
      </c>
      <c r="M94" s="19">
        <f t="shared" si="5"/>
        <v>0</v>
      </c>
      <c r="N94" s="19">
        <f t="shared" si="5"/>
        <v>0</v>
      </c>
      <c r="O94" s="19">
        <f t="shared" si="5"/>
        <v>0</v>
      </c>
      <c r="P94" s="19">
        <f t="shared" si="5"/>
        <v>0</v>
      </c>
      <c r="AZ94" s="1" t="s">
        <v>2</v>
      </c>
      <c r="BA94" s="5" t="s">
        <v>1</v>
      </c>
      <c r="BB94" s="5" t="s">
        <v>1</v>
      </c>
      <c r="BC94" s="5" t="s">
        <v>1</v>
      </c>
    </row>
    <row r="95" spans="1:55" hidden="1" x14ac:dyDescent="0.25">
      <c r="A95" s="19"/>
      <c r="B95" s="37"/>
      <c r="C95" s="19"/>
      <c r="D95" s="37"/>
      <c r="E95" s="19"/>
      <c r="F95" s="37"/>
      <c r="G95" s="19"/>
      <c r="H95" s="19"/>
      <c r="I95" s="19"/>
      <c r="J95" s="19"/>
      <c r="K95" s="19"/>
      <c r="L95" s="19"/>
      <c r="M95" s="19"/>
      <c r="N95" s="19"/>
      <c r="O95" s="19"/>
      <c r="P95" s="19"/>
      <c r="AZ95" s="1" t="s">
        <v>2</v>
      </c>
      <c r="BA95" s="5" t="s">
        <v>1</v>
      </c>
      <c r="BB95" s="5" t="s">
        <v>1</v>
      </c>
      <c r="BC95" s="5" t="s">
        <v>1</v>
      </c>
    </row>
    <row r="96" spans="1:55" hidden="1" x14ac:dyDescent="0.25">
      <c r="A96" s="19"/>
      <c r="B96" s="37"/>
      <c r="C96" s="19"/>
      <c r="D96" s="37"/>
      <c r="E96" s="19"/>
      <c r="F96" s="37"/>
      <c r="G96" s="19"/>
      <c r="H96" s="19"/>
      <c r="I96" s="19"/>
      <c r="J96" s="19"/>
      <c r="K96" s="19"/>
      <c r="L96" s="19"/>
      <c r="M96" s="19"/>
      <c r="N96" s="19"/>
      <c r="O96" s="19"/>
      <c r="P96" s="19"/>
      <c r="AZ96" s="1" t="s">
        <v>2</v>
      </c>
      <c r="BA96" s="5" t="s">
        <v>1</v>
      </c>
      <c r="BB96" s="5" t="s">
        <v>1</v>
      </c>
      <c r="BC96" s="5" t="s">
        <v>1</v>
      </c>
    </row>
    <row r="97" spans="1:55" hidden="1" x14ac:dyDescent="0.25">
      <c r="A97" s="19"/>
      <c r="B97" s="37"/>
      <c r="C97" s="19"/>
      <c r="D97" s="37"/>
      <c r="E97" s="19"/>
      <c r="F97" s="37"/>
      <c r="G97" s="19"/>
      <c r="H97" s="19"/>
      <c r="I97" s="19"/>
      <c r="J97" s="19"/>
      <c r="K97" s="19"/>
      <c r="L97" s="19"/>
      <c r="M97" s="19"/>
      <c r="N97" s="19"/>
      <c r="O97" s="19"/>
      <c r="P97" s="19"/>
      <c r="AZ97" s="1" t="s">
        <v>2</v>
      </c>
      <c r="BA97" s="5" t="s">
        <v>1</v>
      </c>
      <c r="BB97" s="5" t="s">
        <v>1</v>
      </c>
      <c r="BC97" s="5" t="s">
        <v>1</v>
      </c>
    </row>
    <row r="98" spans="1:55" hidden="1" x14ac:dyDescent="0.25">
      <c r="A98" s="19" t="s">
        <v>228</v>
      </c>
      <c r="B98" s="37"/>
      <c r="C98" s="19"/>
      <c r="D98" s="37"/>
      <c r="E98" s="19">
        <f>+'[1]Loans Receivable - Internal'!J42</f>
        <v>0</v>
      </c>
      <c r="F98" s="37"/>
      <c r="G98" s="19">
        <f>+'[1]Loans Receivable - Internal'!K42</f>
        <v>0</v>
      </c>
      <c r="H98" s="19">
        <f>+'[1]Loans Receivable - Internal'!L42</f>
        <v>0</v>
      </c>
      <c r="I98" s="19">
        <f>+'[1]Loans Receivable - Internal'!M42</f>
        <v>0</v>
      </c>
      <c r="J98" s="19">
        <f>+'[1]Loans Receivable - Internal'!N42</f>
        <v>0</v>
      </c>
      <c r="K98" s="19">
        <f>+'[1]Loans Receivable - Internal'!O42</f>
        <v>0</v>
      </c>
      <c r="L98" s="19">
        <f>+'[1]Loans Receivable - Internal'!P42</f>
        <v>0</v>
      </c>
      <c r="M98" s="19">
        <f>+'[1]Loans Receivable - Internal'!Q42</f>
        <v>0</v>
      </c>
      <c r="N98" s="19">
        <f>+'[1]Loans Receivable - Internal'!R42</f>
        <v>0</v>
      </c>
      <c r="O98" s="19">
        <f>+'[1]Loans Receivable - Internal'!S42</f>
        <v>0</v>
      </c>
      <c r="P98" s="19">
        <f>+'[1]Loans Receivable - Internal'!T42</f>
        <v>0</v>
      </c>
      <c r="AZ98" s="1" t="s">
        <v>2</v>
      </c>
      <c r="BA98" s="5" t="s">
        <v>1</v>
      </c>
      <c r="BB98" s="5" t="s">
        <v>1</v>
      </c>
      <c r="BC98" s="5" t="s">
        <v>1</v>
      </c>
    </row>
    <row r="99" spans="1:55" hidden="1" x14ac:dyDescent="0.25">
      <c r="A99" s="19" t="s">
        <v>229</v>
      </c>
      <c r="B99" s="37"/>
      <c r="C99" s="19"/>
      <c r="D99" s="37"/>
      <c r="E99" s="19">
        <f>+'[1]Loans Payable - Internal'!J42</f>
        <v>0</v>
      </c>
      <c r="F99" s="37"/>
      <c r="G99" s="19">
        <f>+'[1]Loans Payable - Internal'!K42</f>
        <v>0</v>
      </c>
      <c r="H99" s="19">
        <f>+'[1]Loans Payable - Internal'!L42</f>
        <v>0</v>
      </c>
      <c r="I99" s="19">
        <f>+'[1]Loans Payable - Internal'!M42</f>
        <v>0</v>
      </c>
      <c r="J99" s="19">
        <f>+'[1]Loans Payable - Internal'!N42</f>
        <v>0</v>
      </c>
      <c r="K99" s="19">
        <f>+'[1]Loans Payable - Internal'!O42</f>
        <v>0</v>
      </c>
      <c r="L99" s="19">
        <f>+'[1]Loans Payable - Internal'!P42</f>
        <v>0</v>
      </c>
      <c r="M99" s="19">
        <f>+'[1]Loans Payable - Internal'!Q42</f>
        <v>0</v>
      </c>
      <c r="N99" s="19">
        <f>+'[1]Loans Payable - Internal'!R42</f>
        <v>0</v>
      </c>
      <c r="O99" s="19">
        <f>+'[1]Loans Payable - Internal'!S42</f>
        <v>0</v>
      </c>
      <c r="P99" s="19">
        <f>+'[1]Loans Payable - Internal'!T42</f>
        <v>0</v>
      </c>
      <c r="AZ99" s="1" t="s">
        <v>2</v>
      </c>
      <c r="BA99" s="5" t="s">
        <v>1</v>
      </c>
      <c r="BB99" s="5" t="s">
        <v>1</v>
      </c>
      <c r="BC99" s="5" t="s">
        <v>1</v>
      </c>
    </row>
    <row r="100" spans="1:55" hidden="1" x14ac:dyDescent="0.25">
      <c r="A100" s="19" t="s">
        <v>230</v>
      </c>
      <c r="B100" s="37"/>
      <c r="C100" s="19"/>
      <c r="D100" s="37"/>
      <c r="E100" s="19">
        <f>+'[1]Loans Receivable - Internal'!J43</f>
        <v>0</v>
      </c>
      <c r="F100" s="37"/>
      <c r="G100" s="19">
        <f>+'[1]Loans Receivable - Internal'!K43</f>
        <v>0</v>
      </c>
      <c r="H100" s="19">
        <f>+'[1]Loans Receivable - Internal'!L43</f>
        <v>0</v>
      </c>
      <c r="I100" s="19">
        <f>+'[1]Loans Receivable - Internal'!M43</f>
        <v>0</v>
      </c>
      <c r="J100" s="19">
        <f>+'[1]Loans Receivable - Internal'!N43</f>
        <v>0</v>
      </c>
      <c r="K100" s="19">
        <f>+'[1]Loans Receivable - Internal'!O43</f>
        <v>0</v>
      </c>
      <c r="L100" s="19">
        <f>+'[1]Loans Receivable - Internal'!P43</f>
        <v>0</v>
      </c>
      <c r="M100" s="19">
        <f>+'[1]Loans Receivable - Internal'!Q43</f>
        <v>0</v>
      </c>
      <c r="N100" s="19">
        <f>+'[1]Loans Receivable - Internal'!R43</f>
        <v>0</v>
      </c>
      <c r="O100" s="19">
        <f>+'[1]Loans Receivable - Internal'!S43</f>
        <v>0</v>
      </c>
      <c r="P100" s="19">
        <f>+'[1]Loans Receivable - Internal'!T43</f>
        <v>0</v>
      </c>
      <c r="AZ100" s="1" t="s">
        <v>2</v>
      </c>
      <c r="BA100" s="5" t="s">
        <v>1</v>
      </c>
      <c r="BB100" s="5" t="s">
        <v>1</v>
      </c>
      <c r="BC100" s="5" t="s">
        <v>1</v>
      </c>
    </row>
    <row r="101" spans="1:55" hidden="1" x14ac:dyDescent="0.25">
      <c r="A101" s="19" t="s">
        <v>231</v>
      </c>
      <c r="B101" s="37"/>
      <c r="C101" s="19"/>
      <c r="D101" s="37"/>
      <c r="E101" s="19">
        <f>+'[1]Loans Payable - Internal'!J43</f>
        <v>0</v>
      </c>
      <c r="F101" s="37"/>
      <c r="G101" s="19">
        <f>+'[1]Loans Payable - Internal'!K43</f>
        <v>0</v>
      </c>
      <c r="H101" s="19">
        <f>+'[1]Loans Payable - Internal'!L43</f>
        <v>0</v>
      </c>
      <c r="I101" s="19">
        <f>+'[1]Loans Payable - Internal'!M43</f>
        <v>0</v>
      </c>
      <c r="J101" s="19">
        <f>+'[1]Loans Payable - Internal'!N43</f>
        <v>0</v>
      </c>
      <c r="K101" s="19">
        <f>+'[1]Loans Payable - Internal'!O43</f>
        <v>0</v>
      </c>
      <c r="L101" s="19">
        <f>+'[1]Loans Payable - Internal'!P43</f>
        <v>0</v>
      </c>
      <c r="M101" s="19">
        <f>+'[1]Loans Payable - Internal'!Q43</f>
        <v>0</v>
      </c>
      <c r="N101" s="19">
        <f>+'[1]Loans Payable - Internal'!R43</f>
        <v>0</v>
      </c>
      <c r="O101" s="19">
        <f>+'[1]Loans Payable - Internal'!S43</f>
        <v>0</v>
      </c>
      <c r="P101" s="19">
        <f>+'[1]Loans Payable - Internal'!T43</f>
        <v>0</v>
      </c>
      <c r="AZ101" s="1" t="s">
        <v>2</v>
      </c>
      <c r="BA101" s="5" t="s">
        <v>1</v>
      </c>
      <c r="BB101" s="5" t="s">
        <v>1</v>
      </c>
      <c r="BC101" s="5" t="s">
        <v>1</v>
      </c>
    </row>
    <row r="102" spans="1:55" hidden="1" x14ac:dyDescent="0.25">
      <c r="A102" s="19"/>
      <c r="B102" s="37"/>
      <c r="C102" s="19"/>
      <c r="D102" s="37"/>
      <c r="E102" s="19"/>
      <c r="F102" s="37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AZ102" s="1" t="s">
        <v>2</v>
      </c>
      <c r="BA102" s="5" t="s">
        <v>1</v>
      </c>
      <c r="BB102" s="5" t="s">
        <v>1</v>
      </c>
      <c r="BC102" s="5" t="s">
        <v>1</v>
      </c>
    </row>
    <row r="103" spans="1:55" hidden="1" x14ac:dyDescent="0.25">
      <c r="A103" s="19"/>
      <c r="B103" s="37"/>
      <c r="C103" s="19"/>
      <c r="D103" s="37"/>
      <c r="E103" s="19"/>
      <c r="F103" s="37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AZ103" s="1" t="s">
        <v>2</v>
      </c>
      <c r="BA103" s="5" t="s">
        <v>1</v>
      </c>
      <c r="BB103" s="5" t="s">
        <v>1</v>
      </c>
      <c r="BC103" s="5" t="s">
        <v>1</v>
      </c>
    </row>
    <row r="104" spans="1:55" hidden="1" x14ac:dyDescent="0.25">
      <c r="A104" s="19"/>
      <c r="B104" s="37"/>
      <c r="C104" s="19"/>
      <c r="D104" s="37"/>
      <c r="E104" s="19"/>
      <c r="F104" s="37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AZ104" s="1" t="s">
        <v>2</v>
      </c>
      <c r="BA104" s="5" t="s">
        <v>1</v>
      </c>
      <c r="BB104" s="5" t="s">
        <v>1</v>
      </c>
      <c r="BC104" s="5" t="s">
        <v>1</v>
      </c>
    </row>
    <row r="105" spans="1:55" hidden="1" x14ac:dyDescent="0.25">
      <c r="A105" s="19"/>
      <c r="B105" s="37"/>
      <c r="C105" s="19"/>
      <c r="D105" s="37"/>
      <c r="E105" s="19"/>
      <c r="F105" s="37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AZ105" s="1" t="s">
        <v>2</v>
      </c>
      <c r="BA105" s="5" t="s">
        <v>1</v>
      </c>
      <c r="BB105" s="5" t="s">
        <v>1</v>
      </c>
      <c r="BC105" s="5" t="s">
        <v>1</v>
      </c>
    </row>
    <row r="106" spans="1:55" hidden="1" x14ac:dyDescent="0.25">
      <c r="A106" s="22" t="s">
        <v>2</v>
      </c>
      <c r="B106" s="22" t="s">
        <v>2</v>
      </c>
      <c r="C106" s="22" t="s">
        <v>2</v>
      </c>
      <c r="D106" s="22" t="s">
        <v>2</v>
      </c>
      <c r="E106" s="22" t="s">
        <v>2</v>
      </c>
      <c r="F106" s="22" t="s">
        <v>2</v>
      </c>
      <c r="G106" s="22" t="s">
        <v>2</v>
      </c>
      <c r="H106" s="22" t="s">
        <v>2</v>
      </c>
      <c r="I106" s="22" t="s">
        <v>2</v>
      </c>
      <c r="J106" s="22" t="s">
        <v>2</v>
      </c>
      <c r="K106" s="22" t="s">
        <v>2</v>
      </c>
      <c r="L106" s="22" t="s">
        <v>2</v>
      </c>
      <c r="M106" s="22" t="s">
        <v>2</v>
      </c>
      <c r="N106" s="22" t="s">
        <v>2</v>
      </c>
      <c r="O106" s="22" t="s">
        <v>2</v>
      </c>
      <c r="P106" s="22" t="s">
        <v>2</v>
      </c>
      <c r="Q106" s="1" t="s">
        <v>2</v>
      </c>
      <c r="R106" s="1" t="s">
        <v>2</v>
      </c>
      <c r="S106" s="1" t="s">
        <v>2</v>
      </c>
      <c r="T106" s="1" t="s">
        <v>2</v>
      </c>
      <c r="U106" s="1" t="s">
        <v>2</v>
      </c>
      <c r="V106" s="1" t="s">
        <v>2</v>
      </c>
      <c r="W106" s="1" t="s">
        <v>2</v>
      </c>
      <c r="X106" s="1" t="s">
        <v>2</v>
      </c>
      <c r="Y106" s="1" t="s">
        <v>2</v>
      </c>
      <c r="Z106" s="1" t="s">
        <v>2</v>
      </c>
      <c r="AA106" s="1" t="s">
        <v>2</v>
      </c>
      <c r="AB106" s="1" t="s">
        <v>2</v>
      </c>
      <c r="AC106" s="1" t="s">
        <v>2</v>
      </c>
      <c r="AD106" s="1" t="s">
        <v>2</v>
      </c>
      <c r="AE106" s="1" t="s">
        <v>2</v>
      </c>
      <c r="AF106" s="1" t="s">
        <v>2</v>
      </c>
      <c r="AG106" s="1" t="s">
        <v>2</v>
      </c>
      <c r="AH106" s="1" t="s">
        <v>2</v>
      </c>
      <c r="AI106" s="1" t="s">
        <v>2</v>
      </c>
      <c r="AJ106" s="1" t="s">
        <v>2</v>
      </c>
      <c r="AK106" s="1" t="s">
        <v>2</v>
      </c>
      <c r="AL106" s="1" t="s">
        <v>2</v>
      </c>
      <c r="AM106" s="1" t="s">
        <v>2</v>
      </c>
      <c r="AN106" s="1" t="s">
        <v>2</v>
      </c>
      <c r="AO106" s="1" t="s">
        <v>2</v>
      </c>
      <c r="AP106" s="1" t="s">
        <v>2</v>
      </c>
      <c r="AQ106" s="1" t="s">
        <v>2</v>
      </c>
      <c r="AR106" s="1" t="s">
        <v>2</v>
      </c>
      <c r="AS106" s="1" t="s">
        <v>2</v>
      </c>
      <c r="AT106" s="1" t="s">
        <v>2</v>
      </c>
      <c r="AU106" s="1" t="s">
        <v>2</v>
      </c>
      <c r="AV106" s="1" t="s">
        <v>2</v>
      </c>
      <c r="AW106" s="1" t="s">
        <v>2</v>
      </c>
      <c r="AX106" s="1" t="s">
        <v>2</v>
      </c>
      <c r="AY106" s="1" t="s">
        <v>2</v>
      </c>
      <c r="AZ106" s="1" t="s">
        <v>2</v>
      </c>
      <c r="BA106" s="5" t="s">
        <v>1</v>
      </c>
      <c r="BB106" s="5" t="s">
        <v>1</v>
      </c>
      <c r="BC106" s="5" t="s">
        <v>1</v>
      </c>
    </row>
    <row r="107" spans="1:55" x14ac:dyDescent="0.25">
      <c r="A107" s="19"/>
      <c r="B107" s="47"/>
      <c r="C107" s="19"/>
      <c r="D107" s="47"/>
      <c r="E107" s="19"/>
      <c r="F107" s="47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BA107" s="5" t="s">
        <v>1</v>
      </c>
      <c r="BB107" s="5" t="s">
        <v>1</v>
      </c>
      <c r="BC107" s="5" t="s">
        <v>1</v>
      </c>
    </row>
    <row r="108" spans="1:55" ht="30" customHeight="1" x14ac:dyDescent="0.25">
      <c r="A108" s="23" t="s">
        <v>1</v>
      </c>
      <c r="B108" s="94" t="s">
        <v>1</v>
      </c>
      <c r="C108" s="23" t="s">
        <v>1</v>
      </c>
      <c r="D108" s="94" t="s">
        <v>1</v>
      </c>
      <c r="E108" s="23" t="s">
        <v>1</v>
      </c>
      <c r="F108" s="94" t="s">
        <v>1</v>
      </c>
      <c r="G108" s="23" t="s">
        <v>1</v>
      </c>
      <c r="H108" s="23" t="s">
        <v>1</v>
      </c>
      <c r="I108" s="23" t="s">
        <v>1</v>
      </c>
      <c r="J108" s="23" t="s">
        <v>1</v>
      </c>
      <c r="K108" s="23" t="s">
        <v>1</v>
      </c>
      <c r="L108" s="23" t="s">
        <v>1</v>
      </c>
      <c r="M108" s="23" t="s">
        <v>1</v>
      </c>
      <c r="N108" s="23" t="s">
        <v>1</v>
      </c>
      <c r="O108" s="23" t="s">
        <v>1</v>
      </c>
      <c r="P108" s="23" t="s">
        <v>1</v>
      </c>
      <c r="Q108" s="5" t="s">
        <v>1</v>
      </c>
      <c r="R108" s="5" t="s">
        <v>1</v>
      </c>
      <c r="S108" s="5" t="s">
        <v>1</v>
      </c>
      <c r="T108" s="5" t="s">
        <v>1</v>
      </c>
      <c r="U108" s="5" t="s">
        <v>1</v>
      </c>
      <c r="V108" s="5" t="s">
        <v>1</v>
      </c>
      <c r="W108" s="5" t="s">
        <v>1</v>
      </c>
      <c r="X108" s="5" t="s">
        <v>1</v>
      </c>
      <c r="Y108" s="5" t="s">
        <v>1</v>
      </c>
      <c r="Z108" s="5" t="s">
        <v>1</v>
      </c>
      <c r="AA108" s="5" t="s">
        <v>1</v>
      </c>
      <c r="AB108" s="5" t="s">
        <v>1</v>
      </c>
      <c r="AC108" s="5" t="s">
        <v>1</v>
      </c>
      <c r="AD108" s="5" t="s">
        <v>1</v>
      </c>
      <c r="AE108" s="5" t="s">
        <v>1</v>
      </c>
      <c r="AF108" s="5" t="s">
        <v>1</v>
      </c>
      <c r="AG108" s="5" t="s">
        <v>1</v>
      </c>
      <c r="AH108" s="5" t="s">
        <v>1</v>
      </c>
      <c r="AI108" s="5" t="s">
        <v>1</v>
      </c>
      <c r="AJ108" s="5" t="s">
        <v>1</v>
      </c>
      <c r="AK108" s="5" t="s">
        <v>1</v>
      </c>
      <c r="AL108" s="5" t="s">
        <v>1</v>
      </c>
      <c r="AM108" s="5" t="s">
        <v>1</v>
      </c>
      <c r="AN108" s="5" t="s">
        <v>1</v>
      </c>
      <c r="AO108" s="5" t="s">
        <v>1</v>
      </c>
      <c r="AP108" s="5" t="s">
        <v>1</v>
      </c>
      <c r="AQ108" s="5" t="s">
        <v>1</v>
      </c>
      <c r="AR108" s="5" t="s">
        <v>1</v>
      </c>
      <c r="AS108" s="5" t="s">
        <v>1</v>
      </c>
      <c r="AT108" s="5" t="s">
        <v>1</v>
      </c>
      <c r="AU108" s="5" t="s">
        <v>1</v>
      </c>
      <c r="AV108" s="5" t="s">
        <v>1</v>
      </c>
      <c r="AW108" s="5" t="s">
        <v>1</v>
      </c>
      <c r="AX108" s="5" t="s">
        <v>1</v>
      </c>
      <c r="AY108" s="5" t="s">
        <v>1</v>
      </c>
      <c r="AZ108" s="5" t="s">
        <v>1</v>
      </c>
      <c r="BA108" s="5" t="s">
        <v>1</v>
      </c>
      <c r="BB108" s="5" t="s">
        <v>1</v>
      </c>
      <c r="BC108" s="5" t="s">
        <v>1</v>
      </c>
    </row>
    <row r="109" spans="1:55" ht="30" customHeight="1" x14ac:dyDescent="0.25">
      <c r="A109" s="23" t="s">
        <v>1</v>
      </c>
      <c r="B109" s="94" t="s">
        <v>1</v>
      </c>
      <c r="C109" s="23" t="s">
        <v>1</v>
      </c>
      <c r="D109" s="94" t="s">
        <v>1</v>
      </c>
      <c r="E109" s="23" t="s">
        <v>1</v>
      </c>
      <c r="F109" s="94" t="s">
        <v>1</v>
      </c>
      <c r="G109" s="23" t="s">
        <v>1</v>
      </c>
      <c r="H109" s="23" t="s">
        <v>1</v>
      </c>
      <c r="I109" s="23" t="s">
        <v>1</v>
      </c>
      <c r="J109" s="23" t="s">
        <v>1</v>
      </c>
      <c r="K109" s="23" t="s">
        <v>1</v>
      </c>
      <c r="L109" s="23" t="s">
        <v>1</v>
      </c>
      <c r="M109" s="23" t="s">
        <v>1</v>
      </c>
      <c r="N109" s="23" t="s">
        <v>1</v>
      </c>
      <c r="O109" s="23" t="s">
        <v>1</v>
      </c>
      <c r="P109" s="23" t="s">
        <v>1</v>
      </c>
      <c r="Q109" s="5" t="s">
        <v>1</v>
      </c>
      <c r="R109" s="5" t="s">
        <v>1</v>
      </c>
      <c r="S109" s="5" t="s">
        <v>1</v>
      </c>
      <c r="T109" s="5" t="s">
        <v>1</v>
      </c>
      <c r="U109" s="5" t="s">
        <v>1</v>
      </c>
      <c r="V109" s="5" t="s">
        <v>1</v>
      </c>
      <c r="W109" s="5" t="s">
        <v>1</v>
      </c>
      <c r="X109" s="5" t="s">
        <v>1</v>
      </c>
      <c r="Y109" s="5" t="s">
        <v>1</v>
      </c>
      <c r="Z109" s="5" t="s">
        <v>1</v>
      </c>
      <c r="AA109" s="5" t="s">
        <v>1</v>
      </c>
      <c r="AB109" s="5" t="s">
        <v>1</v>
      </c>
      <c r="AC109" s="5" t="s">
        <v>1</v>
      </c>
      <c r="AD109" s="5" t="s">
        <v>1</v>
      </c>
      <c r="AE109" s="5" t="s">
        <v>1</v>
      </c>
      <c r="AF109" s="5" t="s">
        <v>1</v>
      </c>
      <c r="AG109" s="5" t="s">
        <v>1</v>
      </c>
      <c r="AH109" s="5" t="s">
        <v>1</v>
      </c>
      <c r="AI109" s="5" t="s">
        <v>1</v>
      </c>
      <c r="AJ109" s="5" t="s">
        <v>1</v>
      </c>
      <c r="AK109" s="5" t="s">
        <v>1</v>
      </c>
      <c r="AL109" s="5" t="s">
        <v>1</v>
      </c>
      <c r="AM109" s="5" t="s">
        <v>1</v>
      </c>
      <c r="AN109" s="5" t="s">
        <v>1</v>
      </c>
      <c r="AO109" s="5" t="s">
        <v>1</v>
      </c>
      <c r="AP109" s="5" t="s">
        <v>1</v>
      </c>
      <c r="AQ109" s="5" t="s">
        <v>1</v>
      </c>
      <c r="AR109" s="5" t="s">
        <v>1</v>
      </c>
      <c r="AS109" s="5" t="s">
        <v>1</v>
      </c>
      <c r="AT109" s="5" t="s">
        <v>1</v>
      </c>
      <c r="AU109" s="5" t="s">
        <v>1</v>
      </c>
      <c r="AV109" s="5" t="s">
        <v>1</v>
      </c>
      <c r="AW109" s="5" t="s">
        <v>1</v>
      </c>
      <c r="AX109" s="5" t="s">
        <v>1</v>
      </c>
      <c r="AY109" s="5" t="s">
        <v>1</v>
      </c>
      <c r="AZ109" s="5" t="s">
        <v>1</v>
      </c>
      <c r="BA109" s="5" t="s">
        <v>1</v>
      </c>
      <c r="BB109" s="5" t="s">
        <v>1</v>
      </c>
      <c r="BC109" s="5" t="s">
        <v>1</v>
      </c>
    </row>
    <row r="110" spans="1:55" ht="30" customHeight="1" x14ac:dyDescent="0.25">
      <c r="A110" s="23" t="s">
        <v>1</v>
      </c>
      <c r="B110" s="94" t="s">
        <v>1</v>
      </c>
      <c r="C110" s="23" t="s">
        <v>1</v>
      </c>
      <c r="D110" s="94" t="s">
        <v>1</v>
      </c>
      <c r="E110" s="23" t="s">
        <v>1</v>
      </c>
      <c r="F110" s="94" t="s">
        <v>1</v>
      </c>
      <c r="G110" s="23" t="s">
        <v>1</v>
      </c>
      <c r="H110" s="23" t="s">
        <v>1</v>
      </c>
      <c r="I110" s="23" t="s">
        <v>1</v>
      </c>
      <c r="J110" s="23" t="s">
        <v>1</v>
      </c>
      <c r="K110" s="23" t="s">
        <v>1</v>
      </c>
      <c r="L110" s="23" t="s">
        <v>1</v>
      </c>
      <c r="M110" s="23" t="s">
        <v>1</v>
      </c>
      <c r="N110" s="23" t="s">
        <v>1</v>
      </c>
      <c r="O110" s="23" t="s">
        <v>1</v>
      </c>
      <c r="P110" s="23" t="s">
        <v>1</v>
      </c>
      <c r="Q110" s="5" t="s">
        <v>1</v>
      </c>
      <c r="R110" s="5" t="s">
        <v>1</v>
      </c>
      <c r="S110" s="5" t="s">
        <v>1</v>
      </c>
      <c r="T110" s="5" t="s">
        <v>1</v>
      </c>
      <c r="U110" s="5" t="s">
        <v>1</v>
      </c>
      <c r="V110" s="5" t="s">
        <v>1</v>
      </c>
      <c r="W110" s="5" t="s">
        <v>1</v>
      </c>
      <c r="X110" s="5" t="s">
        <v>1</v>
      </c>
      <c r="Y110" s="5" t="s">
        <v>1</v>
      </c>
      <c r="Z110" s="5" t="s">
        <v>1</v>
      </c>
      <c r="AA110" s="5" t="s">
        <v>1</v>
      </c>
      <c r="AB110" s="5" t="s">
        <v>1</v>
      </c>
      <c r="AC110" s="5" t="s">
        <v>1</v>
      </c>
      <c r="AD110" s="5" t="s">
        <v>1</v>
      </c>
      <c r="AE110" s="5" t="s">
        <v>1</v>
      </c>
      <c r="AF110" s="5" t="s">
        <v>1</v>
      </c>
      <c r="AG110" s="5" t="s">
        <v>1</v>
      </c>
      <c r="AH110" s="5" t="s">
        <v>1</v>
      </c>
      <c r="AI110" s="5" t="s">
        <v>1</v>
      </c>
      <c r="AJ110" s="5" t="s">
        <v>1</v>
      </c>
      <c r="AK110" s="5" t="s">
        <v>1</v>
      </c>
      <c r="AL110" s="5" t="s">
        <v>1</v>
      </c>
      <c r="AM110" s="5" t="s">
        <v>1</v>
      </c>
      <c r="AN110" s="5" t="s">
        <v>1</v>
      </c>
      <c r="AO110" s="5" t="s">
        <v>1</v>
      </c>
      <c r="AP110" s="5" t="s">
        <v>1</v>
      </c>
      <c r="AQ110" s="5" t="s">
        <v>1</v>
      </c>
      <c r="AR110" s="5" t="s">
        <v>1</v>
      </c>
      <c r="AS110" s="5" t="s">
        <v>1</v>
      </c>
      <c r="AT110" s="5" t="s">
        <v>1</v>
      </c>
      <c r="AU110" s="5" t="s">
        <v>1</v>
      </c>
      <c r="AV110" s="5" t="s">
        <v>1</v>
      </c>
      <c r="AW110" s="5" t="s">
        <v>1</v>
      </c>
      <c r="AX110" s="5" t="s">
        <v>1</v>
      </c>
      <c r="AY110" s="5" t="s">
        <v>1</v>
      </c>
      <c r="AZ110" s="5" t="s">
        <v>1</v>
      </c>
      <c r="BA110" s="5" t="s">
        <v>1</v>
      </c>
      <c r="BB110" s="5" t="s">
        <v>1</v>
      </c>
      <c r="BC110" s="5" t="s">
        <v>1</v>
      </c>
    </row>
    <row r="111" spans="1:55" ht="30" customHeight="1" x14ac:dyDescent="0.25">
      <c r="A111" s="23" t="s">
        <v>1</v>
      </c>
      <c r="B111" s="94" t="s">
        <v>1</v>
      </c>
      <c r="C111" s="23" t="s">
        <v>1</v>
      </c>
      <c r="D111" s="94" t="s">
        <v>1</v>
      </c>
      <c r="E111" s="23" t="s">
        <v>1</v>
      </c>
      <c r="F111" s="94" t="s">
        <v>1</v>
      </c>
      <c r="G111" s="23" t="s">
        <v>1</v>
      </c>
      <c r="H111" s="23" t="s">
        <v>1</v>
      </c>
      <c r="I111" s="23" t="s">
        <v>1</v>
      </c>
      <c r="J111" s="23" t="s">
        <v>1</v>
      </c>
      <c r="K111" s="23" t="s">
        <v>1</v>
      </c>
      <c r="L111" s="23" t="s">
        <v>1</v>
      </c>
      <c r="M111" s="23" t="s">
        <v>1</v>
      </c>
      <c r="N111" s="23" t="s">
        <v>1</v>
      </c>
      <c r="O111" s="23" t="s">
        <v>1</v>
      </c>
      <c r="P111" s="23" t="s">
        <v>1</v>
      </c>
      <c r="Q111" s="5" t="s">
        <v>1</v>
      </c>
      <c r="R111" s="5" t="s">
        <v>1</v>
      </c>
      <c r="S111" s="5" t="s">
        <v>1</v>
      </c>
      <c r="T111" s="5" t="s">
        <v>1</v>
      </c>
      <c r="U111" s="5" t="s">
        <v>1</v>
      </c>
      <c r="V111" s="5" t="s">
        <v>1</v>
      </c>
      <c r="W111" s="5" t="s">
        <v>1</v>
      </c>
      <c r="X111" s="5" t="s">
        <v>1</v>
      </c>
      <c r="Y111" s="5" t="s">
        <v>1</v>
      </c>
      <c r="Z111" s="5" t="s">
        <v>1</v>
      </c>
      <c r="AA111" s="5" t="s">
        <v>1</v>
      </c>
      <c r="AB111" s="5" t="s">
        <v>1</v>
      </c>
      <c r="AC111" s="5" t="s">
        <v>1</v>
      </c>
      <c r="AD111" s="5" t="s">
        <v>1</v>
      </c>
      <c r="AE111" s="5" t="s">
        <v>1</v>
      </c>
      <c r="AF111" s="5" t="s">
        <v>1</v>
      </c>
      <c r="AG111" s="5" t="s">
        <v>1</v>
      </c>
      <c r="AH111" s="5" t="s">
        <v>1</v>
      </c>
      <c r="AI111" s="5" t="s">
        <v>1</v>
      </c>
      <c r="AJ111" s="5" t="s">
        <v>1</v>
      </c>
      <c r="AK111" s="5" t="s">
        <v>1</v>
      </c>
      <c r="AL111" s="5" t="s">
        <v>1</v>
      </c>
      <c r="AM111" s="5" t="s">
        <v>1</v>
      </c>
      <c r="AN111" s="5" t="s">
        <v>1</v>
      </c>
      <c r="AO111" s="5" t="s">
        <v>1</v>
      </c>
      <c r="AP111" s="5" t="s">
        <v>1</v>
      </c>
      <c r="AQ111" s="5" t="s">
        <v>1</v>
      </c>
      <c r="AR111" s="5" t="s">
        <v>1</v>
      </c>
      <c r="AS111" s="5" t="s">
        <v>1</v>
      </c>
      <c r="AT111" s="5" t="s">
        <v>1</v>
      </c>
      <c r="AU111" s="5" t="s">
        <v>1</v>
      </c>
      <c r="AV111" s="5" t="s">
        <v>1</v>
      </c>
      <c r="AW111" s="5" t="s">
        <v>1</v>
      </c>
      <c r="AX111" s="5" t="s">
        <v>1</v>
      </c>
      <c r="AY111" s="5" t="s">
        <v>1</v>
      </c>
      <c r="AZ111" s="5" t="s">
        <v>1</v>
      </c>
      <c r="BA111" s="5" t="s">
        <v>1</v>
      </c>
      <c r="BB111" s="5" t="s">
        <v>1</v>
      </c>
      <c r="BC111" s="5" t="s">
        <v>1</v>
      </c>
    </row>
    <row r="112" spans="1:55" ht="30" customHeight="1" x14ac:dyDescent="0.25">
      <c r="A112" s="23" t="s">
        <v>1</v>
      </c>
      <c r="B112" s="94" t="s">
        <v>1</v>
      </c>
      <c r="C112" s="23" t="s">
        <v>1</v>
      </c>
      <c r="D112" s="94" t="s">
        <v>1</v>
      </c>
      <c r="E112" s="23" t="s">
        <v>1</v>
      </c>
      <c r="F112" s="94" t="s">
        <v>1</v>
      </c>
      <c r="G112" s="23" t="s">
        <v>1</v>
      </c>
      <c r="H112" s="23" t="s">
        <v>1</v>
      </c>
      <c r="I112" s="23" t="s">
        <v>1</v>
      </c>
      <c r="J112" s="23" t="s">
        <v>1</v>
      </c>
      <c r="K112" s="23" t="s">
        <v>1</v>
      </c>
      <c r="L112" s="23" t="s">
        <v>1</v>
      </c>
      <c r="M112" s="23" t="s">
        <v>1</v>
      </c>
      <c r="N112" s="23" t="s">
        <v>1</v>
      </c>
      <c r="O112" s="23" t="s">
        <v>1</v>
      </c>
      <c r="P112" s="23" t="s">
        <v>1</v>
      </c>
      <c r="Q112" s="5" t="s">
        <v>1</v>
      </c>
      <c r="R112" s="5" t="s">
        <v>1</v>
      </c>
      <c r="S112" s="5" t="s">
        <v>1</v>
      </c>
      <c r="T112" s="5" t="s">
        <v>1</v>
      </c>
      <c r="U112" s="5" t="s">
        <v>1</v>
      </c>
      <c r="V112" s="5" t="s">
        <v>1</v>
      </c>
      <c r="W112" s="5" t="s">
        <v>1</v>
      </c>
      <c r="X112" s="5" t="s">
        <v>1</v>
      </c>
      <c r="Y112" s="5" t="s">
        <v>1</v>
      </c>
      <c r="Z112" s="5" t="s">
        <v>1</v>
      </c>
      <c r="AA112" s="5" t="s">
        <v>1</v>
      </c>
      <c r="AB112" s="5" t="s">
        <v>1</v>
      </c>
      <c r="AC112" s="5" t="s">
        <v>1</v>
      </c>
      <c r="AD112" s="5" t="s">
        <v>1</v>
      </c>
      <c r="AE112" s="5" t="s">
        <v>1</v>
      </c>
      <c r="AF112" s="5" t="s">
        <v>1</v>
      </c>
      <c r="AG112" s="5" t="s">
        <v>1</v>
      </c>
      <c r="AH112" s="5" t="s">
        <v>1</v>
      </c>
      <c r="AI112" s="5" t="s">
        <v>1</v>
      </c>
      <c r="AJ112" s="5" t="s">
        <v>1</v>
      </c>
      <c r="AK112" s="5" t="s">
        <v>1</v>
      </c>
      <c r="AL112" s="5" t="s">
        <v>1</v>
      </c>
      <c r="AM112" s="5" t="s">
        <v>1</v>
      </c>
      <c r="AN112" s="5" t="s">
        <v>1</v>
      </c>
      <c r="AO112" s="5" t="s">
        <v>1</v>
      </c>
      <c r="AP112" s="5" t="s">
        <v>1</v>
      </c>
      <c r="AQ112" s="5" t="s">
        <v>1</v>
      </c>
      <c r="AR112" s="5" t="s">
        <v>1</v>
      </c>
      <c r="AS112" s="5" t="s">
        <v>1</v>
      </c>
      <c r="AT112" s="5" t="s">
        <v>1</v>
      </c>
      <c r="AU112" s="5" t="s">
        <v>1</v>
      </c>
      <c r="AV112" s="5" t="s">
        <v>1</v>
      </c>
      <c r="AW112" s="5" t="s">
        <v>1</v>
      </c>
      <c r="AX112" s="5" t="s">
        <v>1</v>
      </c>
      <c r="AY112" s="5" t="s">
        <v>1</v>
      </c>
      <c r="AZ112" s="5" t="s">
        <v>1</v>
      </c>
      <c r="BA112" s="5" t="s">
        <v>1</v>
      </c>
      <c r="BB112" s="5" t="s">
        <v>1</v>
      </c>
      <c r="BC112" s="5" t="s">
        <v>1</v>
      </c>
    </row>
    <row r="113" spans="1:55" ht="30" customHeight="1" x14ac:dyDescent="0.25">
      <c r="A113" s="63" t="s">
        <v>1</v>
      </c>
      <c r="B113" s="95" t="s">
        <v>1</v>
      </c>
      <c r="C113" s="63" t="s">
        <v>1</v>
      </c>
      <c r="D113" s="95" t="s">
        <v>1</v>
      </c>
      <c r="E113" s="63" t="s">
        <v>1</v>
      </c>
      <c r="F113" s="95" t="s">
        <v>1</v>
      </c>
      <c r="G113" s="63" t="s">
        <v>1</v>
      </c>
      <c r="H113" s="63" t="s">
        <v>1</v>
      </c>
      <c r="I113" s="63" t="s">
        <v>1</v>
      </c>
      <c r="J113" s="63" t="s">
        <v>1</v>
      </c>
      <c r="K113" s="63" t="s">
        <v>1</v>
      </c>
      <c r="L113" s="63" t="s">
        <v>1</v>
      </c>
      <c r="M113" s="63" t="s">
        <v>1</v>
      </c>
      <c r="N113" s="63" t="s">
        <v>1</v>
      </c>
      <c r="O113" s="63" t="s">
        <v>1</v>
      </c>
      <c r="P113" s="63" t="s">
        <v>1</v>
      </c>
      <c r="Q113" s="5" t="s">
        <v>1</v>
      </c>
      <c r="R113" s="5" t="s">
        <v>1</v>
      </c>
      <c r="S113" s="5" t="s">
        <v>1</v>
      </c>
      <c r="T113" s="5" t="s">
        <v>1</v>
      </c>
      <c r="U113" s="5" t="s">
        <v>1</v>
      </c>
      <c r="V113" s="5" t="s">
        <v>1</v>
      </c>
      <c r="W113" s="5" t="s">
        <v>1</v>
      </c>
      <c r="X113" s="5" t="s">
        <v>1</v>
      </c>
      <c r="Y113" s="5" t="s">
        <v>1</v>
      </c>
      <c r="Z113" s="5" t="s">
        <v>1</v>
      </c>
      <c r="AA113" s="5" t="s">
        <v>1</v>
      </c>
      <c r="AB113" s="5" t="s">
        <v>1</v>
      </c>
      <c r="AC113" s="5" t="s">
        <v>1</v>
      </c>
      <c r="AD113" s="5" t="s">
        <v>1</v>
      </c>
      <c r="AE113" s="5" t="s">
        <v>1</v>
      </c>
      <c r="AF113" s="5" t="s">
        <v>1</v>
      </c>
      <c r="AG113" s="5" t="s">
        <v>1</v>
      </c>
      <c r="AH113" s="5" t="s">
        <v>1</v>
      </c>
      <c r="AI113" s="5" t="s">
        <v>1</v>
      </c>
      <c r="AJ113" s="5" t="s">
        <v>1</v>
      </c>
      <c r="AK113" s="5" t="s">
        <v>1</v>
      </c>
      <c r="AL113" s="5" t="s">
        <v>1</v>
      </c>
      <c r="AM113" s="5" t="s">
        <v>1</v>
      </c>
      <c r="AN113" s="5" t="s">
        <v>1</v>
      </c>
      <c r="AO113" s="5" t="s">
        <v>1</v>
      </c>
      <c r="AP113" s="5" t="s">
        <v>1</v>
      </c>
      <c r="AQ113" s="5" t="s">
        <v>1</v>
      </c>
      <c r="AR113" s="5" t="s">
        <v>1</v>
      </c>
      <c r="AS113" s="5" t="s">
        <v>1</v>
      </c>
      <c r="AT113" s="5" t="s">
        <v>1</v>
      </c>
      <c r="AU113" s="5" t="s">
        <v>1</v>
      </c>
      <c r="AV113" s="5" t="s">
        <v>1</v>
      </c>
      <c r="AW113" s="5" t="s">
        <v>1</v>
      </c>
      <c r="AX113" s="5" t="s">
        <v>1</v>
      </c>
      <c r="AY113" s="5" t="s">
        <v>1</v>
      </c>
      <c r="AZ113" s="5" t="s">
        <v>1</v>
      </c>
      <c r="BA113" s="5" t="s">
        <v>1</v>
      </c>
      <c r="BB113" s="5" t="s">
        <v>1</v>
      </c>
      <c r="BC113" s="5" t="s">
        <v>1</v>
      </c>
    </row>
    <row r="114" spans="1:55" ht="30" customHeight="1" x14ac:dyDescent="0.25">
      <c r="A114" s="63" t="s">
        <v>1</v>
      </c>
      <c r="B114" s="95" t="s">
        <v>1</v>
      </c>
      <c r="C114" s="63" t="s">
        <v>1</v>
      </c>
      <c r="D114" s="95" t="s">
        <v>1</v>
      </c>
      <c r="E114" s="63" t="s">
        <v>1</v>
      </c>
      <c r="F114" s="95" t="s">
        <v>1</v>
      </c>
      <c r="G114" s="63" t="s">
        <v>1</v>
      </c>
      <c r="H114" s="63" t="s">
        <v>1</v>
      </c>
      <c r="I114" s="63" t="s">
        <v>1</v>
      </c>
      <c r="J114" s="63" t="s">
        <v>1</v>
      </c>
      <c r="K114" s="63" t="s">
        <v>1</v>
      </c>
      <c r="L114" s="63" t="s">
        <v>1</v>
      </c>
      <c r="M114" s="63" t="s">
        <v>1</v>
      </c>
      <c r="N114" s="63" t="s">
        <v>1</v>
      </c>
      <c r="O114" s="63" t="s">
        <v>1</v>
      </c>
      <c r="P114" s="63" t="s">
        <v>1</v>
      </c>
      <c r="Q114" s="5" t="s">
        <v>1</v>
      </c>
      <c r="R114" s="5" t="s">
        <v>1</v>
      </c>
      <c r="S114" s="5" t="s">
        <v>1</v>
      </c>
      <c r="T114" s="5" t="s">
        <v>1</v>
      </c>
      <c r="U114" s="5" t="s">
        <v>1</v>
      </c>
      <c r="V114" s="5" t="s">
        <v>1</v>
      </c>
      <c r="W114" s="5" t="s">
        <v>1</v>
      </c>
      <c r="X114" s="5" t="s">
        <v>1</v>
      </c>
      <c r="Y114" s="5" t="s">
        <v>1</v>
      </c>
      <c r="Z114" s="5" t="s">
        <v>1</v>
      </c>
      <c r="AA114" s="5" t="s">
        <v>1</v>
      </c>
      <c r="AB114" s="5" t="s">
        <v>1</v>
      </c>
      <c r="AC114" s="5" t="s">
        <v>1</v>
      </c>
      <c r="AD114" s="5" t="s">
        <v>1</v>
      </c>
      <c r="AE114" s="5" t="s">
        <v>1</v>
      </c>
      <c r="AF114" s="5" t="s">
        <v>1</v>
      </c>
      <c r="AG114" s="5" t="s">
        <v>1</v>
      </c>
      <c r="AH114" s="5" t="s">
        <v>1</v>
      </c>
      <c r="AI114" s="5" t="s">
        <v>1</v>
      </c>
      <c r="AJ114" s="5" t="s">
        <v>1</v>
      </c>
      <c r="AK114" s="5" t="s">
        <v>1</v>
      </c>
      <c r="AL114" s="5" t="s">
        <v>1</v>
      </c>
      <c r="AM114" s="5" t="s">
        <v>1</v>
      </c>
      <c r="AN114" s="5" t="s">
        <v>1</v>
      </c>
      <c r="AO114" s="5" t="s">
        <v>1</v>
      </c>
      <c r="AP114" s="5" t="s">
        <v>1</v>
      </c>
      <c r="AQ114" s="5" t="s">
        <v>1</v>
      </c>
      <c r="AR114" s="5" t="s">
        <v>1</v>
      </c>
      <c r="AS114" s="5" t="s">
        <v>1</v>
      </c>
      <c r="AT114" s="5" t="s">
        <v>1</v>
      </c>
      <c r="AU114" s="5" t="s">
        <v>1</v>
      </c>
      <c r="AV114" s="5" t="s">
        <v>1</v>
      </c>
      <c r="AW114" s="5" t="s">
        <v>1</v>
      </c>
      <c r="AX114" s="5" t="s">
        <v>1</v>
      </c>
      <c r="AY114" s="5" t="s">
        <v>1</v>
      </c>
      <c r="AZ114" s="5" t="s">
        <v>1</v>
      </c>
      <c r="BA114" s="5" t="s">
        <v>1</v>
      </c>
      <c r="BB114" s="5" t="s">
        <v>1</v>
      </c>
      <c r="BC114" s="5" t="s">
        <v>1</v>
      </c>
    </row>
    <row r="115" spans="1:55" x14ac:dyDescent="0.25">
      <c r="B115" s="77"/>
      <c r="D115" s="77"/>
      <c r="F115" s="77"/>
    </row>
    <row r="116" spans="1:55" x14ac:dyDescent="0.25">
      <c r="B116" s="77"/>
      <c r="D116" s="77"/>
      <c r="F116" s="77"/>
    </row>
    <row r="117" spans="1:55" x14ac:dyDescent="0.25">
      <c r="B117" s="77"/>
      <c r="D117" s="77"/>
      <c r="F117" s="77"/>
    </row>
    <row r="118" spans="1:55" x14ac:dyDescent="0.25">
      <c r="B118" s="77"/>
      <c r="D118" s="77"/>
      <c r="F118" s="77"/>
      <c r="H118" s="96"/>
    </row>
    <row r="119" spans="1:55" x14ac:dyDescent="0.25">
      <c r="B119" s="77"/>
      <c r="D119" s="77"/>
      <c r="F119" s="77"/>
    </row>
    <row r="120" spans="1:55" x14ac:dyDescent="0.25">
      <c r="B120" s="77"/>
      <c r="D120" s="77"/>
      <c r="F120" s="77"/>
    </row>
    <row r="121" spans="1:55" x14ac:dyDescent="0.25">
      <c r="B121" s="77"/>
      <c r="D121" s="77"/>
      <c r="F121" s="77"/>
    </row>
    <row r="122" spans="1:55" x14ac:dyDescent="0.25">
      <c r="B122" s="77"/>
      <c r="D122" s="77"/>
      <c r="F122" s="77"/>
      <c r="J122" s="97"/>
      <c r="K122" s="60"/>
    </row>
    <row r="123" spans="1:55" x14ac:dyDescent="0.25">
      <c r="B123" s="77"/>
      <c r="D123" s="77"/>
      <c r="F123" s="77"/>
    </row>
    <row r="124" spans="1:55" x14ac:dyDescent="0.25">
      <c r="B124" s="77"/>
      <c r="D124" s="77"/>
      <c r="F124" s="77"/>
    </row>
    <row r="125" spans="1:55" x14ac:dyDescent="0.25">
      <c r="B125" s="77"/>
      <c r="D125" s="77"/>
      <c r="F125" s="77"/>
    </row>
    <row r="126" spans="1:55" x14ac:dyDescent="0.25">
      <c r="B126" s="77"/>
      <c r="D126" s="77"/>
      <c r="F126" s="77"/>
    </row>
    <row r="127" spans="1:55" x14ac:dyDescent="0.25">
      <c r="B127" s="77"/>
      <c r="D127" s="77"/>
      <c r="F127" s="77"/>
    </row>
    <row r="128" spans="1:55" x14ac:dyDescent="0.25">
      <c r="B128" s="77"/>
      <c r="D128" s="77"/>
      <c r="F128" s="77"/>
    </row>
    <row r="129" spans="2:6" x14ac:dyDescent="0.25">
      <c r="B129" s="77"/>
      <c r="D129" s="77"/>
      <c r="F129" s="77"/>
    </row>
    <row r="130" spans="2:6" x14ac:dyDescent="0.25">
      <c r="B130" s="77"/>
      <c r="D130" s="77"/>
      <c r="F130" s="77"/>
    </row>
    <row r="131" spans="2:6" x14ac:dyDescent="0.25">
      <c r="B131" s="77"/>
      <c r="D131" s="77"/>
      <c r="F131" s="77"/>
    </row>
    <row r="132" spans="2:6" x14ac:dyDescent="0.25">
      <c r="B132" s="77"/>
      <c r="D132" s="77"/>
      <c r="F132" s="77"/>
    </row>
    <row r="133" spans="2:6" x14ac:dyDescent="0.25">
      <c r="B133" s="77"/>
      <c r="D133" s="77"/>
      <c r="F133" s="77"/>
    </row>
    <row r="134" spans="2:6" x14ac:dyDescent="0.25">
      <c r="B134" s="77"/>
      <c r="D134" s="77"/>
      <c r="F134" s="77"/>
    </row>
    <row r="135" spans="2:6" x14ac:dyDescent="0.25">
      <c r="B135" s="77"/>
      <c r="D135" s="77"/>
      <c r="F135" s="77"/>
    </row>
    <row r="136" spans="2:6" x14ac:dyDescent="0.25">
      <c r="B136" s="77"/>
      <c r="D136" s="77"/>
      <c r="F136" s="77"/>
    </row>
    <row r="137" spans="2:6" x14ac:dyDescent="0.25">
      <c r="B137" s="77"/>
      <c r="D137" s="77"/>
      <c r="F137" s="77"/>
    </row>
    <row r="138" spans="2:6" x14ac:dyDescent="0.25">
      <c r="B138" s="77"/>
      <c r="D138" s="77"/>
      <c r="F138" s="77"/>
    </row>
    <row r="139" spans="2:6" x14ac:dyDescent="0.25">
      <c r="B139" s="77"/>
      <c r="D139" s="77"/>
      <c r="F139" s="77"/>
    </row>
    <row r="140" spans="2:6" x14ac:dyDescent="0.25">
      <c r="B140" s="77"/>
      <c r="D140" s="77"/>
      <c r="F140" s="77"/>
    </row>
    <row r="141" spans="2:6" x14ac:dyDescent="0.25">
      <c r="B141" s="77"/>
      <c r="D141" s="77"/>
      <c r="F141" s="77"/>
    </row>
    <row r="142" spans="2:6" x14ac:dyDescent="0.25">
      <c r="B142" s="77"/>
      <c r="D142" s="77"/>
      <c r="F142" s="77"/>
    </row>
    <row r="143" spans="2:6" x14ac:dyDescent="0.25">
      <c r="B143" s="77"/>
      <c r="D143" s="77"/>
      <c r="F143" s="77"/>
    </row>
    <row r="144" spans="2:6" x14ac:dyDescent="0.25">
      <c r="B144" s="77"/>
      <c r="D144" s="77"/>
      <c r="F144" s="77"/>
    </row>
    <row r="145" spans="2:6" x14ac:dyDescent="0.25">
      <c r="B145" s="77"/>
      <c r="D145" s="77"/>
      <c r="F145" s="77"/>
    </row>
    <row r="146" spans="2:6" x14ac:dyDescent="0.25">
      <c r="B146" s="77"/>
      <c r="D146" s="77"/>
      <c r="F146" s="77"/>
    </row>
    <row r="147" spans="2:6" x14ac:dyDescent="0.25">
      <c r="B147" s="77"/>
      <c r="D147" s="77"/>
      <c r="F147" s="77"/>
    </row>
    <row r="148" spans="2:6" x14ac:dyDescent="0.25">
      <c r="B148" s="77"/>
      <c r="D148" s="77"/>
      <c r="F148" s="77"/>
    </row>
    <row r="149" spans="2:6" x14ac:dyDescent="0.25">
      <c r="B149" s="77"/>
      <c r="D149" s="77"/>
      <c r="F149" s="77"/>
    </row>
    <row r="150" spans="2:6" x14ac:dyDescent="0.25">
      <c r="B150" s="77"/>
      <c r="D150" s="77"/>
      <c r="F150" s="77"/>
    </row>
    <row r="151" spans="2:6" x14ac:dyDescent="0.25">
      <c r="B151" s="77"/>
      <c r="D151" s="77"/>
      <c r="F151" s="77"/>
    </row>
    <row r="152" spans="2:6" x14ac:dyDescent="0.25">
      <c r="B152" s="77"/>
      <c r="D152" s="77"/>
      <c r="F152" s="77"/>
    </row>
    <row r="153" spans="2:6" x14ac:dyDescent="0.25">
      <c r="B153" s="77"/>
      <c r="D153" s="77"/>
      <c r="F153" s="77"/>
    </row>
    <row r="154" spans="2:6" x14ac:dyDescent="0.25">
      <c r="B154" s="77"/>
      <c r="D154" s="77"/>
      <c r="F154" s="77"/>
    </row>
    <row r="155" spans="2:6" x14ac:dyDescent="0.25">
      <c r="B155" s="77"/>
      <c r="D155" s="77"/>
      <c r="F155" s="77"/>
    </row>
    <row r="156" spans="2:6" x14ac:dyDescent="0.25">
      <c r="B156" s="77"/>
      <c r="D156" s="77"/>
      <c r="F156" s="77"/>
    </row>
    <row r="157" spans="2:6" x14ac:dyDescent="0.25">
      <c r="B157" s="77"/>
      <c r="D157" s="77"/>
      <c r="F157" s="77"/>
    </row>
    <row r="158" spans="2:6" x14ac:dyDescent="0.25">
      <c r="B158" s="77"/>
      <c r="D158" s="77"/>
      <c r="F158" s="77"/>
    </row>
    <row r="159" spans="2:6" x14ac:dyDescent="0.25">
      <c r="B159" s="77"/>
      <c r="D159" s="77"/>
      <c r="F159" s="77"/>
    </row>
    <row r="160" spans="2:6" x14ac:dyDescent="0.25">
      <c r="B160" s="77"/>
      <c r="D160" s="77"/>
      <c r="F160" s="77"/>
    </row>
    <row r="161" spans="2:6" x14ac:dyDescent="0.25">
      <c r="B161" s="77"/>
      <c r="D161" s="77"/>
      <c r="F161" s="77"/>
    </row>
    <row r="162" spans="2:6" x14ac:dyDescent="0.25">
      <c r="B162" s="77"/>
      <c r="D162" s="77"/>
      <c r="F162" s="77"/>
    </row>
    <row r="163" spans="2:6" x14ac:dyDescent="0.25">
      <c r="B163" s="77"/>
      <c r="D163" s="77"/>
      <c r="F163" s="77"/>
    </row>
    <row r="164" spans="2:6" x14ac:dyDescent="0.25">
      <c r="B164" s="77"/>
      <c r="D164" s="77"/>
      <c r="F164" s="77"/>
    </row>
    <row r="165" spans="2:6" x14ac:dyDescent="0.25">
      <c r="B165" s="77"/>
      <c r="D165" s="77"/>
      <c r="F165" s="77"/>
    </row>
    <row r="166" spans="2:6" x14ac:dyDescent="0.25">
      <c r="B166" s="77"/>
      <c r="D166" s="77"/>
      <c r="F166" s="77"/>
    </row>
    <row r="167" spans="2:6" x14ac:dyDescent="0.25">
      <c r="B167" s="77"/>
      <c r="D167" s="77"/>
      <c r="F167" s="77"/>
    </row>
    <row r="168" spans="2:6" x14ac:dyDescent="0.25">
      <c r="B168" s="77"/>
      <c r="D168" s="77"/>
      <c r="F168" s="77"/>
    </row>
    <row r="169" spans="2:6" x14ac:dyDescent="0.25">
      <c r="B169" s="77"/>
      <c r="D169" s="77"/>
      <c r="F169" s="77"/>
    </row>
    <row r="170" spans="2:6" x14ac:dyDescent="0.25">
      <c r="B170" s="77"/>
      <c r="D170" s="77"/>
      <c r="F170" s="77"/>
    </row>
    <row r="171" spans="2:6" x14ac:dyDescent="0.25">
      <c r="B171" s="77"/>
      <c r="D171" s="77"/>
      <c r="F171" s="77"/>
    </row>
    <row r="172" spans="2:6" x14ac:dyDescent="0.25">
      <c r="B172" s="77"/>
      <c r="D172" s="77"/>
      <c r="F172" s="77"/>
    </row>
    <row r="173" spans="2:6" x14ac:dyDescent="0.25">
      <c r="B173" s="77"/>
      <c r="D173" s="77"/>
      <c r="F173" s="77"/>
    </row>
    <row r="174" spans="2:6" x14ac:dyDescent="0.25">
      <c r="B174" s="77"/>
      <c r="D174" s="77"/>
      <c r="F174" s="77"/>
    </row>
    <row r="175" spans="2:6" x14ac:dyDescent="0.25">
      <c r="B175" s="77"/>
      <c r="D175" s="77"/>
      <c r="F175" s="77"/>
    </row>
    <row r="176" spans="2:6" x14ac:dyDescent="0.25">
      <c r="B176" s="77"/>
      <c r="D176" s="77"/>
      <c r="F176" s="77"/>
    </row>
    <row r="177" spans="2:9" x14ac:dyDescent="0.25">
      <c r="B177" s="77"/>
      <c r="D177" s="77"/>
      <c r="F177" s="77"/>
    </row>
    <row r="178" spans="2:9" x14ac:dyDescent="0.25">
      <c r="B178" s="77"/>
      <c r="D178" s="77"/>
      <c r="F178" s="77"/>
    </row>
    <row r="179" spans="2:9" x14ac:dyDescent="0.25">
      <c r="B179" s="77"/>
      <c r="D179" s="77"/>
      <c r="F179" s="77"/>
    </row>
    <row r="180" spans="2:9" x14ac:dyDescent="0.25">
      <c r="B180" s="77"/>
      <c r="D180" s="77"/>
      <c r="F180" s="77"/>
    </row>
    <row r="181" spans="2:9" x14ac:dyDescent="0.25">
      <c r="B181" s="77"/>
      <c r="D181" s="77"/>
      <c r="F181" s="77"/>
      <c r="I181" s="60"/>
    </row>
    <row r="182" spans="2:9" x14ac:dyDescent="0.25">
      <c r="B182" s="77"/>
      <c r="D182" s="77"/>
      <c r="F182" s="77"/>
    </row>
    <row r="183" spans="2:9" x14ac:dyDescent="0.25">
      <c r="B183" s="77"/>
      <c r="D183" s="77"/>
      <c r="F183" s="77"/>
    </row>
    <row r="184" spans="2:9" x14ac:dyDescent="0.25">
      <c r="B184" s="77"/>
      <c r="D184" s="77"/>
      <c r="F184" s="77"/>
    </row>
    <row r="185" spans="2:9" x14ac:dyDescent="0.25">
      <c r="B185" s="77"/>
      <c r="D185" s="77"/>
      <c r="F185" s="77"/>
    </row>
    <row r="186" spans="2:9" x14ac:dyDescent="0.25">
      <c r="B186" s="77"/>
      <c r="D186" s="77"/>
      <c r="F186" s="77"/>
    </row>
    <row r="187" spans="2:9" x14ac:dyDescent="0.25">
      <c r="B187" s="77"/>
      <c r="D187" s="77"/>
      <c r="F187" s="77"/>
    </row>
    <row r="188" spans="2:9" x14ac:dyDescent="0.25">
      <c r="B188" s="77"/>
      <c r="D188" s="77"/>
      <c r="F188" s="77"/>
    </row>
    <row r="189" spans="2:9" x14ac:dyDescent="0.25">
      <c r="B189" s="77"/>
      <c r="D189" s="77"/>
      <c r="F189" s="77"/>
    </row>
    <row r="190" spans="2:9" x14ac:dyDescent="0.25">
      <c r="B190" s="77"/>
      <c r="D190" s="77"/>
      <c r="F190" s="77"/>
    </row>
    <row r="191" spans="2:9" x14ac:dyDescent="0.25">
      <c r="B191" s="77"/>
      <c r="D191" s="77"/>
      <c r="F191" s="77"/>
    </row>
    <row r="192" spans="2:9" x14ac:dyDescent="0.25">
      <c r="B192" s="77"/>
      <c r="D192" s="77"/>
      <c r="F192" s="77"/>
    </row>
    <row r="193" spans="2:6" x14ac:dyDescent="0.25">
      <c r="B193" s="77"/>
      <c r="D193" s="77"/>
      <c r="F193" s="77"/>
    </row>
    <row r="194" spans="2:6" x14ac:dyDescent="0.25">
      <c r="B194" s="77"/>
      <c r="D194" s="77"/>
      <c r="F194" s="77"/>
    </row>
    <row r="195" spans="2:6" x14ac:dyDescent="0.25">
      <c r="B195" s="77"/>
      <c r="D195" s="77"/>
      <c r="F195" s="77"/>
    </row>
    <row r="196" spans="2:6" x14ac:dyDescent="0.25">
      <c r="B196" s="77"/>
      <c r="D196" s="77"/>
      <c r="F196" s="77"/>
    </row>
    <row r="197" spans="2:6" x14ac:dyDescent="0.25">
      <c r="B197" s="77"/>
      <c r="D197" s="77"/>
      <c r="F197" s="77"/>
    </row>
    <row r="198" spans="2:6" x14ac:dyDescent="0.25">
      <c r="B198" s="77"/>
      <c r="D198" s="77"/>
      <c r="F198" s="77"/>
    </row>
    <row r="199" spans="2:6" x14ac:dyDescent="0.25">
      <c r="B199" s="77"/>
      <c r="D199" s="77"/>
      <c r="F199" s="77"/>
    </row>
    <row r="200" spans="2:6" x14ac:dyDescent="0.25">
      <c r="B200" s="77"/>
      <c r="D200" s="77"/>
      <c r="F200" s="77"/>
    </row>
    <row r="201" spans="2:6" x14ac:dyDescent="0.25">
      <c r="B201" s="77"/>
      <c r="D201" s="77"/>
      <c r="F201" s="77"/>
    </row>
    <row r="202" spans="2:6" x14ac:dyDescent="0.25">
      <c r="B202" s="77"/>
      <c r="D202" s="77"/>
      <c r="F202" s="77"/>
    </row>
    <row r="203" spans="2:6" x14ac:dyDescent="0.25">
      <c r="B203" s="77"/>
      <c r="D203" s="77"/>
      <c r="F203" s="77"/>
    </row>
    <row r="204" spans="2:6" x14ac:dyDescent="0.25">
      <c r="B204" s="77"/>
      <c r="D204" s="77"/>
      <c r="F204" s="77"/>
    </row>
    <row r="205" spans="2:6" x14ac:dyDescent="0.25">
      <c r="B205" s="77"/>
      <c r="D205" s="77"/>
      <c r="F205" s="77"/>
    </row>
    <row r="206" spans="2:6" x14ac:dyDescent="0.25">
      <c r="B206" s="77"/>
      <c r="D206" s="77"/>
      <c r="F206" s="77"/>
    </row>
    <row r="207" spans="2:6" x14ac:dyDescent="0.25">
      <c r="B207" s="77"/>
    </row>
  </sheetData>
  <mergeCells count="1">
    <mergeCell ref="G3:P3"/>
  </mergeCells>
  <dataValidations count="4">
    <dataValidation type="decimal" allowBlank="1" showInputMessage="1" showErrorMessage="1" error="You only can enter a negative amount." prompt="Enter a negative amount" sqref="B43:B44 B55:B57 G55:P55 D43:D44 D55:D57 E57 E55 F55:F57 G57:P57 F43:F44 E44 G44:P44">
      <formula1>-999999999</formula1>
      <formula2>0</formula2>
    </dataValidation>
    <dataValidation type="decimal" allowBlank="1" showInputMessage="1" showErrorMessage="1" error="You only can enter a positive amount." prompt="Enter a positive amount." sqref="B32:B34 B52 D52:P52 D32:D34 E32 G32:P32 F32:F34 E34 G34:P34">
      <formula1>0</formula1>
      <formula2>999999999</formula2>
    </dataValidation>
    <dataValidation type="decimal" allowBlank="1" showInputMessage="1" showErrorMessage="1" sqref="B42 E43 D42:P42 G43:P43">
      <formula1>-999999999.99</formula1>
      <formula2>0</formula2>
    </dataValidation>
    <dataValidation type="decimal" allowBlank="1" showInputMessage="1" showErrorMessage="1" sqref="B29:B30 D29:P30">
      <formula1>0</formula1>
      <formula2>999999999.99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9"/>
  <sheetViews>
    <sheetView workbookViewId="0"/>
  </sheetViews>
  <sheetFormatPr defaultColWidth="9.140625" defaultRowHeight="15" x14ac:dyDescent="0.25"/>
  <cols>
    <col min="1" max="1" width="57.7109375" style="4" customWidth="1"/>
    <col min="2" max="2" width="2.7109375" style="4" customWidth="1"/>
    <col min="3" max="3" width="13.7109375" style="4" customWidth="1"/>
    <col min="4" max="4" width="2.7109375" style="4" customWidth="1"/>
    <col min="5" max="5" width="13.7109375" style="4" customWidth="1"/>
    <col min="6" max="6" width="2.7109375" style="4" customWidth="1"/>
    <col min="7" max="16" width="13.7109375" style="4" customWidth="1"/>
    <col min="17" max="19" width="20.7109375" style="4" customWidth="1"/>
    <col min="20" max="16384" width="9.140625" style="4"/>
  </cols>
  <sheetData>
    <row r="1" spans="1:19" ht="15" customHeight="1" x14ac:dyDescent="0.25">
      <c r="A1" s="2" t="str">
        <f>'[1]Cover Page'!$A$3</f>
        <v>Lithgow City Council</v>
      </c>
      <c r="B1" s="3"/>
      <c r="D1" s="3"/>
      <c r="F1" s="8"/>
      <c r="Q1" s="5" t="s">
        <v>1</v>
      </c>
      <c r="R1" s="5" t="s">
        <v>1</v>
      </c>
      <c r="S1" s="5" t="s">
        <v>1</v>
      </c>
    </row>
    <row r="2" spans="1:19" ht="15" customHeight="1" x14ac:dyDescent="0.25">
      <c r="A2" s="2" t="str">
        <f>'[1]Cover Page'!$A$5</f>
        <v>10 Year Financial Plan for the Years ending 30 June 2029</v>
      </c>
      <c r="B2" s="3"/>
      <c r="D2" s="3"/>
      <c r="F2" s="8"/>
      <c r="Q2" s="5" t="s">
        <v>1</v>
      </c>
      <c r="R2" s="5" t="s">
        <v>1</v>
      </c>
      <c r="S2" s="5" t="s">
        <v>1</v>
      </c>
    </row>
    <row r="3" spans="1:19" ht="15" customHeight="1" x14ac:dyDescent="0.25">
      <c r="A3" s="7" t="str">
        <f>"EQUITY STATEMENT - "&amp;UPPER(general_fund_name)</f>
        <v>EQUITY STATEMENT - GENERAL FUND</v>
      </c>
      <c r="B3" s="8"/>
      <c r="C3" s="9" t="s">
        <v>3</v>
      </c>
      <c r="D3" s="79"/>
      <c r="E3" s="9" t="s">
        <v>4</v>
      </c>
      <c r="F3" s="8"/>
      <c r="G3" s="12" t="s">
        <v>5</v>
      </c>
      <c r="H3" s="12"/>
      <c r="I3" s="12"/>
      <c r="J3" s="12"/>
      <c r="K3" s="12"/>
      <c r="L3" s="12"/>
      <c r="M3" s="12"/>
      <c r="N3" s="12"/>
      <c r="O3" s="12"/>
      <c r="P3" s="12"/>
      <c r="Q3" s="5" t="s">
        <v>1</v>
      </c>
      <c r="R3" s="5" t="s">
        <v>1</v>
      </c>
      <c r="S3" s="5" t="s">
        <v>1</v>
      </c>
    </row>
    <row r="4" spans="1:19" ht="15" customHeight="1" x14ac:dyDescent="0.25">
      <c r="A4" s="2" t="str">
        <f>"Scenario: "&amp;general_scenario_name</f>
        <v>Scenario: Base Scenario</v>
      </c>
      <c r="B4" s="14"/>
      <c r="C4" s="15" t="str">
        <f>Starting_year_general-2&amp;"/"&amp;RIGHT(Starting_year_general-1,2)</f>
        <v>2017/18</v>
      </c>
      <c r="D4" s="14"/>
      <c r="E4" s="15" t="str">
        <f>Starting_year_general-1&amp;"/"&amp;RIGHT(Starting_year_general,2)</f>
        <v>2018/19</v>
      </c>
      <c r="F4" s="14"/>
      <c r="G4" s="15" t="str">
        <f>Starting_year_general&amp;"/"&amp;RIGHT(Starting_year_general+1,2)</f>
        <v>2019/20</v>
      </c>
      <c r="H4" s="15" t="str">
        <f>Starting_year_general+1&amp;"/"&amp;RIGHT(Starting_year_general+2,2)</f>
        <v>2020/21</v>
      </c>
      <c r="I4" s="15" t="str">
        <f>Starting_year_general+2&amp;"/"&amp;RIGHT(Starting_year_general+3,2)</f>
        <v>2021/22</v>
      </c>
      <c r="J4" s="15" t="str">
        <f>Starting_year_general+3&amp;"/"&amp;RIGHT(Starting_year_general+4,2)</f>
        <v>2022/23</v>
      </c>
      <c r="K4" s="15" t="str">
        <f>Starting_year_general+4&amp;"/"&amp;RIGHT(Starting_year_general+5,2)</f>
        <v>2023/24</v>
      </c>
      <c r="L4" s="15" t="str">
        <f>Starting_year_general+5&amp;"/"&amp;RIGHT(Starting_year_general+6,2)</f>
        <v>2024/25</v>
      </c>
      <c r="M4" s="15" t="str">
        <f>Starting_year_general+6&amp;"/"&amp;RIGHT(Starting_year_general+7,2)</f>
        <v>2025/26</v>
      </c>
      <c r="N4" s="15" t="str">
        <f>Starting_year_general+7&amp;"/"&amp;RIGHT(Starting_year_general+8,2)</f>
        <v>2026/27</v>
      </c>
      <c r="O4" s="15" t="str">
        <f>Starting_year_general+8&amp;"/"&amp;RIGHT(Starting_year_general+9,2)</f>
        <v>2027/28</v>
      </c>
      <c r="P4" s="15" t="str">
        <f>Starting_year_general+9&amp;"/"&amp;RIGHT(Starting_year_general+10,2)</f>
        <v>2028/29</v>
      </c>
      <c r="Q4" s="5" t="s">
        <v>1</v>
      </c>
      <c r="R4" s="5" t="s">
        <v>1</v>
      </c>
      <c r="S4" s="5" t="s">
        <v>1</v>
      </c>
    </row>
    <row r="5" spans="1:19" ht="15" customHeight="1" thickBot="1" x14ac:dyDescent="0.3">
      <c r="A5" s="16"/>
      <c r="B5" s="17"/>
      <c r="C5" s="18" t="str">
        <f>IF('[1]Cover Page'!$K$19=TRUE,"$","$'000")</f>
        <v>$'000</v>
      </c>
      <c r="D5" s="17"/>
      <c r="E5" s="18" t="str">
        <f>IF('[1]Cover Page'!$K$19=TRUE,"$","$'000")</f>
        <v>$'000</v>
      </c>
      <c r="F5" s="17"/>
      <c r="G5" s="18" t="str">
        <f>IF('[1]Cover Page'!$K$19=TRUE,"$","$'000")</f>
        <v>$'000</v>
      </c>
      <c r="H5" s="18" t="str">
        <f>IF('[1]Cover Page'!$K$19=TRUE,"$","$'000")</f>
        <v>$'000</v>
      </c>
      <c r="I5" s="18" t="str">
        <f>IF('[1]Cover Page'!$K$19=TRUE,"$","$'000")</f>
        <v>$'000</v>
      </c>
      <c r="J5" s="18" t="str">
        <f>IF('[1]Cover Page'!$K$19=TRUE,"$","$'000")</f>
        <v>$'000</v>
      </c>
      <c r="K5" s="18" t="str">
        <f>IF('[1]Cover Page'!$K$19=TRUE,"$","$'000")</f>
        <v>$'000</v>
      </c>
      <c r="L5" s="18" t="str">
        <f>IF('[1]Cover Page'!$K$19=TRUE,"$","$'000")</f>
        <v>$'000</v>
      </c>
      <c r="M5" s="18" t="str">
        <f>IF('[1]Cover Page'!$K$19=TRUE,"$","$'000")</f>
        <v>$'000</v>
      </c>
      <c r="N5" s="18" t="str">
        <f>IF('[1]Cover Page'!$K$19=TRUE,"$","$'000")</f>
        <v>$'000</v>
      </c>
      <c r="O5" s="18" t="str">
        <f>IF('[1]Cover Page'!$K$19=TRUE,"$","$'000")</f>
        <v>$'000</v>
      </c>
      <c r="P5" s="18" t="str">
        <f>IF('[1]Cover Page'!$K$19=TRUE,"$","$'000")</f>
        <v>$'000</v>
      </c>
      <c r="Q5" s="5" t="s">
        <v>1</v>
      </c>
      <c r="R5" s="5" t="s">
        <v>1</v>
      </c>
      <c r="S5" s="5" t="s">
        <v>1</v>
      </c>
    </row>
    <row r="6" spans="1:19" x14ac:dyDescent="0.25">
      <c r="A6" s="19"/>
      <c r="B6" s="21"/>
      <c r="C6" s="19"/>
      <c r="D6" s="21"/>
      <c r="E6" s="19"/>
      <c r="F6" s="21"/>
      <c r="G6" s="19"/>
      <c r="H6" s="19"/>
      <c r="I6" s="19"/>
      <c r="J6" s="19"/>
      <c r="K6" s="19"/>
      <c r="L6" s="19"/>
      <c r="M6" s="19"/>
      <c r="N6" s="19"/>
      <c r="O6" s="19"/>
      <c r="P6" s="19"/>
      <c r="Q6" s="5" t="s">
        <v>1</v>
      </c>
      <c r="R6" s="5" t="s">
        <v>1</v>
      </c>
      <c r="S6" s="5" t="s">
        <v>1</v>
      </c>
    </row>
    <row r="7" spans="1:19" x14ac:dyDescent="0.25">
      <c r="A7" s="25" t="s">
        <v>232</v>
      </c>
      <c r="B7" s="21"/>
      <c r="C7" s="34">
        <f>SUM('[1]Historical Data'!C736)*1000</f>
        <v>408326000</v>
      </c>
      <c r="D7" s="21"/>
      <c r="E7" s="34">
        <f>SUM('[1]Historical Data'!C728)*1000</f>
        <v>410257000</v>
      </c>
      <c r="F7" s="21"/>
      <c r="G7" s="19">
        <f>E23</f>
        <v>413848533.63</v>
      </c>
      <c r="H7" s="19">
        <f ca="1">G23</f>
        <v>416731511.82170254</v>
      </c>
      <c r="I7" s="19">
        <f t="shared" ref="I7:P7" ca="1" si="0">H23</f>
        <v>420204855.19709414</v>
      </c>
      <c r="J7" s="19">
        <f t="shared" ca="1" si="0"/>
        <v>424258353.85931903</v>
      </c>
      <c r="K7" s="19">
        <f t="shared" ca="1" si="0"/>
        <v>428578266.59729469</v>
      </c>
      <c r="L7" s="19">
        <f t="shared" ca="1" si="0"/>
        <v>433287637.26321059</v>
      </c>
      <c r="M7" s="19">
        <f t="shared" ca="1" si="0"/>
        <v>437889928.20914334</v>
      </c>
      <c r="N7" s="19">
        <f t="shared" ca="1" si="0"/>
        <v>442669139.69558352</v>
      </c>
      <c r="O7" s="19">
        <f t="shared" ca="1" si="0"/>
        <v>447506490.26870096</v>
      </c>
      <c r="P7" s="19">
        <f t="shared" ca="1" si="0"/>
        <v>452385053.36789995</v>
      </c>
      <c r="Q7" s="5" t="s">
        <v>1</v>
      </c>
      <c r="R7" s="5" t="s">
        <v>1</v>
      </c>
      <c r="S7" s="5" t="s">
        <v>1</v>
      </c>
    </row>
    <row r="8" spans="1:19" x14ac:dyDescent="0.25">
      <c r="A8" s="19"/>
      <c r="B8" s="40"/>
      <c r="C8" s="19"/>
      <c r="D8" s="40"/>
      <c r="E8" s="19"/>
      <c r="F8" s="40"/>
      <c r="G8" s="19"/>
      <c r="H8" s="19"/>
      <c r="I8" s="19"/>
      <c r="J8" s="19"/>
      <c r="K8" s="19"/>
      <c r="L8" s="19"/>
      <c r="M8" s="19"/>
      <c r="N8" s="19"/>
      <c r="O8" s="19"/>
      <c r="P8" s="19"/>
      <c r="Q8" s="5" t="s">
        <v>1</v>
      </c>
      <c r="R8" s="5" t="s">
        <v>1</v>
      </c>
      <c r="S8" s="5" t="s">
        <v>1</v>
      </c>
    </row>
    <row r="9" spans="1:19" x14ac:dyDescent="0.25">
      <c r="A9" s="19" t="s">
        <v>233</v>
      </c>
      <c r="B9" s="40"/>
      <c r="C9" s="19"/>
      <c r="D9" s="40"/>
      <c r="E9" s="19"/>
      <c r="F9" s="40"/>
      <c r="G9" s="19"/>
      <c r="H9" s="19"/>
      <c r="I9" s="19"/>
      <c r="J9" s="19"/>
      <c r="K9" s="19"/>
      <c r="L9" s="19"/>
      <c r="M9" s="19"/>
      <c r="N9" s="19"/>
      <c r="O9" s="19"/>
      <c r="P9" s="19"/>
      <c r="Q9" s="5" t="s">
        <v>1</v>
      </c>
      <c r="R9" s="5" t="s">
        <v>1</v>
      </c>
      <c r="S9" s="5" t="s">
        <v>1</v>
      </c>
    </row>
    <row r="10" spans="1:19" x14ac:dyDescent="0.25">
      <c r="A10" s="90" t="s">
        <v>234</v>
      </c>
      <c r="B10" s="40"/>
      <c r="C10" s="34">
        <f>SUM('[1]Historical Data'!C741)*1000</f>
        <v>1053000</v>
      </c>
      <c r="D10" s="40"/>
      <c r="E10" s="19">
        <f>'[1]IPP&amp;E Reconciliation'!D793-'[1]IPP&amp;E Reconciliation'!D794</f>
        <v>0</v>
      </c>
      <c r="F10" s="40"/>
      <c r="G10" s="19">
        <f ca="1">'[1]IPP&amp;E Reconciliation'!E793-'[1]IPP&amp;E Reconciliation'!E794</f>
        <v>0</v>
      </c>
      <c r="H10" s="19">
        <f ca="1">'[1]IPP&amp;E Reconciliation'!F793-'[1]IPP&amp;E Reconciliation'!F794</f>
        <v>0</v>
      </c>
      <c r="I10" s="19">
        <f ca="1">'[1]IPP&amp;E Reconciliation'!G793-'[1]IPP&amp;E Reconciliation'!G794</f>
        <v>0</v>
      </c>
      <c r="J10" s="19">
        <f ca="1">'[1]IPP&amp;E Reconciliation'!H793-'[1]IPP&amp;E Reconciliation'!H794</f>
        <v>0</v>
      </c>
      <c r="K10" s="19">
        <f ca="1">'[1]IPP&amp;E Reconciliation'!I793-'[1]IPP&amp;E Reconciliation'!I794</f>
        <v>0</v>
      </c>
      <c r="L10" s="19">
        <f ca="1">'[1]IPP&amp;E Reconciliation'!J793-'[1]IPP&amp;E Reconciliation'!J794</f>
        <v>0</v>
      </c>
      <c r="M10" s="19">
        <f ca="1">'[1]IPP&amp;E Reconciliation'!K793-'[1]IPP&amp;E Reconciliation'!K794</f>
        <v>0</v>
      </c>
      <c r="N10" s="19">
        <f ca="1">'[1]IPP&amp;E Reconciliation'!L793-'[1]IPP&amp;E Reconciliation'!L794</f>
        <v>0</v>
      </c>
      <c r="O10" s="19">
        <f ca="1">'[1]IPP&amp;E Reconciliation'!M793-'[1]IPP&amp;E Reconciliation'!M794</f>
        <v>0</v>
      </c>
      <c r="P10" s="19">
        <f ca="1">'[1]IPP&amp;E Reconciliation'!N793-'[1]IPP&amp;E Reconciliation'!N794</f>
        <v>0</v>
      </c>
      <c r="Q10" s="5" t="s">
        <v>1</v>
      </c>
      <c r="R10" s="5" t="s">
        <v>1</v>
      </c>
      <c r="S10" s="5" t="s">
        <v>1</v>
      </c>
    </row>
    <row r="11" spans="1:19" x14ac:dyDescent="0.25">
      <c r="A11" s="90" t="s">
        <v>235</v>
      </c>
      <c r="B11" s="87"/>
      <c r="C11" s="34">
        <f>SUM('[1]Historical Data'!C742)*1000</f>
        <v>0</v>
      </c>
      <c r="D11" s="87"/>
      <c r="E11" s="54"/>
      <c r="F11" s="87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" t="s">
        <v>1</v>
      </c>
      <c r="R11" s="5" t="s">
        <v>1</v>
      </c>
      <c r="S11" s="5" t="s">
        <v>1</v>
      </c>
    </row>
    <row r="12" spans="1:19" x14ac:dyDescent="0.25">
      <c r="A12" s="90" t="s">
        <v>236</v>
      </c>
      <c r="B12" s="87"/>
      <c r="C12" s="34">
        <f>SUM('[1]Historical Data'!C743,'[1]Historical Data'!C744)*1000</f>
        <v>0</v>
      </c>
      <c r="D12" s="87"/>
      <c r="E12" s="54"/>
      <c r="F12" s="87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" t="s">
        <v>1</v>
      </c>
      <c r="R12" s="5" t="s">
        <v>1</v>
      </c>
      <c r="S12" s="5" t="s">
        <v>1</v>
      </c>
    </row>
    <row r="13" spans="1:19" x14ac:dyDescent="0.25">
      <c r="A13" s="90" t="s">
        <v>237</v>
      </c>
      <c r="B13" s="87"/>
      <c r="C13" s="34">
        <f>SUM('[1]Historical Data'!C745)*1000</f>
        <v>1000</v>
      </c>
      <c r="D13" s="87"/>
      <c r="E13" s="54"/>
      <c r="F13" s="87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" t="s">
        <v>1</v>
      </c>
      <c r="R13" s="5" t="s">
        <v>1</v>
      </c>
      <c r="S13" s="5" t="s">
        <v>1</v>
      </c>
    </row>
    <row r="14" spans="1:19" x14ac:dyDescent="0.25">
      <c r="A14" s="25" t="s">
        <v>238</v>
      </c>
      <c r="B14" s="40"/>
      <c r="C14" s="42">
        <f>SUM(C9:C13)</f>
        <v>1054000</v>
      </c>
      <c r="D14" s="40"/>
      <c r="E14" s="42">
        <f>SUM(E9:E13)</f>
        <v>0</v>
      </c>
      <c r="F14" s="40"/>
      <c r="G14" s="42">
        <f ca="1">SUM(G9:G13)</f>
        <v>0</v>
      </c>
      <c r="H14" s="42">
        <f t="shared" ref="H14:P14" ca="1" si="1">SUM(H9:H13)</f>
        <v>0</v>
      </c>
      <c r="I14" s="42">
        <f t="shared" ca="1" si="1"/>
        <v>0</v>
      </c>
      <c r="J14" s="42">
        <f t="shared" ca="1" si="1"/>
        <v>0</v>
      </c>
      <c r="K14" s="42">
        <f t="shared" ca="1" si="1"/>
        <v>0</v>
      </c>
      <c r="L14" s="42">
        <f t="shared" ca="1" si="1"/>
        <v>0</v>
      </c>
      <c r="M14" s="42">
        <f t="shared" ca="1" si="1"/>
        <v>0</v>
      </c>
      <c r="N14" s="42">
        <f t="shared" ca="1" si="1"/>
        <v>0</v>
      </c>
      <c r="O14" s="42">
        <f t="shared" ca="1" si="1"/>
        <v>0</v>
      </c>
      <c r="P14" s="42">
        <f t="shared" ca="1" si="1"/>
        <v>0</v>
      </c>
      <c r="Q14" s="5" t="s">
        <v>1</v>
      </c>
      <c r="R14" s="5" t="s">
        <v>1</v>
      </c>
      <c r="S14" s="5" t="s">
        <v>1</v>
      </c>
    </row>
    <row r="15" spans="1:19" x14ac:dyDescent="0.25">
      <c r="A15" s="19"/>
      <c r="B15" s="40"/>
      <c r="C15" s="19"/>
      <c r="D15" s="40"/>
      <c r="E15" s="19"/>
      <c r="F15" s="40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5" t="s">
        <v>1</v>
      </c>
      <c r="R15" s="5" t="s">
        <v>1</v>
      </c>
      <c r="S15" s="5" t="s">
        <v>1</v>
      </c>
    </row>
    <row r="16" spans="1:19" x14ac:dyDescent="0.25">
      <c r="A16" s="19" t="s">
        <v>239</v>
      </c>
      <c r="B16" s="40"/>
      <c r="C16" s="34">
        <f>SUM('[1]Historical Data'!C738)*1000</f>
        <v>878000</v>
      </c>
      <c r="D16" s="40"/>
      <c r="E16" s="19">
        <f>'[1]Income Statement'!F36</f>
        <v>3591533.6300000139</v>
      </c>
      <c r="F16" s="40"/>
      <c r="G16" s="19">
        <f ca="1">'[1]Income Statement'!H36</f>
        <v>2882978.191702541</v>
      </c>
      <c r="H16" s="19">
        <f ca="1">'[1]Income Statement'!I36</f>
        <v>3473343.3753916062</v>
      </c>
      <c r="I16" s="19">
        <f ca="1">'[1]Income Statement'!J36</f>
        <v>4053498.6622249074</v>
      </c>
      <c r="J16" s="19">
        <f ca="1">'[1]Income Statement'!K36</f>
        <v>4319912.7379756793</v>
      </c>
      <c r="K16" s="19">
        <f ca="1">'[1]Income Statement'!L36</f>
        <v>4709370.6659158804</v>
      </c>
      <c r="L16" s="19">
        <f ca="1">'[1]Income Statement'!M36</f>
        <v>4602290.9459327608</v>
      </c>
      <c r="M16" s="19">
        <f ca="1">'[1]Income Statement'!N36</f>
        <v>4779211.4864401594</v>
      </c>
      <c r="N16" s="19">
        <f ca="1">'[1]Income Statement'!O36</f>
        <v>4837350.5731174573</v>
      </c>
      <c r="O16" s="19">
        <f ca="1">'[1]Income Statement'!P36</f>
        <v>4878563.0991989747</v>
      </c>
      <c r="P16" s="19">
        <f ca="1">'[1]Income Statement'!Q36</f>
        <v>4921185.5093323812</v>
      </c>
      <c r="Q16" s="5" t="s">
        <v>1</v>
      </c>
      <c r="R16" s="5" t="s">
        <v>1</v>
      </c>
      <c r="S16" s="5" t="s">
        <v>1</v>
      </c>
    </row>
    <row r="17" spans="1:19" x14ac:dyDescent="0.25">
      <c r="A17" s="19"/>
      <c r="B17" s="40"/>
      <c r="C17" s="19"/>
      <c r="D17" s="40"/>
      <c r="E17" s="19"/>
      <c r="F17" s="40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5" t="s">
        <v>1</v>
      </c>
      <c r="R17" s="5" t="s">
        <v>1</v>
      </c>
      <c r="S17" s="5" t="s">
        <v>1</v>
      </c>
    </row>
    <row r="18" spans="1:19" x14ac:dyDescent="0.25">
      <c r="A18" s="25" t="s">
        <v>240</v>
      </c>
      <c r="B18" s="40"/>
      <c r="C18" s="19">
        <f>C14+C16</f>
        <v>1932000</v>
      </c>
      <c r="D18" s="40"/>
      <c r="E18" s="19">
        <f>E14+E16</f>
        <v>3591533.6300000139</v>
      </c>
      <c r="F18" s="40"/>
      <c r="G18" s="19">
        <f ca="1">G14+G16</f>
        <v>2882978.191702541</v>
      </c>
      <c r="H18" s="19">
        <f t="shared" ref="H18:P18" ca="1" si="2">H14+H16</f>
        <v>3473343.3753916062</v>
      </c>
      <c r="I18" s="19">
        <f t="shared" ca="1" si="2"/>
        <v>4053498.6622249074</v>
      </c>
      <c r="J18" s="19">
        <f t="shared" ca="1" si="2"/>
        <v>4319912.7379756793</v>
      </c>
      <c r="K18" s="19">
        <f t="shared" ca="1" si="2"/>
        <v>4709370.6659158804</v>
      </c>
      <c r="L18" s="19">
        <f t="shared" ca="1" si="2"/>
        <v>4602290.9459327608</v>
      </c>
      <c r="M18" s="19">
        <f t="shared" ca="1" si="2"/>
        <v>4779211.4864401594</v>
      </c>
      <c r="N18" s="19">
        <f t="shared" ca="1" si="2"/>
        <v>4837350.5731174573</v>
      </c>
      <c r="O18" s="19">
        <f t="shared" ca="1" si="2"/>
        <v>4878563.0991989747</v>
      </c>
      <c r="P18" s="19">
        <f t="shared" ca="1" si="2"/>
        <v>4921185.5093323812</v>
      </c>
      <c r="Q18" s="5" t="s">
        <v>1</v>
      </c>
      <c r="R18" s="5" t="s">
        <v>1</v>
      </c>
      <c r="S18" s="5" t="s">
        <v>1</v>
      </c>
    </row>
    <row r="19" spans="1:19" x14ac:dyDescent="0.25">
      <c r="A19" s="19"/>
      <c r="B19" s="40"/>
      <c r="C19" s="19"/>
      <c r="D19" s="40"/>
      <c r="E19" s="19"/>
      <c r="F19" s="40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5" t="s">
        <v>1</v>
      </c>
      <c r="R19" s="5" t="s">
        <v>1</v>
      </c>
      <c r="S19" s="5" t="s">
        <v>1</v>
      </c>
    </row>
    <row r="20" spans="1:19" x14ac:dyDescent="0.25">
      <c r="A20" s="19" t="s">
        <v>241</v>
      </c>
      <c r="B20" s="87"/>
      <c r="C20" s="34">
        <f>SUM('[1]Historical Data'!C750)*1000</f>
        <v>0</v>
      </c>
      <c r="D20" s="87"/>
      <c r="E20" s="54"/>
      <c r="F20" s="87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" t="s">
        <v>1</v>
      </c>
      <c r="R20" s="5" t="s">
        <v>1</v>
      </c>
      <c r="S20" s="5" t="s">
        <v>1</v>
      </c>
    </row>
    <row r="21" spans="1:19" x14ac:dyDescent="0.25">
      <c r="A21" s="19" t="s">
        <v>242</v>
      </c>
      <c r="B21" s="87"/>
      <c r="C21" s="34">
        <f>SUM('[1]Historical Data'!C751)*1000</f>
        <v>0</v>
      </c>
      <c r="D21" s="87"/>
      <c r="E21" s="54"/>
      <c r="F21" s="87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" t="s">
        <v>1</v>
      </c>
      <c r="R21" s="5" t="s">
        <v>1</v>
      </c>
      <c r="S21" s="5" t="s">
        <v>1</v>
      </c>
    </row>
    <row r="22" spans="1:19" x14ac:dyDescent="0.25">
      <c r="A22" s="19"/>
      <c r="B22" s="40"/>
      <c r="C22" s="19"/>
      <c r="D22" s="40"/>
      <c r="E22" s="19"/>
      <c r="F22" s="40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5" t="s">
        <v>1</v>
      </c>
      <c r="R22" s="5" t="s">
        <v>1</v>
      </c>
      <c r="S22" s="5" t="s">
        <v>1</v>
      </c>
    </row>
    <row r="23" spans="1:19" ht="15.75" thickBot="1" x14ac:dyDescent="0.3">
      <c r="A23" s="20" t="s">
        <v>243</v>
      </c>
      <c r="B23" s="47"/>
      <c r="C23" s="55">
        <f>C7+C18+C20+C21</f>
        <v>410258000</v>
      </c>
      <c r="D23" s="47"/>
      <c r="E23" s="55">
        <f>E7+E18+E20+E21</f>
        <v>413848533.63</v>
      </c>
      <c r="F23" s="47"/>
      <c r="G23" s="55">
        <f t="shared" ref="G23:P23" ca="1" si="3">G7+G18+G20+G21</f>
        <v>416731511.82170254</v>
      </c>
      <c r="H23" s="55">
        <f t="shared" ca="1" si="3"/>
        <v>420204855.19709414</v>
      </c>
      <c r="I23" s="55">
        <f t="shared" ca="1" si="3"/>
        <v>424258353.85931903</v>
      </c>
      <c r="J23" s="55">
        <f t="shared" ca="1" si="3"/>
        <v>428578266.59729469</v>
      </c>
      <c r="K23" s="55">
        <f t="shared" ca="1" si="3"/>
        <v>433287637.26321059</v>
      </c>
      <c r="L23" s="55">
        <f t="shared" ca="1" si="3"/>
        <v>437889928.20914334</v>
      </c>
      <c r="M23" s="55">
        <f t="shared" ca="1" si="3"/>
        <v>442669139.69558352</v>
      </c>
      <c r="N23" s="55">
        <f t="shared" ca="1" si="3"/>
        <v>447506490.26870096</v>
      </c>
      <c r="O23" s="55">
        <f t="shared" ca="1" si="3"/>
        <v>452385053.36789995</v>
      </c>
      <c r="P23" s="55">
        <f t="shared" ca="1" si="3"/>
        <v>457306238.87723231</v>
      </c>
      <c r="Q23" s="5" t="s">
        <v>1</v>
      </c>
      <c r="R23" s="5" t="s">
        <v>1</v>
      </c>
      <c r="S23" s="5" t="s">
        <v>1</v>
      </c>
    </row>
    <row r="24" spans="1:19" ht="15.75" thickTop="1" x14ac:dyDescent="0.25">
      <c r="A24" s="19"/>
      <c r="B24" s="40"/>
      <c r="C24" s="19"/>
      <c r="D24" s="40"/>
      <c r="E24" s="19"/>
      <c r="F24" s="40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5" t="s">
        <v>1</v>
      </c>
      <c r="R24" s="5" t="s">
        <v>1</v>
      </c>
      <c r="S24" s="5" t="s">
        <v>1</v>
      </c>
    </row>
    <row r="25" spans="1:19" hidden="1" x14ac:dyDescent="0.25">
      <c r="A25" s="19"/>
      <c r="B25" s="37"/>
      <c r="C25" s="19"/>
      <c r="D25" s="37"/>
      <c r="E25" s="19"/>
      <c r="F25" s="37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5" t="s">
        <v>1</v>
      </c>
      <c r="R25" s="5" t="s">
        <v>1</v>
      </c>
      <c r="S25" s="5" t="s">
        <v>1</v>
      </c>
    </row>
    <row r="26" spans="1:19" hidden="1" x14ac:dyDescent="0.25">
      <c r="A26" s="19"/>
      <c r="B26" s="37"/>
      <c r="C26" s="19"/>
      <c r="D26" s="37"/>
      <c r="E26" s="19"/>
      <c r="F26" s="37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5" t="s">
        <v>1</v>
      </c>
      <c r="R26" s="5" t="s">
        <v>1</v>
      </c>
      <c r="S26" s="5" t="s">
        <v>1</v>
      </c>
    </row>
    <row r="27" spans="1:19" hidden="1" x14ac:dyDescent="0.25">
      <c r="A27" s="24" t="s">
        <v>244</v>
      </c>
      <c r="B27" s="71"/>
      <c r="C27" s="19"/>
      <c r="D27" s="71"/>
      <c r="E27" s="19">
        <f>E23</f>
        <v>413848533.63</v>
      </c>
      <c r="F27" s="37"/>
      <c r="G27" s="19">
        <f t="shared" ref="G27:P27" ca="1" si="4">G23</f>
        <v>416731511.82170254</v>
      </c>
      <c r="H27" s="19">
        <f t="shared" ca="1" si="4"/>
        <v>420204855.19709414</v>
      </c>
      <c r="I27" s="19">
        <f t="shared" ca="1" si="4"/>
        <v>424258353.85931903</v>
      </c>
      <c r="J27" s="19">
        <f t="shared" ca="1" si="4"/>
        <v>428578266.59729469</v>
      </c>
      <c r="K27" s="19">
        <f t="shared" ca="1" si="4"/>
        <v>433287637.26321059</v>
      </c>
      <c r="L27" s="19">
        <f t="shared" ca="1" si="4"/>
        <v>437889928.20914334</v>
      </c>
      <c r="M27" s="19">
        <f t="shared" ca="1" si="4"/>
        <v>442669139.69558352</v>
      </c>
      <c r="N27" s="19">
        <f t="shared" ca="1" si="4"/>
        <v>447506490.26870096</v>
      </c>
      <c r="O27" s="19">
        <f t="shared" ca="1" si="4"/>
        <v>452385053.36789995</v>
      </c>
      <c r="P27" s="19">
        <f t="shared" ca="1" si="4"/>
        <v>457306238.87723231</v>
      </c>
      <c r="Q27" s="5" t="s">
        <v>1</v>
      </c>
      <c r="R27" s="5" t="s">
        <v>1</v>
      </c>
      <c r="S27" s="5" t="s">
        <v>1</v>
      </c>
    </row>
    <row r="28" spans="1:19" hidden="1" x14ac:dyDescent="0.25">
      <c r="A28" s="24" t="s">
        <v>245</v>
      </c>
      <c r="B28" s="71"/>
      <c r="C28" s="19"/>
      <c r="D28" s="71"/>
      <c r="E28" s="19">
        <f>'[1]Balance Sheet'!E56</f>
        <v>413848533.63</v>
      </c>
      <c r="F28" s="37"/>
      <c r="G28" s="19">
        <f ca="1">'[1]Balance Sheet'!G56</f>
        <v>416731511.8217026</v>
      </c>
      <c r="H28" s="19">
        <f ca="1">'[1]Balance Sheet'!H56</f>
        <v>420204855.1970942</v>
      </c>
      <c r="I28" s="19">
        <f ca="1">'[1]Balance Sheet'!I56</f>
        <v>424258353.85931909</v>
      </c>
      <c r="J28" s="19">
        <f ca="1">'[1]Balance Sheet'!J56</f>
        <v>428578266.59729481</v>
      </c>
      <c r="K28" s="19">
        <f ca="1">'[1]Balance Sheet'!K56</f>
        <v>433287637.26321065</v>
      </c>
      <c r="L28" s="19">
        <f ca="1">'[1]Balance Sheet'!L56</f>
        <v>437889928.2091434</v>
      </c>
      <c r="M28" s="19">
        <f ca="1">'[1]Balance Sheet'!M56</f>
        <v>442669139.69558358</v>
      </c>
      <c r="N28" s="19">
        <f ca="1">'[1]Balance Sheet'!N56</f>
        <v>447506490.26870102</v>
      </c>
      <c r="O28" s="19">
        <f ca="1">'[1]Balance Sheet'!O56</f>
        <v>452385053.36790001</v>
      </c>
      <c r="P28" s="19">
        <f ca="1">'[1]Balance Sheet'!P56</f>
        <v>457306238.87723237</v>
      </c>
      <c r="Q28" s="5" t="s">
        <v>1</v>
      </c>
      <c r="R28" s="5" t="s">
        <v>1</v>
      </c>
      <c r="S28" s="5" t="s">
        <v>1</v>
      </c>
    </row>
    <row r="29" spans="1:19" hidden="1" x14ac:dyDescent="0.25">
      <c r="A29" s="24" t="s">
        <v>71</v>
      </c>
      <c r="B29" s="71"/>
      <c r="C29" s="52"/>
      <c r="D29" s="71"/>
      <c r="E29" s="52">
        <f>E23-E28</f>
        <v>0</v>
      </c>
      <c r="F29" s="37"/>
      <c r="G29" s="52">
        <f t="shared" ref="G29:P29" ca="1" si="5">G23-G28</f>
        <v>0</v>
      </c>
      <c r="H29" s="52">
        <f t="shared" ca="1" si="5"/>
        <v>0</v>
      </c>
      <c r="I29" s="52">
        <f t="shared" ca="1" si="5"/>
        <v>0</v>
      </c>
      <c r="J29" s="52">
        <f t="shared" ca="1" si="5"/>
        <v>0</v>
      </c>
      <c r="K29" s="52">
        <f t="shared" ca="1" si="5"/>
        <v>0</v>
      </c>
      <c r="L29" s="52">
        <f t="shared" ca="1" si="5"/>
        <v>0</v>
      </c>
      <c r="M29" s="52">
        <f t="shared" ca="1" si="5"/>
        <v>0</v>
      </c>
      <c r="N29" s="52">
        <f t="shared" ca="1" si="5"/>
        <v>0</v>
      </c>
      <c r="O29" s="52">
        <f t="shared" ca="1" si="5"/>
        <v>0</v>
      </c>
      <c r="P29" s="52">
        <f t="shared" ca="1" si="5"/>
        <v>0</v>
      </c>
      <c r="Q29" s="5" t="s">
        <v>1</v>
      </c>
      <c r="R29" s="5" t="s">
        <v>1</v>
      </c>
      <c r="S29" s="5" t="s">
        <v>1</v>
      </c>
    </row>
    <row r="30" spans="1:19" hidden="1" x14ac:dyDescent="0.25">
      <c r="A30" s="72" t="s">
        <v>162</v>
      </c>
      <c r="B30" s="73"/>
      <c r="C30" s="98"/>
      <c r="D30" s="73"/>
      <c r="E30" s="98" t="str">
        <f>IF(ABS(ROUND(E29,0))&gt;0,E$4,"")</f>
        <v/>
      </c>
      <c r="F30" s="99"/>
      <c r="G30" s="100" t="str">
        <f ca="1">IF(ABS(ROUND(G29,0))&gt;0,IF(E30="",G$4,E30&amp;", "&amp;G$4),E30)</f>
        <v/>
      </c>
      <c r="H30" s="101" t="str">
        <f t="shared" ref="H30:P30" ca="1" si="6">IF(ABS(ROUND(H29,0))&gt;0,IF(G30="",H$4,G30&amp;", "&amp;H$4),G30)</f>
        <v/>
      </c>
      <c r="I30" s="101" t="str">
        <f t="shared" ca="1" si="6"/>
        <v/>
      </c>
      <c r="J30" s="101" t="str">
        <f t="shared" ca="1" si="6"/>
        <v/>
      </c>
      <c r="K30" s="101" t="str">
        <f t="shared" ca="1" si="6"/>
        <v/>
      </c>
      <c r="L30" s="101" t="str">
        <f t="shared" ca="1" si="6"/>
        <v/>
      </c>
      <c r="M30" s="101" t="str">
        <f t="shared" ca="1" si="6"/>
        <v/>
      </c>
      <c r="N30" s="101" t="str">
        <f t="shared" ca="1" si="6"/>
        <v/>
      </c>
      <c r="O30" s="101" t="str">
        <f t="shared" ca="1" si="6"/>
        <v/>
      </c>
      <c r="P30" s="101" t="str">
        <f t="shared" ca="1" si="6"/>
        <v/>
      </c>
      <c r="Q30" s="5" t="s">
        <v>1</v>
      </c>
      <c r="R30" s="5" t="s">
        <v>1</v>
      </c>
      <c r="S30" s="5" t="s">
        <v>1</v>
      </c>
    </row>
    <row r="31" spans="1:19" hidden="1" x14ac:dyDescent="0.25">
      <c r="A31" s="19"/>
      <c r="B31" s="37"/>
      <c r="C31" s="19"/>
      <c r="D31" s="37"/>
      <c r="E31" s="19"/>
      <c r="F31" s="37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5" t="s">
        <v>1</v>
      </c>
      <c r="R31" s="5" t="s">
        <v>1</v>
      </c>
      <c r="S31" s="5" t="s">
        <v>1</v>
      </c>
    </row>
    <row r="32" spans="1:19" hidden="1" x14ac:dyDescent="0.25">
      <c r="A32" s="19"/>
      <c r="B32" s="37"/>
      <c r="C32" s="19"/>
      <c r="D32" s="37"/>
      <c r="E32" s="19"/>
      <c r="F32" s="37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5" t="s">
        <v>1</v>
      </c>
      <c r="R32" s="5" t="s">
        <v>1</v>
      </c>
      <c r="S32" s="5" t="s">
        <v>1</v>
      </c>
    </row>
    <row r="33" spans="1:19" hidden="1" x14ac:dyDescent="0.25">
      <c r="A33" s="19"/>
      <c r="B33" s="37"/>
      <c r="C33" s="19"/>
      <c r="D33" s="37"/>
      <c r="E33" s="19"/>
      <c r="F33" s="37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5" t="s">
        <v>1</v>
      </c>
      <c r="R33" s="5" t="s">
        <v>1</v>
      </c>
      <c r="S33" s="5" t="s">
        <v>1</v>
      </c>
    </row>
    <row r="34" spans="1:19" hidden="1" x14ac:dyDescent="0.25">
      <c r="A34" s="22" t="s">
        <v>2</v>
      </c>
      <c r="B34" s="22" t="s">
        <v>2</v>
      </c>
      <c r="C34" s="22" t="s">
        <v>2</v>
      </c>
      <c r="D34" s="22" t="s">
        <v>2</v>
      </c>
      <c r="E34" s="22" t="s">
        <v>2</v>
      </c>
      <c r="F34" s="22" t="s">
        <v>2</v>
      </c>
      <c r="G34" s="22" t="s">
        <v>2</v>
      </c>
      <c r="H34" s="22" t="s">
        <v>2</v>
      </c>
      <c r="I34" s="22" t="s">
        <v>2</v>
      </c>
      <c r="J34" s="22" t="s">
        <v>2</v>
      </c>
      <c r="K34" s="22" t="s">
        <v>2</v>
      </c>
      <c r="L34" s="22" t="s">
        <v>2</v>
      </c>
      <c r="M34" s="22" t="s">
        <v>2</v>
      </c>
      <c r="N34" s="22" t="s">
        <v>2</v>
      </c>
      <c r="O34" s="22" t="s">
        <v>2</v>
      </c>
      <c r="P34" s="22" t="s">
        <v>2</v>
      </c>
      <c r="Q34" s="5" t="s">
        <v>1</v>
      </c>
      <c r="R34" s="5" t="s">
        <v>1</v>
      </c>
      <c r="S34" s="5" t="s">
        <v>1</v>
      </c>
    </row>
    <row r="35" spans="1:19" ht="30" customHeight="1" x14ac:dyDescent="0.25">
      <c r="A35" s="23" t="s">
        <v>1</v>
      </c>
      <c r="B35" s="94" t="s">
        <v>1</v>
      </c>
      <c r="C35" s="23" t="s">
        <v>1</v>
      </c>
      <c r="D35" s="94" t="s">
        <v>1</v>
      </c>
      <c r="E35" s="23" t="s">
        <v>1</v>
      </c>
      <c r="F35" s="94" t="s">
        <v>1</v>
      </c>
      <c r="G35" s="23" t="s">
        <v>1</v>
      </c>
      <c r="H35" s="23" t="s">
        <v>1</v>
      </c>
      <c r="I35" s="23" t="s">
        <v>1</v>
      </c>
      <c r="J35" s="23" t="s">
        <v>1</v>
      </c>
      <c r="K35" s="23" t="s">
        <v>1</v>
      </c>
      <c r="L35" s="23" t="s">
        <v>1</v>
      </c>
      <c r="M35" s="23" t="s">
        <v>1</v>
      </c>
      <c r="N35" s="23" t="s">
        <v>1</v>
      </c>
      <c r="O35" s="23" t="s">
        <v>1</v>
      </c>
      <c r="P35" s="23" t="s">
        <v>1</v>
      </c>
      <c r="Q35" s="5" t="s">
        <v>1</v>
      </c>
      <c r="R35" s="5" t="s">
        <v>1</v>
      </c>
      <c r="S35" s="5" t="s">
        <v>1</v>
      </c>
    </row>
    <row r="36" spans="1:19" ht="30" customHeight="1" x14ac:dyDescent="0.25">
      <c r="A36" s="23" t="s">
        <v>1</v>
      </c>
      <c r="B36" s="94" t="s">
        <v>1</v>
      </c>
      <c r="C36" s="23" t="s">
        <v>1</v>
      </c>
      <c r="D36" s="94" t="s">
        <v>1</v>
      </c>
      <c r="E36" s="23" t="s">
        <v>1</v>
      </c>
      <c r="F36" s="94" t="s">
        <v>1</v>
      </c>
      <c r="G36" s="23" t="s">
        <v>1</v>
      </c>
      <c r="H36" s="23" t="s">
        <v>1</v>
      </c>
      <c r="I36" s="23" t="s">
        <v>1</v>
      </c>
      <c r="J36" s="23" t="s">
        <v>1</v>
      </c>
      <c r="K36" s="23" t="s">
        <v>1</v>
      </c>
      <c r="L36" s="23" t="s">
        <v>1</v>
      </c>
      <c r="M36" s="23" t="s">
        <v>1</v>
      </c>
      <c r="N36" s="23" t="s">
        <v>1</v>
      </c>
      <c r="O36" s="23" t="s">
        <v>1</v>
      </c>
      <c r="P36" s="23" t="s">
        <v>1</v>
      </c>
      <c r="Q36" s="5" t="s">
        <v>1</v>
      </c>
      <c r="R36" s="5" t="s">
        <v>1</v>
      </c>
      <c r="S36" s="5" t="s">
        <v>1</v>
      </c>
    </row>
    <row r="37" spans="1:19" ht="30" customHeight="1" x14ac:dyDescent="0.25">
      <c r="A37" s="23" t="s">
        <v>1</v>
      </c>
      <c r="B37" s="94" t="s">
        <v>1</v>
      </c>
      <c r="C37" s="23" t="s">
        <v>1</v>
      </c>
      <c r="D37" s="94" t="s">
        <v>1</v>
      </c>
      <c r="E37" s="23" t="s">
        <v>1</v>
      </c>
      <c r="F37" s="94" t="s">
        <v>1</v>
      </c>
      <c r="G37" s="23" t="s">
        <v>1</v>
      </c>
      <c r="H37" s="23" t="s">
        <v>1</v>
      </c>
      <c r="I37" s="23" t="s">
        <v>1</v>
      </c>
      <c r="J37" s="23" t="s">
        <v>1</v>
      </c>
      <c r="K37" s="23" t="s">
        <v>1</v>
      </c>
      <c r="L37" s="23" t="s">
        <v>1</v>
      </c>
      <c r="M37" s="23" t="s">
        <v>1</v>
      </c>
      <c r="N37" s="23" t="s">
        <v>1</v>
      </c>
      <c r="O37" s="23" t="s">
        <v>1</v>
      </c>
      <c r="P37" s="23" t="s">
        <v>1</v>
      </c>
      <c r="Q37" s="5" t="s">
        <v>1</v>
      </c>
      <c r="R37" s="5" t="s">
        <v>1</v>
      </c>
      <c r="S37" s="5" t="s">
        <v>1</v>
      </c>
    </row>
    <row r="38" spans="1:19" ht="30" customHeight="1" x14ac:dyDescent="0.25">
      <c r="A38" s="23" t="s">
        <v>1</v>
      </c>
      <c r="B38" s="94" t="s">
        <v>1</v>
      </c>
      <c r="C38" s="23" t="s">
        <v>1</v>
      </c>
      <c r="D38" s="94" t="s">
        <v>1</v>
      </c>
      <c r="E38" s="23" t="s">
        <v>1</v>
      </c>
      <c r="F38" s="94" t="s">
        <v>1</v>
      </c>
      <c r="G38" s="23" t="s">
        <v>1</v>
      </c>
      <c r="H38" s="23" t="s">
        <v>1</v>
      </c>
      <c r="I38" s="23" t="s">
        <v>1</v>
      </c>
      <c r="J38" s="23" t="s">
        <v>1</v>
      </c>
      <c r="K38" s="23" t="s">
        <v>1</v>
      </c>
      <c r="L38" s="23" t="s">
        <v>1</v>
      </c>
      <c r="M38" s="23" t="s">
        <v>1</v>
      </c>
      <c r="N38" s="23" t="s">
        <v>1</v>
      </c>
      <c r="O38" s="23" t="s">
        <v>1</v>
      </c>
      <c r="P38" s="23" t="s">
        <v>1</v>
      </c>
      <c r="Q38" s="5" t="s">
        <v>1</v>
      </c>
      <c r="R38" s="5" t="s">
        <v>1</v>
      </c>
      <c r="S38" s="5" t="s">
        <v>1</v>
      </c>
    </row>
    <row r="39" spans="1:19" ht="30" customHeight="1" x14ac:dyDescent="0.25">
      <c r="A39" s="23" t="s">
        <v>1</v>
      </c>
      <c r="B39" s="94" t="s">
        <v>1</v>
      </c>
      <c r="C39" s="23" t="s">
        <v>1</v>
      </c>
      <c r="D39" s="94" t="s">
        <v>1</v>
      </c>
      <c r="E39" s="23" t="s">
        <v>1</v>
      </c>
      <c r="F39" s="94" t="s">
        <v>1</v>
      </c>
      <c r="G39" s="23" t="s">
        <v>1</v>
      </c>
      <c r="H39" s="23" t="s">
        <v>1</v>
      </c>
      <c r="I39" s="23" t="s">
        <v>1</v>
      </c>
      <c r="J39" s="23" t="s">
        <v>1</v>
      </c>
      <c r="K39" s="23" t="s">
        <v>1</v>
      </c>
      <c r="L39" s="23" t="s">
        <v>1</v>
      </c>
      <c r="M39" s="23" t="s">
        <v>1</v>
      </c>
      <c r="N39" s="23" t="s">
        <v>1</v>
      </c>
      <c r="O39" s="23" t="s">
        <v>1</v>
      </c>
      <c r="P39" s="23" t="s">
        <v>1</v>
      </c>
      <c r="Q39" s="5" t="s">
        <v>1</v>
      </c>
      <c r="R39" s="5" t="s">
        <v>1</v>
      </c>
      <c r="S39" s="5" t="s">
        <v>1</v>
      </c>
    </row>
    <row r="40" spans="1:19" ht="30" customHeight="1" x14ac:dyDescent="0.25">
      <c r="A40" s="23" t="s">
        <v>1</v>
      </c>
      <c r="B40" s="94" t="s">
        <v>1</v>
      </c>
      <c r="C40" s="23" t="s">
        <v>1</v>
      </c>
      <c r="D40" s="94" t="s">
        <v>1</v>
      </c>
      <c r="E40" s="23" t="s">
        <v>1</v>
      </c>
      <c r="F40" s="94" t="s">
        <v>1</v>
      </c>
      <c r="G40" s="23" t="s">
        <v>1</v>
      </c>
      <c r="H40" s="23" t="s">
        <v>1</v>
      </c>
      <c r="I40" s="23" t="s">
        <v>1</v>
      </c>
      <c r="J40" s="23" t="s">
        <v>1</v>
      </c>
      <c r="K40" s="23" t="s">
        <v>1</v>
      </c>
      <c r="L40" s="23" t="s">
        <v>1</v>
      </c>
      <c r="M40" s="23" t="s">
        <v>1</v>
      </c>
      <c r="N40" s="23" t="s">
        <v>1</v>
      </c>
      <c r="O40" s="23" t="s">
        <v>1</v>
      </c>
      <c r="P40" s="23" t="s">
        <v>1</v>
      </c>
      <c r="Q40" s="5" t="s">
        <v>1</v>
      </c>
      <c r="R40" s="5" t="s">
        <v>1</v>
      </c>
      <c r="S40" s="5" t="s">
        <v>1</v>
      </c>
    </row>
    <row r="41" spans="1:19" ht="30" customHeight="1" x14ac:dyDescent="0.25">
      <c r="A41" s="23" t="s">
        <v>1</v>
      </c>
      <c r="B41" s="94" t="s">
        <v>1</v>
      </c>
      <c r="C41" s="23" t="s">
        <v>1</v>
      </c>
      <c r="D41" s="94" t="s">
        <v>1</v>
      </c>
      <c r="E41" s="23" t="s">
        <v>1</v>
      </c>
      <c r="F41" s="94" t="s">
        <v>1</v>
      </c>
      <c r="G41" s="23" t="s">
        <v>1</v>
      </c>
      <c r="H41" s="23" t="s">
        <v>1</v>
      </c>
      <c r="I41" s="23" t="s">
        <v>1</v>
      </c>
      <c r="J41" s="23" t="s">
        <v>1</v>
      </c>
      <c r="K41" s="23" t="s">
        <v>1</v>
      </c>
      <c r="L41" s="23" t="s">
        <v>1</v>
      </c>
      <c r="M41" s="23" t="s">
        <v>1</v>
      </c>
      <c r="N41" s="23" t="s">
        <v>1</v>
      </c>
      <c r="O41" s="23" t="s">
        <v>1</v>
      </c>
      <c r="P41" s="23" t="s">
        <v>1</v>
      </c>
      <c r="Q41" s="5" t="s">
        <v>1</v>
      </c>
      <c r="R41" s="5" t="s">
        <v>1</v>
      </c>
      <c r="S41" s="5" t="s">
        <v>1</v>
      </c>
    </row>
    <row r="42" spans="1:19" x14ac:dyDescent="0.25">
      <c r="A42" s="19"/>
      <c r="B42" s="37"/>
      <c r="C42" s="19"/>
      <c r="D42" s="37"/>
      <c r="E42" s="19"/>
      <c r="F42" s="37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9" x14ac:dyDescent="0.25">
      <c r="A43" s="19"/>
      <c r="B43" s="37"/>
      <c r="C43" s="19"/>
      <c r="D43" s="37"/>
      <c r="E43" s="19"/>
      <c r="F43" s="37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9" x14ac:dyDescent="0.25">
      <c r="A44" s="19"/>
      <c r="B44" s="37"/>
      <c r="C44" s="19"/>
      <c r="D44" s="37"/>
      <c r="E44" s="19"/>
      <c r="F44" s="37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19" x14ac:dyDescent="0.25">
      <c r="A45" s="19"/>
      <c r="B45" s="37"/>
      <c r="C45" s="19"/>
      <c r="D45" s="37"/>
      <c r="E45" s="19"/>
      <c r="F45" s="37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9" x14ac:dyDescent="0.25">
      <c r="A46" s="19"/>
      <c r="B46" s="37"/>
      <c r="C46" s="19"/>
      <c r="D46" s="37"/>
      <c r="E46" s="19"/>
      <c r="F46" s="37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9" x14ac:dyDescent="0.25">
      <c r="A47" s="19"/>
      <c r="B47" s="37"/>
      <c r="C47" s="19"/>
      <c r="D47" s="37"/>
      <c r="E47" s="19"/>
      <c r="F47" s="37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9" x14ac:dyDescent="0.25">
      <c r="A48" s="19"/>
      <c r="B48" s="37"/>
      <c r="C48" s="19"/>
      <c r="D48" s="37"/>
      <c r="E48" s="19"/>
      <c r="F48" s="37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x14ac:dyDescent="0.25">
      <c r="A49" s="19"/>
      <c r="B49" s="37"/>
      <c r="C49" s="19"/>
      <c r="D49" s="37"/>
      <c r="E49" s="19"/>
      <c r="F49" s="37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x14ac:dyDescent="0.25">
      <c r="A50" s="19"/>
      <c r="B50" s="37"/>
      <c r="C50" s="19"/>
      <c r="D50" s="37"/>
      <c r="E50" s="19"/>
      <c r="F50" s="37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x14ac:dyDescent="0.25">
      <c r="A51" s="19"/>
      <c r="B51" s="37"/>
      <c r="C51" s="19"/>
      <c r="D51" s="37"/>
      <c r="E51" s="19"/>
      <c r="F51" s="37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1:16" x14ac:dyDescent="0.25">
      <c r="A52" s="19"/>
      <c r="B52" s="37"/>
      <c r="C52" s="19"/>
      <c r="D52" s="37"/>
      <c r="E52" s="19"/>
      <c r="F52" s="37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x14ac:dyDescent="0.25">
      <c r="A53" s="19"/>
      <c r="B53" s="37"/>
      <c r="C53" s="19"/>
      <c r="D53" s="37"/>
      <c r="E53" s="19"/>
      <c r="F53" s="37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x14ac:dyDescent="0.25">
      <c r="A54" s="19"/>
      <c r="B54" s="37"/>
      <c r="C54" s="19"/>
      <c r="D54" s="37"/>
      <c r="E54" s="19"/>
      <c r="F54" s="37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 x14ac:dyDescent="0.25">
      <c r="A55" s="19"/>
      <c r="B55" s="37"/>
      <c r="C55" s="19"/>
      <c r="D55" s="37"/>
      <c r="E55" s="19"/>
      <c r="F55" s="37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 x14ac:dyDescent="0.25">
      <c r="A56" s="19"/>
      <c r="B56" s="37"/>
      <c r="C56" s="19"/>
      <c r="D56" s="37"/>
      <c r="E56" s="19"/>
      <c r="F56" s="37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 x14ac:dyDescent="0.25">
      <c r="A57" s="19"/>
      <c r="B57" s="37"/>
      <c r="C57" s="19"/>
      <c r="D57" s="37"/>
      <c r="E57" s="19"/>
      <c r="F57" s="37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 x14ac:dyDescent="0.25">
      <c r="A58" s="19"/>
      <c r="B58" s="37"/>
      <c r="C58" s="19"/>
      <c r="D58" s="37"/>
      <c r="E58" s="19"/>
      <c r="F58" s="37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x14ac:dyDescent="0.25">
      <c r="A59" s="19"/>
      <c r="B59" s="37"/>
      <c r="C59" s="19"/>
      <c r="D59" s="37"/>
      <c r="E59" s="19"/>
      <c r="F59" s="37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 x14ac:dyDescent="0.25">
      <c r="A60" s="19"/>
      <c r="B60" s="37"/>
      <c r="C60" s="19"/>
      <c r="D60" s="37"/>
      <c r="E60" s="19"/>
      <c r="F60" s="37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 x14ac:dyDescent="0.25">
      <c r="A61" s="19"/>
      <c r="B61" s="37"/>
      <c r="C61" s="19"/>
      <c r="D61" s="37"/>
      <c r="E61" s="19"/>
      <c r="F61" s="37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1:16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6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6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spans="1:16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spans="1:16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spans="1:16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</row>
    <row r="76" spans="1:16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spans="1:16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spans="1:16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  <row r="79" spans="1:16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</row>
    <row r="80" spans="1:16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</row>
    <row r="81" spans="1:16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</row>
    <row r="83" spans="1:16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</row>
    <row r="84" spans="1:16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</row>
    <row r="85" spans="1:16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</row>
    <row r="86" spans="1:16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</row>
    <row r="87" spans="1:16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</row>
    <row r="88" spans="1:16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</row>
    <row r="89" spans="1:16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spans="1:16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</row>
    <row r="91" spans="1:16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spans="1:16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</row>
    <row r="93" spans="1:16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</row>
    <row r="94" spans="1:16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</row>
    <row r="95" spans="1:16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</row>
    <row r="96" spans="1:16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</row>
    <row r="97" spans="1:16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</row>
    <row r="98" spans="1:16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</row>
    <row r="99" spans="1:16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</row>
    <row r="100" spans="1:16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</row>
    <row r="212" spans="2:6" s="77" customFormat="1" x14ac:dyDescent="0.25">
      <c r="B212" s="102"/>
      <c r="C212" s="102"/>
      <c r="D212" s="102"/>
      <c r="E212" s="102"/>
      <c r="F212" s="102"/>
    </row>
    <row r="213" spans="2:6" s="77" customFormat="1" x14ac:dyDescent="0.25">
      <c r="B213" s="102"/>
      <c r="C213" s="102"/>
      <c r="D213" s="102"/>
      <c r="E213" s="102"/>
      <c r="F213" s="102"/>
    </row>
    <row r="214" spans="2:6" s="77" customFormat="1" x14ac:dyDescent="0.25">
      <c r="B214" s="102"/>
      <c r="C214" s="102"/>
      <c r="D214" s="102"/>
      <c r="E214" s="102"/>
      <c r="F214" s="102"/>
    </row>
    <row r="215" spans="2:6" s="77" customFormat="1" x14ac:dyDescent="0.25">
      <c r="B215" s="102"/>
      <c r="C215" s="102"/>
      <c r="D215" s="102"/>
      <c r="E215" s="102"/>
      <c r="F215" s="102"/>
    </row>
    <row r="216" spans="2:6" s="77" customFormat="1" x14ac:dyDescent="0.25">
      <c r="B216" s="102"/>
      <c r="C216" s="102"/>
      <c r="D216" s="102"/>
      <c r="E216" s="102"/>
      <c r="F216" s="102"/>
    </row>
    <row r="217" spans="2:6" s="77" customFormat="1" x14ac:dyDescent="0.25">
      <c r="B217" s="102"/>
      <c r="C217" s="102"/>
      <c r="D217" s="102"/>
      <c r="E217" s="102"/>
      <c r="F217" s="102"/>
    </row>
    <row r="218" spans="2:6" s="77" customFormat="1" x14ac:dyDescent="0.25">
      <c r="B218" s="102"/>
      <c r="C218" s="102"/>
      <c r="D218" s="102"/>
      <c r="E218" s="102"/>
      <c r="F218" s="102"/>
    </row>
    <row r="219" spans="2:6" s="77" customFormat="1" x14ac:dyDescent="0.25">
      <c r="B219" s="102"/>
      <c r="C219" s="102"/>
      <c r="D219" s="102"/>
      <c r="E219" s="102"/>
      <c r="F219" s="102"/>
    </row>
    <row r="220" spans="2:6" s="77" customFormat="1" x14ac:dyDescent="0.25">
      <c r="B220" s="102"/>
      <c r="C220" s="102"/>
      <c r="D220" s="102"/>
      <c r="E220" s="102"/>
      <c r="F220" s="102"/>
    </row>
    <row r="221" spans="2:6" s="77" customFormat="1" x14ac:dyDescent="0.25">
      <c r="B221" s="102"/>
      <c r="C221" s="102"/>
      <c r="D221" s="102"/>
      <c r="E221" s="102"/>
      <c r="F221" s="102"/>
    </row>
    <row r="222" spans="2:6" s="77" customFormat="1" x14ac:dyDescent="0.25">
      <c r="B222" s="102"/>
      <c r="C222" s="102"/>
      <c r="D222" s="102"/>
      <c r="E222" s="102"/>
      <c r="F222" s="102"/>
    </row>
    <row r="223" spans="2:6" s="77" customFormat="1" x14ac:dyDescent="0.25">
      <c r="B223" s="102"/>
      <c r="C223" s="102"/>
      <c r="D223" s="102"/>
      <c r="E223" s="102"/>
      <c r="F223" s="102"/>
    </row>
    <row r="224" spans="2:6" s="77" customFormat="1" x14ac:dyDescent="0.25">
      <c r="B224" s="102"/>
      <c r="C224" s="102"/>
      <c r="D224" s="102"/>
      <c r="E224" s="102"/>
      <c r="F224" s="102"/>
    </row>
    <row r="225" spans="2:6" s="77" customFormat="1" x14ac:dyDescent="0.25">
      <c r="B225" s="102"/>
      <c r="C225" s="102"/>
      <c r="D225" s="102"/>
      <c r="E225" s="102"/>
      <c r="F225" s="102"/>
    </row>
    <row r="226" spans="2:6" s="77" customFormat="1" x14ac:dyDescent="0.25">
      <c r="B226" s="102"/>
      <c r="C226" s="102"/>
      <c r="D226" s="102"/>
      <c r="E226" s="102"/>
      <c r="F226" s="102"/>
    </row>
    <row r="227" spans="2:6" s="77" customFormat="1" x14ac:dyDescent="0.25">
      <c r="B227" s="102"/>
      <c r="C227" s="102"/>
      <c r="D227" s="102"/>
      <c r="E227" s="102"/>
      <c r="F227" s="102"/>
    </row>
    <row r="228" spans="2:6" s="77" customFormat="1" x14ac:dyDescent="0.25">
      <c r="B228" s="102"/>
      <c r="C228" s="102"/>
      <c r="D228" s="102"/>
      <c r="E228" s="102"/>
      <c r="F228" s="102"/>
    </row>
    <row r="229" spans="2:6" s="77" customFormat="1" x14ac:dyDescent="0.25">
      <c r="B229" s="102"/>
      <c r="C229" s="102"/>
      <c r="D229" s="102"/>
      <c r="E229" s="102"/>
      <c r="F229" s="102"/>
    </row>
    <row r="230" spans="2:6" s="77" customFormat="1" x14ac:dyDescent="0.25">
      <c r="B230" s="102"/>
      <c r="C230" s="102"/>
      <c r="D230" s="102"/>
      <c r="E230" s="102"/>
      <c r="F230" s="102"/>
    </row>
    <row r="231" spans="2:6" s="77" customFormat="1" x14ac:dyDescent="0.25">
      <c r="B231" s="102"/>
      <c r="C231" s="102"/>
      <c r="D231" s="102"/>
      <c r="E231" s="102"/>
      <c r="F231" s="102"/>
    </row>
    <row r="232" spans="2:6" s="77" customFormat="1" x14ac:dyDescent="0.25">
      <c r="B232" s="102"/>
      <c r="C232" s="102"/>
      <c r="D232" s="102"/>
      <c r="E232" s="102"/>
      <c r="F232" s="102"/>
    </row>
    <row r="233" spans="2:6" s="77" customFormat="1" x14ac:dyDescent="0.25">
      <c r="B233" s="102"/>
      <c r="C233" s="102"/>
      <c r="D233" s="102"/>
      <c r="E233" s="102"/>
      <c r="F233" s="102"/>
    </row>
    <row r="234" spans="2:6" s="77" customFormat="1" x14ac:dyDescent="0.25">
      <c r="B234" s="102"/>
      <c r="C234" s="102"/>
      <c r="D234" s="102"/>
      <c r="E234" s="102"/>
      <c r="F234" s="102"/>
    </row>
    <row r="235" spans="2:6" s="77" customFormat="1" x14ac:dyDescent="0.25">
      <c r="B235" s="102"/>
      <c r="C235" s="102"/>
      <c r="D235" s="102"/>
      <c r="E235" s="102"/>
      <c r="F235" s="102"/>
    </row>
    <row r="236" spans="2:6" s="77" customFormat="1" x14ac:dyDescent="0.25">
      <c r="B236" s="102"/>
      <c r="C236" s="102"/>
      <c r="D236" s="102"/>
      <c r="E236" s="102"/>
      <c r="F236" s="102"/>
    </row>
    <row r="237" spans="2:6" s="77" customFormat="1" x14ac:dyDescent="0.25">
      <c r="B237" s="102"/>
      <c r="C237" s="102"/>
      <c r="D237" s="102"/>
      <c r="E237" s="102"/>
      <c r="F237" s="102"/>
    </row>
    <row r="238" spans="2:6" s="77" customFormat="1" x14ac:dyDescent="0.25">
      <c r="B238" s="102"/>
      <c r="C238" s="102"/>
      <c r="D238" s="102"/>
      <c r="E238" s="102"/>
      <c r="F238" s="102"/>
    </row>
    <row r="239" spans="2:6" s="77" customFormat="1" x14ac:dyDescent="0.25">
      <c r="B239" s="102"/>
      <c r="C239" s="102"/>
      <c r="D239" s="102"/>
      <c r="E239" s="102"/>
      <c r="F239" s="102"/>
    </row>
    <row r="240" spans="2:6" s="77" customFormat="1" x14ac:dyDescent="0.25">
      <c r="B240" s="102"/>
      <c r="C240" s="102"/>
      <c r="D240" s="102"/>
      <c r="E240" s="102"/>
      <c r="F240" s="102"/>
    </row>
    <row r="241" spans="2:6" s="77" customFormat="1" x14ac:dyDescent="0.25">
      <c r="B241" s="102"/>
      <c r="C241" s="102"/>
      <c r="D241" s="102"/>
      <c r="E241" s="102"/>
      <c r="F241" s="102"/>
    </row>
    <row r="242" spans="2:6" s="77" customFormat="1" x14ac:dyDescent="0.25">
      <c r="B242" s="102"/>
      <c r="C242" s="102"/>
      <c r="D242" s="102"/>
      <c r="E242" s="102"/>
      <c r="F242" s="102"/>
    </row>
    <row r="243" spans="2:6" s="77" customFormat="1" x14ac:dyDescent="0.25">
      <c r="B243" s="102"/>
      <c r="C243" s="102"/>
      <c r="D243" s="102"/>
      <c r="E243" s="102"/>
      <c r="F243" s="102"/>
    </row>
    <row r="244" spans="2:6" s="77" customFormat="1" x14ac:dyDescent="0.25">
      <c r="B244" s="102"/>
      <c r="C244" s="102"/>
      <c r="D244" s="102"/>
      <c r="E244" s="102"/>
      <c r="F244" s="102"/>
    </row>
    <row r="245" spans="2:6" s="77" customFormat="1" x14ac:dyDescent="0.25">
      <c r="B245" s="102"/>
      <c r="C245" s="102"/>
      <c r="D245" s="102"/>
      <c r="E245" s="102"/>
      <c r="F245" s="102"/>
    </row>
    <row r="246" spans="2:6" s="77" customFormat="1" x14ac:dyDescent="0.25">
      <c r="B246" s="102"/>
      <c r="C246" s="102"/>
      <c r="D246" s="102"/>
      <c r="E246" s="102"/>
      <c r="F246" s="102"/>
    </row>
    <row r="247" spans="2:6" s="77" customFormat="1" x14ac:dyDescent="0.25">
      <c r="B247" s="102"/>
      <c r="C247" s="102"/>
      <c r="D247" s="102"/>
      <c r="E247" s="102"/>
      <c r="F247" s="102"/>
    </row>
    <row r="248" spans="2:6" s="77" customFormat="1" x14ac:dyDescent="0.25">
      <c r="B248" s="102"/>
      <c r="C248" s="102"/>
      <c r="D248" s="102"/>
      <c r="E248" s="102"/>
      <c r="F248" s="102"/>
    </row>
    <row r="249" spans="2:6" s="77" customFormat="1" x14ac:dyDescent="0.25">
      <c r="B249" s="102"/>
      <c r="C249" s="102"/>
      <c r="D249" s="102"/>
      <c r="E249" s="102"/>
      <c r="F249" s="102"/>
    </row>
    <row r="250" spans="2:6" s="77" customFormat="1" x14ac:dyDescent="0.25">
      <c r="B250" s="102"/>
      <c r="C250" s="102"/>
      <c r="D250" s="102"/>
      <c r="E250" s="102"/>
      <c r="F250" s="102"/>
    </row>
    <row r="251" spans="2:6" s="77" customFormat="1" x14ac:dyDescent="0.25">
      <c r="B251" s="102"/>
      <c r="C251" s="102"/>
      <c r="D251" s="102"/>
      <c r="E251" s="102"/>
      <c r="F251" s="102"/>
    </row>
    <row r="252" spans="2:6" s="77" customFormat="1" x14ac:dyDescent="0.25">
      <c r="B252" s="102"/>
      <c r="C252" s="102"/>
      <c r="D252" s="102"/>
      <c r="E252" s="102"/>
      <c r="F252" s="102"/>
    </row>
    <row r="253" spans="2:6" s="77" customFormat="1" x14ac:dyDescent="0.25">
      <c r="B253" s="102"/>
      <c r="C253" s="102"/>
      <c r="D253" s="102"/>
      <c r="E253" s="102"/>
      <c r="F253" s="102"/>
    </row>
    <row r="254" spans="2:6" s="77" customFormat="1" x14ac:dyDescent="0.25">
      <c r="B254" s="102"/>
      <c r="C254" s="102"/>
      <c r="D254" s="102"/>
      <c r="E254" s="102"/>
      <c r="F254" s="102"/>
    </row>
    <row r="255" spans="2:6" s="77" customFormat="1" x14ac:dyDescent="0.25">
      <c r="B255" s="102"/>
      <c r="C255" s="102"/>
      <c r="D255" s="102"/>
      <c r="E255" s="102"/>
      <c r="F255" s="102"/>
    </row>
    <row r="256" spans="2:6" s="77" customFormat="1" x14ac:dyDescent="0.25">
      <c r="B256" s="102"/>
      <c r="C256" s="102"/>
      <c r="D256" s="102"/>
      <c r="E256" s="102"/>
      <c r="F256" s="102"/>
    </row>
    <row r="257" spans="2:6" s="77" customFormat="1" x14ac:dyDescent="0.25">
      <c r="B257" s="102"/>
      <c r="C257" s="102"/>
      <c r="D257" s="102"/>
      <c r="E257" s="102"/>
      <c r="F257" s="102"/>
    </row>
    <row r="258" spans="2:6" s="77" customFormat="1" x14ac:dyDescent="0.25">
      <c r="B258" s="102"/>
      <c r="C258" s="102"/>
      <c r="D258" s="102"/>
      <c r="E258" s="102"/>
      <c r="F258" s="102"/>
    </row>
    <row r="259" spans="2:6" s="77" customFormat="1" x14ac:dyDescent="0.25">
      <c r="B259" s="102"/>
      <c r="C259" s="102"/>
      <c r="D259" s="102"/>
      <c r="E259" s="102"/>
      <c r="F259" s="102"/>
    </row>
    <row r="260" spans="2:6" s="77" customFormat="1" x14ac:dyDescent="0.25">
      <c r="B260" s="102"/>
      <c r="C260" s="102"/>
      <c r="D260" s="102"/>
      <c r="E260" s="102"/>
      <c r="F260" s="102"/>
    </row>
    <row r="261" spans="2:6" s="77" customFormat="1" x14ac:dyDescent="0.25">
      <c r="B261" s="102"/>
      <c r="C261" s="102"/>
      <c r="D261" s="102"/>
      <c r="E261" s="102"/>
      <c r="F261" s="102"/>
    </row>
    <row r="262" spans="2:6" s="77" customFormat="1" x14ac:dyDescent="0.25">
      <c r="B262" s="102"/>
      <c r="C262" s="102"/>
      <c r="D262" s="102"/>
      <c r="E262" s="102"/>
      <c r="F262" s="102"/>
    </row>
    <row r="263" spans="2:6" s="77" customFormat="1" x14ac:dyDescent="0.25">
      <c r="B263" s="102"/>
      <c r="C263" s="102"/>
      <c r="D263" s="102"/>
      <c r="E263" s="102"/>
      <c r="F263" s="102"/>
    </row>
    <row r="264" spans="2:6" s="77" customFormat="1" x14ac:dyDescent="0.25">
      <c r="B264" s="102"/>
      <c r="C264" s="102"/>
      <c r="D264" s="102"/>
      <c r="E264" s="102"/>
      <c r="F264" s="102"/>
    </row>
    <row r="265" spans="2:6" s="77" customFormat="1" x14ac:dyDescent="0.25">
      <c r="B265" s="102"/>
      <c r="C265" s="102"/>
      <c r="D265" s="102"/>
      <c r="E265" s="102"/>
      <c r="F265" s="102"/>
    </row>
    <row r="266" spans="2:6" s="77" customFormat="1" x14ac:dyDescent="0.25">
      <c r="B266" s="102"/>
      <c r="C266" s="102"/>
      <c r="D266" s="102"/>
      <c r="E266" s="102"/>
      <c r="F266" s="102"/>
    </row>
    <row r="267" spans="2:6" s="77" customFormat="1" x14ac:dyDescent="0.25">
      <c r="B267" s="102"/>
      <c r="C267" s="102"/>
      <c r="D267" s="102"/>
      <c r="E267" s="102"/>
      <c r="F267" s="102"/>
    </row>
    <row r="268" spans="2:6" s="77" customFormat="1" x14ac:dyDescent="0.25">
      <c r="B268" s="102"/>
      <c r="C268" s="102"/>
      <c r="D268" s="102"/>
      <c r="E268" s="102"/>
      <c r="F268" s="102"/>
    </row>
    <row r="269" spans="2:6" s="77" customFormat="1" x14ac:dyDescent="0.25">
      <c r="B269" s="102"/>
      <c r="C269" s="102"/>
      <c r="D269" s="102"/>
      <c r="E269" s="102"/>
      <c r="F269" s="102"/>
    </row>
    <row r="270" spans="2:6" s="77" customFormat="1" x14ac:dyDescent="0.25">
      <c r="B270" s="102"/>
      <c r="C270" s="102"/>
      <c r="D270" s="102"/>
      <c r="E270" s="102"/>
      <c r="F270" s="102"/>
    </row>
    <row r="271" spans="2:6" s="77" customFormat="1" x14ac:dyDescent="0.25">
      <c r="B271" s="102"/>
      <c r="C271" s="102"/>
      <c r="D271" s="102"/>
      <c r="E271" s="102"/>
      <c r="F271" s="102"/>
    </row>
    <row r="272" spans="2:6" s="77" customFormat="1" x14ac:dyDescent="0.25">
      <c r="B272" s="102"/>
      <c r="C272" s="102"/>
      <c r="D272" s="102"/>
      <c r="E272" s="102"/>
      <c r="F272" s="102"/>
    </row>
    <row r="273" spans="2:6" s="77" customFormat="1" x14ac:dyDescent="0.25">
      <c r="B273" s="102"/>
      <c r="C273" s="102"/>
      <c r="D273" s="102"/>
      <c r="E273" s="102"/>
      <c r="F273" s="102"/>
    </row>
    <row r="274" spans="2:6" s="77" customFormat="1" x14ac:dyDescent="0.25">
      <c r="B274" s="102"/>
      <c r="C274" s="102"/>
      <c r="D274" s="102"/>
      <c r="E274" s="102"/>
      <c r="F274" s="102"/>
    </row>
    <row r="275" spans="2:6" s="77" customFormat="1" x14ac:dyDescent="0.25">
      <c r="B275" s="102"/>
      <c r="C275" s="102"/>
      <c r="D275" s="102"/>
      <c r="E275" s="102"/>
      <c r="F275" s="102"/>
    </row>
    <row r="276" spans="2:6" s="77" customFormat="1" x14ac:dyDescent="0.25">
      <c r="B276" s="102"/>
      <c r="C276" s="102"/>
      <c r="D276" s="102"/>
      <c r="E276" s="102"/>
      <c r="F276" s="102"/>
    </row>
    <row r="277" spans="2:6" s="77" customFormat="1" x14ac:dyDescent="0.25">
      <c r="B277" s="102"/>
      <c r="C277" s="102"/>
      <c r="D277" s="102"/>
      <c r="E277" s="102"/>
      <c r="F277" s="102"/>
    </row>
    <row r="278" spans="2:6" s="77" customFormat="1" x14ac:dyDescent="0.25">
      <c r="B278" s="102"/>
      <c r="C278" s="102"/>
      <c r="D278" s="102"/>
      <c r="E278" s="102"/>
      <c r="F278" s="102"/>
    </row>
    <row r="279" spans="2:6" s="77" customFormat="1" x14ac:dyDescent="0.25">
      <c r="B279" s="102"/>
      <c r="C279" s="102"/>
      <c r="D279" s="102"/>
      <c r="E279" s="102"/>
      <c r="F279" s="102"/>
    </row>
    <row r="280" spans="2:6" s="77" customFormat="1" x14ac:dyDescent="0.25">
      <c r="B280" s="102"/>
      <c r="C280" s="102"/>
      <c r="D280" s="102"/>
      <c r="E280" s="102"/>
      <c r="F280" s="102"/>
    </row>
    <row r="281" spans="2:6" s="77" customFormat="1" x14ac:dyDescent="0.25">
      <c r="B281" s="102"/>
      <c r="C281" s="102"/>
      <c r="D281" s="102"/>
      <c r="E281" s="102"/>
      <c r="F281" s="102"/>
    </row>
    <row r="282" spans="2:6" s="77" customFormat="1" x14ac:dyDescent="0.25">
      <c r="B282" s="102"/>
      <c r="C282" s="102"/>
      <c r="D282" s="102"/>
      <c r="E282" s="102"/>
      <c r="F282" s="102"/>
    </row>
    <row r="283" spans="2:6" s="77" customFormat="1" x14ac:dyDescent="0.25">
      <c r="B283" s="102"/>
      <c r="C283" s="102"/>
      <c r="D283" s="102"/>
      <c r="E283" s="102"/>
      <c r="F283" s="102"/>
    </row>
    <row r="284" spans="2:6" s="77" customFormat="1" x14ac:dyDescent="0.25">
      <c r="B284" s="102"/>
      <c r="C284" s="102"/>
      <c r="D284" s="102"/>
      <c r="E284" s="102"/>
      <c r="F284" s="102"/>
    </row>
    <row r="285" spans="2:6" s="77" customFormat="1" x14ac:dyDescent="0.25">
      <c r="B285" s="102"/>
      <c r="C285" s="102"/>
      <c r="D285" s="102"/>
      <c r="E285" s="102"/>
      <c r="F285" s="102"/>
    </row>
    <row r="286" spans="2:6" s="77" customFormat="1" x14ac:dyDescent="0.25">
      <c r="B286" s="102"/>
      <c r="C286" s="102"/>
      <c r="D286" s="102"/>
      <c r="E286" s="102"/>
      <c r="F286" s="102"/>
    </row>
    <row r="287" spans="2:6" s="77" customFormat="1" x14ac:dyDescent="0.25">
      <c r="B287" s="102"/>
      <c r="C287" s="102"/>
      <c r="D287" s="102"/>
      <c r="E287" s="102"/>
      <c r="F287" s="102"/>
    </row>
    <row r="288" spans="2:6" s="77" customFormat="1" x14ac:dyDescent="0.25">
      <c r="B288" s="102"/>
      <c r="C288" s="102"/>
      <c r="D288" s="102"/>
      <c r="E288" s="102"/>
      <c r="F288" s="102"/>
    </row>
    <row r="289" spans="2:6" s="77" customFormat="1" x14ac:dyDescent="0.25">
      <c r="B289" s="102"/>
      <c r="C289" s="102"/>
      <c r="D289" s="102"/>
      <c r="E289" s="102"/>
      <c r="F289" s="102"/>
    </row>
    <row r="290" spans="2:6" s="77" customFormat="1" x14ac:dyDescent="0.25">
      <c r="B290" s="102"/>
      <c r="C290" s="102"/>
      <c r="D290" s="102"/>
      <c r="E290" s="102"/>
      <c r="F290" s="102"/>
    </row>
    <row r="291" spans="2:6" s="77" customFormat="1" x14ac:dyDescent="0.25">
      <c r="B291" s="102"/>
      <c r="C291" s="102"/>
      <c r="D291" s="102"/>
      <c r="E291" s="102"/>
      <c r="F291" s="102"/>
    </row>
    <row r="292" spans="2:6" s="77" customFormat="1" x14ac:dyDescent="0.25">
      <c r="B292" s="102"/>
      <c r="C292" s="102"/>
      <c r="D292" s="102"/>
      <c r="E292" s="102"/>
      <c r="F292" s="102"/>
    </row>
    <row r="293" spans="2:6" s="77" customFormat="1" x14ac:dyDescent="0.25">
      <c r="B293" s="102"/>
      <c r="C293" s="102"/>
      <c r="D293" s="102"/>
      <c r="E293" s="102"/>
      <c r="F293" s="102"/>
    </row>
    <row r="294" spans="2:6" s="77" customFormat="1" x14ac:dyDescent="0.25">
      <c r="B294" s="102"/>
      <c r="C294" s="102"/>
      <c r="D294" s="102"/>
      <c r="E294" s="102"/>
      <c r="F294" s="102"/>
    </row>
    <row r="295" spans="2:6" s="77" customFormat="1" x14ac:dyDescent="0.25">
      <c r="B295" s="102"/>
      <c r="C295" s="102"/>
      <c r="D295" s="102"/>
      <c r="E295" s="102"/>
      <c r="F295" s="102"/>
    </row>
    <row r="296" spans="2:6" s="77" customFormat="1" x14ac:dyDescent="0.25">
      <c r="B296" s="102"/>
      <c r="C296" s="102"/>
      <c r="D296" s="102"/>
      <c r="E296" s="102"/>
      <c r="F296" s="102"/>
    </row>
    <row r="297" spans="2:6" s="77" customFormat="1" x14ac:dyDescent="0.25">
      <c r="B297" s="102"/>
      <c r="C297" s="102"/>
      <c r="D297" s="102"/>
      <c r="E297" s="102"/>
      <c r="F297" s="102"/>
    </row>
    <row r="298" spans="2:6" s="77" customFormat="1" x14ac:dyDescent="0.25">
      <c r="B298" s="102"/>
      <c r="C298" s="102"/>
      <c r="D298" s="102"/>
      <c r="E298" s="102"/>
      <c r="F298" s="102"/>
    </row>
    <row r="299" spans="2:6" s="77" customFormat="1" x14ac:dyDescent="0.25">
      <c r="B299" s="102"/>
      <c r="C299" s="102"/>
      <c r="D299" s="102"/>
      <c r="E299" s="102"/>
      <c r="F299" s="102"/>
    </row>
    <row r="300" spans="2:6" s="77" customFormat="1" x14ac:dyDescent="0.25">
      <c r="B300" s="102"/>
      <c r="C300" s="102"/>
      <c r="D300" s="102"/>
      <c r="E300" s="102"/>
      <c r="F300" s="102"/>
    </row>
    <row r="301" spans="2:6" s="77" customFormat="1" x14ac:dyDescent="0.25">
      <c r="B301" s="102"/>
      <c r="C301" s="102"/>
      <c r="D301" s="102"/>
      <c r="E301" s="102"/>
      <c r="F301" s="102"/>
    </row>
    <row r="302" spans="2:6" s="77" customFormat="1" x14ac:dyDescent="0.25">
      <c r="B302" s="102"/>
      <c r="C302" s="102"/>
      <c r="D302" s="102"/>
      <c r="E302" s="102"/>
      <c r="F302" s="102"/>
    </row>
    <row r="303" spans="2:6" s="77" customFormat="1" x14ac:dyDescent="0.25">
      <c r="B303" s="102"/>
      <c r="C303" s="102"/>
      <c r="D303" s="102"/>
      <c r="E303" s="102"/>
      <c r="F303" s="102"/>
    </row>
    <row r="304" spans="2:6" s="77" customFormat="1" x14ac:dyDescent="0.25">
      <c r="B304" s="102"/>
      <c r="C304" s="102"/>
      <c r="D304" s="102"/>
      <c r="E304" s="102"/>
      <c r="F304" s="102"/>
    </row>
    <row r="305" spans="2:6" s="77" customFormat="1" x14ac:dyDescent="0.25">
      <c r="B305" s="102"/>
      <c r="C305" s="102"/>
      <c r="D305" s="102"/>
      <c r="E305" s="102"/>
      <c r="F305" s="102"/>
    </row>
    <row r="306" spans="2:6" s="77" customFormat="1" x14ac:dyDescent="0.25">
      <c r="B306" s="102"/>
      <c r="C306" s="102"/>
      <c r="D306" s="102"/>
      <c r="E306" s="102"/>
      <c r="F306" s="102"/>
    </row>
    <row r="307" spans="2:6" s="77" customFormat="1" x14ac:dyDescent="0.25">
      <c r="B307" s="102"/>
      <c r="C307" s="102"/>
      <c r="D307" s="102"/>
      <c r="E307" s="102"/>
      <c r="F307" s="102"/>
    </row>
    <row r="308" spans="2:6" s="77" customFormat="1" x14ac:dyDescent="0.25">
      <c r="B308" s="102"/>
      <c r="C308" s="102"/>
      <c r="D308" s="102"/>
      <c r="E308" s="102"/>
      <c r="F308" s="102"/>
    </row>
    <row r="309" spans="2:6" s="77" customFormat="1" x14ac:dyDescent="0.25">
      <c r="B309" s="102"/>
      <c r="C309" s="102"/>
      <c r="D309" s="102"/>
      <c r="E309" s="102"/>
      <c r="F309" s="102"/>
    </row>
    <row r="310" spans="2:6" s="77" customFormat="1" x14ac:dyDescent="0.25">
      <c r="B310" s="102"/>
      <c r="C310" s="102"/>
      <c r="D310" s="102"/>
      <c r="E310" s="102"/>
      <c r="F310" s="102"/>
    </row>
    <row r="311" spans="2:6" s="77" customFormat="1" x14ac:dyDescent="0.25">
      <c r="B311" s="102"/>
      <c r="C311" s="102"/>
      <c r="D311" s="102"/>
      <c r="E311" s="102"/>
      <c r="F311" s="102"/>
    </row>
    <row r="312" spans="2:6" s="77" customFormat="1" x14ac:dyDescent="0.25">
      <c r="B312" s="102"/>
      <c r="C312" s="102"/>
      <c r="D312" s="102"/>
      <c r="E312" s="102"/>
      <c r="F312" s="102"/>
    </row>
    <row r="313" spans="2:6" s="77" customFormat="1" x14ac:dyDescent="0.25">
      <c r="B313" s="102"/>
      <c r="C313" s="102"/>
      <c r="D313" s="102"/>
      <c r="E313" s="102"/>
      <c r="F313" s="102"/>
    </row>
    <row r="314" spans="2:6" s="77" customFormat="1" x14ac:dyDescent="0.25">
      <c r="B314" s="102"/>
      <c r="C314" s="102"/>
      <c r="D314" s="102"/>
      <c r="E314" s="102"/>
      <c r="F314" s="102"/>
    </row>
    <row r="315" spans="2:6" s="77" customFormat="1" x14ac:dyDescent="0.25">
      <c r="B315" s="102"/>
      <c r="C315" s="102"/>
      <c r="D315" s="102"/>
      <c r="E315" s="102"/>
      <c r="F315" s="102"/>
    </row>
    <row r="316" spans="2:6" s="77" customFormat="1" x14ac:dyDescent="0.25">
      <c r="B316" s="102"/>
      <c r="C316" s="102"/>
      <c r="D316" s="102"/>
      <c r="E316" s="102"/>
      <c r="F316" s="102"/>
    </row>
    <row r="317" spans="2:6" s="77" customFormat="1" x14ac:dyDescent="0.25">
      <c r="B317" s="102"/>
      <c r="C317" s="102"/>
      <c r="D317" s="102"/>
      <c r="E317" s="102"/>
      <c r="F317" s="102"/>
    </row>
    <row r="318" spans="2:6" s="77" customFormat="1" x14ac:dyDescent="0.25">
      <c r="B318" s="102"/>
      <c r="C318" s="102"/>
      <c r="D318" s="102"/>
      <c r="E318" s="102"/>
      <c r="F318" s="102"/>
    </row>
    <row r="319" spans="2:6" s="77" customFormat="1" x14ac:dyDescent="0.25">
      <c r="B319" s="102"/>
      <c r="C319" s="102"/>
      <c r="D319" s="102"/>
      <c r="E319" s="102"/>
      <c r="F319" s="102"/>
    </row>
    <row r="320" spans="2:6" s="77" customFormat="1" x14ac:dyDescent="0.25">
      <c r="B320" s="102"/>
      <c r="C320" s="102"/>
      <c r="D320" s="102"/>
      <c r="E320" s="102"/>
      <c r="F320" s="102"/>
    </row>
    <row r="321" spans="2:6" s="77" customFormat="1" x14ac:dyDescent="0.25">
      <c r="B321" s="102"/>
      <c r="C321" s="102"/>
      <c r="D321" s="102"/>
      <c r="E321" s="102"/>
      <c r="F321" s="102"/>
    </row>
    <row r="322" spans="2:6" s="77" customFormat="1" x14ac:dyDescent="0.25">
      <c r="B322" s="102"/>
      <c r="C322" s="102"/>
      <c r="D322" s="102"/>
      <c r="E322" s="102"/>
      <c r="F322" s="102"/>
    </row>
    <row r="323" spans="2:6" s="77" customFormat="1" x14ac:dyDescent="0.25">
      <c r="B323" s="102"/>
      <c r="C323" s="102"/>
      <c r="D323" s="102"/>
      <c r="E323" s="102"/>
      <c r="F323" s="102"/>
    </row>
    <row r="324" spans="2:6" s="77" customFormat="1" x14ac:dyDescent="0.25">
      <c r="B324" s="102"/>
      <c r="C324" s="102"/>
      <c r="D324" s="102"/>
      <c r="E324" s="102"/>
      <c r="F324" s="102"/>
    </row>
    <row r="325" spans="2:6" s="77" customFormat="1" x14ac:dyDescent="0.25">
      <c r="B325" s="102"/>
      <c r="C325" s="102"/>
      <c r="D325" s="102"/>
      <c r="E325" s="102"/>
      <c r="F325" s="102"/>
    </row>
    <row r="326" spans="2:6" s="77" customFormat="1" x14ac:dyDescent="0.25">
      <c r="B326" s="102"/>
      <c r="C326" s="102"/>
      <c r="D326" s="102"/>
      <c r="E326" s="102"/>
      <c r="F326" s="102"/>
    </row>
    <row r="327" spans="2:6" s="77" customFormat="1" x14ac:dyDescent="0.25">
      <c r="B327" s="102"/>
      <c r="C327" s="102"/>
      <c r="D327" s="102"/>
      <c r="E327" s="102"/>
      <c r="F327" s="102"/>
    </row>
    <row r="328" spans="2:6" s="77" customFormat="1" x14ac:dyDescent="0.25">
      <c r="B328" s="102"/>
      <c r="C328" s="102"/>
      <c r="D328" s="102"/>
      <c r="E328" s="102"/>
      <c r="F328" s="102"/>
    </row>
    <row r="329" spans="2:6" s="77" customFormat="1" x14ac:dyDescent="0.25">
      <c r="B329" s="102"/>
      <c r="C329" s="102"/>
      <c r="D329" s="102"/>
      <c r="E329" s="102"/>
      <c r="F329" s="102"/>
    </row>
    <row r="330" spans="2:6" s="77" customFormat="1" x14ac:dyDescent="0.25">
      <c r="B330" s="102"/>
      <c r="C330" s="102"/>
      <c r="D330" s="102"/>
      <c r="E330" s="102"/>
      <c r="F330" s="102"/>
    </row>
    <row r="331" spans="2:6" s="77" customFormat="1" x14ac:dyDescent="0.25">
      <c r="B331" s="102"/>
      <c r="C331" s="102"/>
      <c r="D331" s="102"/>
      <c r="E331" s="102"/>
      <c r="F331" s="102"/>
    </row>
    <row r="332" spans="2:6" s="77" customFormat="1" x14ac:dyDescent="0.25">
      <c r="B332" s="102"/>
      <c r="C332" s="102"/>
      <c r="D332" s="102"/>
      <c r="E332" s="102"/>
      <c r="F332" s="102"/>
    </row>
    <row r="333" spans="2:6" s="77" customFormat="1" x14ac:dyDescent="0.25">
      <c r="B333" s="102"/>
      <c r="C333" s="102"/>
      <c r="D333" s="102"/>
      <c r="E333" s="102"/>
      <c r="F333" s="102"/>
    </row>
    <row r="334" spans="2:6" s="77" customFormat="1" x14ac:dyDescent="0.25">
      <c r="B334" s="102"/>
      <c r="C334" s="102"/>
      <c r="D334" s="102"/>
      <c r="E334" s="102"/>
      <c r="F334" s="102"/>
    </row>
    <row r="335" spans="2:6" s="77" customFormat="1" x14ac:dyDescent="0.25">
      <c r="B335" s="102"/>
      <c r="C335" s="102"/>
      <c r="D335" s="102"/>
      <c r="E335" s="102"/>
      <c r="F335" s="102"/>
    </row>
    <row r="336" spans="2:6" s="77" customFormat="1" x14ac:dyDescent="0.25">
      <c r="B336" s="102"/>
      <c r="C336" s="102"/>
      <c r="D336" s="102"/>
      <c r="E336" s="102"/>
      <c r="F336" s="102"/>
    </row>
    <row r="337" spans="2:6" s="77" customFormat="1" x14ac:dyDescent="0.25">
      <c r="B337" s="102"/>
      <c r="C337" s="102"/>
      <c r="D337" s="102"/>
      <c r="E337" s="102"/>
      <c r="F337" s="102"/>
    </row>
    <row r="338" spans="2:6" s="77" customFormat="1" x14ac:dyDescent="0.25">
      <c r="B338" s="102"/>
      <c r="C338" s="102"/>
      <c r="D338" s="102"/>
      <c r="E338" s="102"/>
      <c r="F338" s="102"/>
    </row>
    <row r="339" spans="2:6" s="77" customFormat="1" x14ac:dyDescent="0.25">
      <c r="B339" s="102"/>
      <c r="C339" s="102"/>
      <c r="D339" s="102"/>
      <c r="E339" s="102"/>
      <c r="F339" s="102"/>
    </row>
    <row r="340" spans="2:6" s="77" customFormat="1" x14ac:dyDescent="0.25">
      <c r="B340" s="102"/>
      <c r="C340" s="102"/>
      <c r="D340" s="102"/>
      <c r="E340" s="102"/>
      <c r="F340" s="102"/>
    </row>
    <row r="341" spans="2:6" s="77" customFormat="1" x14ac:dyDescent="0.25">
      <c r="B341" s="102"/>
      <c r="C341" s="102"/>
      <c r="D341" s="102"/>
      <c r="E341" s="102"/>
      <c r="F341" s="102"/>
    </row>
    <row r="342" spans="2:6" s="77" customFormat="1" x14ac:dyDescent="0.25">
      <c r="B342" s="102"/>
      <c r="C342" s="102"/>
      <c r="D342" s="102"/>
      <c r="E342" s="102"/>
      <c r="F342" s="102"/>
    </row>
    <row r="343" spans="2:6" s="77" customFormat="1" x14ac:dyDescent="0.25">
      <c r="B343" s="102"/>
      <c r="C343" s="102"/>
      <c r="D343" s="102"/>
      <c r="E343" s="102"/>
      <c r="F343" s="102"/>
    </row>
    <row r="344" spans="2:6" s="77" customFormat="1" x14ac:dyDescent="0.25">
      <c r="B344" s="102"/>
      <c r="C344" s="102"/>
      <c r="D344" s="102"/>
      <c r="E344" s="102"/>
      <c r="F344" s="102"/>
    </row>
    <row r="345" spans="2:6" s="77" customFormat="1" x14ac:dyDescent="0.25">
      <c r="B345" s="102"/>
      <c r="C345" s="102"/>
      <c r="D345" s="102"/>
      <c r="E345" s="102"/>
      <c r="F345" s="102"/>
    </row>
    <row r="346" spans="2:6" s="77" customFormat="1" x14ac:dyDescent="0.25">
      <c r="B346" s="102"/>
      <c r="C346" s="102"/>
      <c r="D346" s="102"/>
      <c r="E346" s="102"/>
      <c r="F346" s="102"/>
    </row>
    <row r="347" spans="2:6" s="77" customFormat="1" x14ac:dyDescent="0.25">
      <c r="B347" s="102"/>
      <c r="C347" s="102"/>
      <c r="D347" s="102"/>
      <c r="E347" s="102"/>
      <c r="F347" s="102"/>
    </row>
    <row r="348" spans="2:6" s="77" customFormat="1" x14ac:dyDescent="0.25">
      <c r="B348" s="102"/>
      <c r="C348" s="102"/>
      <c r="D348" s="102"/>
      <c r="E348" s="102"/>
      <c r="F348" s="102"/>
    </row>
    <row r="349" spans="2:6" s="77" customFormat="1" x14ac:dyDescent="0.25">
      <c r="B349" s="102"/>
      <c r="C349" s="102"/>
      <c r="D349" s="102"/>
      <c r="E349" s="102"/>
      <c r="F349" s="102"/>
    </row>
    <row r="350" spans="2:6" s="77" customFormat="1" x14ac:dyDescent="0.25">
      <c r="B350" s="102"/>
      <c r="C350" s="102"/>
      <c r="D350" s="102"/>
      <c r="E350" s="102"/>
      <c r="F350" s="102"/>
    </row>
    <row r="351" spans="2:6" s="77" customFormat="1" x14ac:dyDescent="0.25">
      <c r="B351" s="102"/>
      <c r="C351" s="102"/>
      <c r="D351" s="102"/>
      <c r="E351" s="102"/>
      <c r="F351" s="102"/>
    </row>
    <row r="352" spans="2:6" s="77" customFormat="1" x14ac:dyDescent="0.25">
      <c r="B352" s="102"/>
      <c r="C352" s="102"/>
      <c r="D352" s="102"/>
      <c r="E352" s="102"/>
      <c r="F352" s="102"/>
    </row>
    <row r="353" spans="2:6" s="77" customFormat="1" x14ac:dyDescent="0.25">
      <c r="B353" s="102"/>
      <c r="C353" s="102"/>
      <c r="D353" s="102"/>
      <c r="E353" s="102"/>
      <c r="F353" s="102"/>
    </row>
    <row r="354" spans="2:6" s="77" customFormat="1" x14ac:dyDescent="0.25">
      <c r="B354" s="102"/>
      <c r="C354" s="102"/>
      <c r="D354" s="102"/>
      <c r="E354" s="102"/>
      <c r="F354" s="102"/>
    </row>
    <row r="355" spans="2:6" s="77" customFormat="1" x14ac:dyDescent="0.25">
      <c r="B355" s="102"/>
      <c r="C355" s="102"/>
      <c r="D355" s="102"/>
      <c r="E355" s="102"/>
      <c r="F355" s="102"/>
    </row>
    <row r="356" spans="2:6" s="77" customFormat="1" x14ac:dyDescent="0.25">
      <c r="B356" s="102"/>
      <c r="C356" s="102"/>
      <c r="D356" s="102"/>
      <c r="E356" s="102"/>
      <c r="F356" s="102"/>
    </row>
    <row r="357" spans="2:6" s="77" customFormat="1" x14ac:dyDescent="0.25">
      <c r="B357" s="102"/>
      <c r="C357" s="102"/>
      <c r="D357" s="102"/>
      <c r="E357" s="102"/>
      <c r="F357" s="102"/>
    </row>
    <row r="358" spans="2:6" s="77" customFormat="1" x14ac:dyDescent="0.25">
      <c r="B358" s="102"/>
      <c r="C358" s="102"/>
      <c r="D358" s="102"/>
      <c r="E358" s="102"/>
      <c r="F358" s="102"/>
    </row>
    <row r="359" spans="2:6" s="77" customFormat="1" x14ac:dyDescent="0.25">
      <c r="B359" s="102"/>
      <c r="C359" s="102"/>
      <c r="D359" s="102"/>
      <c r="E359" s="102"/>
      <c r="F359" s="102"/>
    </row>
    <row r="360" spans="2:6" s="77" customFormat="1" x14ac:dyDescent="0.25">
      <c r="B360" s="102"/>
      <c r="C360" s="102"/>
      <c r="D360" s="102"/>
      <c r="E360" s="102"/>
      <c r="F360" s="102"/>
    </row>
    <row r="361" spans="2:6" s="77" customFormat="1" x14ac:dyDescent="0.25">
      <c r="B361" s="102"/>
      <c r="C361" s="102"/>
      <c r="D361" s="102"/>
      <c r="E361" s="102"/>
      <c r="F361" s="102"/>
    </row>
    <row r="362" spans="2:6" s="77" customFormat="1" x14ac:dyDescent="0.25">
      <c r="B362" s="102"/>
      <c r="C362" s="102"/>
      <c r="D362" s="102"/>
      <c r="E362" s="102"/>
      <c r="F362" s="102"/>
    </row>
    <row r="363" spans="2:6" s="77" customFormat="1" x14ac:dyDescent="0.25">
      <c r="B363" s="102"/>
      <c r="C363" s="102"/>
      <c r="D363" s="102"/>
      <c r="E363" s="102"/>
      <c r="F363" s="102"/>
    </row>
    <row r="364" spans="2:6" s="77" customFormat="1" x14ac:dyDescent="0.25">
      <c r="B364" s="102"/>
      <c r="C364" s="102"/>
      <c r="D364" s="102"/>
      <c r="E364" s="102"/>
      <c r="F364" s="102"/>
    </row>
    <row r="365" spans="2:6" s="77" customFormat="1" x14ac:dyDescent="0.25">
      <c r="B365" s="102"/>
      <c r="C365" s="102"/>
      <c r="D365" s="102"/>
      <c r="E365" s="102"/>
      <c r="F365" s="102"/>
    </row>
    <row r="366" spans="2:6" s="77" customFormat="1" x14ac:dyDescent="0.25">
      <c r="B366" s="102"/>
      <c r="C366" s="102"/>
      <c r="D366" s="102"/>
      <c r="E366" s="102"/>
      <c r="F366" s="102"/>
    </row>
    <row r="367" spans="2:6" s="77" customFormat="1" x14ac:dyDescent="0.25">
      <c r="B367" s="102"/>
      <c r="C367" s="102"/>
      <c r="D367" s="102"/>
      <c r="E367" s="102"/>
      <c r="F367" s="102"/>
    </row>
    <row r="368" spans="2:6" s="77" customFormat="1" x14ac:dyDescent="0.25">
      <c r="B368" s="102"/>
      <c r="C368" s="102"/>
      <c r="D368" s="102"/>
      <c r="E368" s="102"/>
      <c r="F368" s="102"/>
    </row>
    <row r="369" spans="2:6" s="77" customFormat="1" x14ac:dyDescent="0.25">
      <c r="B369" s="102"/>
      <c r="C369" s="102"/>
      <c r="D369" s="102"/>
      <c r="E369" s="102"/>
      <c r="F369" s="102"/>
    </row>
    <row r="370" spans="2:6" s="77" customFormat="1" x14ac:dyDescent="0.25">
      <c r="B370" s="102"/>
      <c r="C370" s="102"/>
      <c r="D370" s="102"/>
      <c r="E370" s="102"/>
      <c r="F370" s="102"/>
    </row>
    <row r="371" spans="2:6" s="77" customFormat="1" x14ac:dyDescent="0.25">
      <c r="B371" s="102"/>
      <c r="C371" s="102"/>
      <c r="D371" s="102"/>
      <c r="E371" s="102"/>
      <c r="F371" s="102"/>
    </row>
    <row r="372" spans="2:6" s="77" customFormat="1" x14ac:dyDescent="0.25">
      <c r="B372" s="102"/>
      <c r="C372" s="102"/>
      <c r="D372" s="102"/>
      <c r="E372" s="102"/>
      <c r="F372" s="102"/>
    </row>
    <row r="373" spans="2:6" s="77" customFormat="1" x14ac:dyDescent="0.25">
      <c r="B373" s="102"/>
      <c r="C373" s="102"/>
      <c r="D373" s="102"/>
      <c r="E373" s="102"/>
      <c r="F373" s="102"/>
    </row>
    <row r="374" spans="2:6" s="77" customFormat="1" x14ac:dyDescent="0.25">
      <c r="B374" s="102"/>
      <c r="C374" s="102"/>
      <c r="D374" s="102"/>
      <c r="E374" s="102"/>
      <c r="F374" s="102"/>
    </row>
    <row r="375" spans="2:6" s="77" customFormat="1" x14ac:dyDescent="0.25">
      <c r="B375" s="102"/>
      <c r="C375" s="102"/>
      <c r="D375" s="102"/>
      <c r="E375" s="102"/>
      <c r="F375" s="102"/>
    </row>
    <row r="376" spans="2:6" s="77" customFormat="1" x14ac:dyDescent="0.25">
      <c r="B376" s="102"/>
      <c r="C376" s="102"/>
      <c r="D376" s="102"/>
      <c r="E376" s="102"/>
      <c r="F376" s="102"/>
    </row>
    <row r="377" spans="2:6" s="77" customFormat="1" x14ac:dyDescent="0.25">
      <c r="B377" s="102"/>
      <c r="C377" s="102"/>
      <c r="D377" s="102"/>
      <c r="E377" s="102"/>
      <c r="F377" s="102"/>
    </row>
    <row r="378" spans="2:6" s="77" customFormat="1" x14ac:dyDescent="0.25">
      <c r="B378" s="102"/>
      <c r="C378" s="102"/>
      <c r="D378" s="102"/>
      <c r="E378" s="102"/>
      <c r="F378" s="102"/>
    </row>
    <row r="379" spans="2:6" s="77" customFormat="1" x14ac:dyDescent="0.25">
      <c r="B379" s="102"/>
      <c r="C379" s="102"/>
      <c r="D379" s="102"/>
      <c r="E379" s="102"/>
      <c r="F379" s="102"/>
    </row>
    <row r="380" spans="2:6" s="77" customFormat="1" x14ac:dyDescent="0.25">
      <c r="B380" s="102"/>
      <c r="C380" s="102"/>
      <c r="D380" s="102"/>
      <c r="E380" s="102"/>
      <c r="F380" s="102"/>
    </row>
    <row r="381" spans="2:6" s="77" customFormat="1" x14ac:dyDescent="0.25">
      <c r="B381" s="102"/>
      <c r="C381" s="102"/>
      <c r="D381" s="102"/>
      <c r="E381" s="102"/>
      <c r="F381" s="102"/>
    </row>
    <row r="382" spans="2:6" s="77" customFormat="1" x14ac:dyDescent="0.25">
      <c r="B382" s="102"/>
      <c r="C382" s="102"/>
      <c r="D382" s="102"/>
      <c r="E382" s="102"/>
      <c r="F382" s="102"/>
    </row>
    <row r="383" spans="2:6" s="77" customFormat="1" x14ac:dyDescent="0.25">
      <c r="B383" s="102"/>
      <c r="C383" s="102"/>
      <c r="D383" s="102"/>
      <c r="E383" s="102"/>
      <c r="F383" s="102"/>
    </row>
    <row r="384" spans="2:6" s="77" customFormat="1" x14ac:dyDescent="0.25">
      <c r="B384" s="102"/>
      <c r="C384" s="102"/>
      <c r="D384" s="102"/>
      <c r="E384" s="102"/>
      <c r="F384" s="102"/>
    </row>
    <row r="385" spans="2:6" s="77" customFormat="1" x14ac:dyDescent="0.25">
      <c r="B385" s="102"/>
      <c r="C385" s="102"/>
      <c r="D385" s="102"/>
      <c r="E385" s="102"/>
      <c r="F385" s="102"/>
    </row>
    <row r="386" spans="2:6" s="77" customFormat="1" x14ac:dyDescent="0.25">
      <c r="B386" s="102"/>
      <c r="C386" s="102"/>
      <c r="D386" s="102"/>
      <c r="E386" s="102"/>
      <c r="F386" s="102"/>
    </row>
    <row r="387" spans="2:6" s="77" customFormat="1" x14ac:dyDescent="0.25">
      <c r="B387" s="102"/>
      <c r="C387" s="102"/>
      <c r="D387" s="102"/>
      <c r="E387" s="102"/>
      <c r="F387" s="102"/>
    </row>
    <row r="388" spans="2:6" s="77" customFormat="1" x14ac:dyDescent="0.25">
      <c r="B388" s="102"/>
      <c r="C388" s="102"/>
      <c r="D388" s="102"/>
      <c r="E388" s="102"/>
      <c r="F388" s="102"/>
    </row>
    <row r="389" spans="2:6" s="77" customFormat="1" x14ac:dyDescent="0.25">
      <c r="B389" s="102"/>
      <c r="C389" s="102"/>
      <c r="D389" s="102"/>
      <c r="E389" s="102"/>
      <c r="F389" s="102"/>
    </row>
    <row r="390" spans="2:6" s="77" customFormat="1" x14ac:dyDescent="0.25">
      <c r="B390" s="102"/>
      <c r="C390" s="102"/>
      <c r="D390" s="102"/>
      <c r="E390" s="102"/>
      <c r="F390" s="102"/>
    </row>
    <row r="391" spans="2:6" s="77" customFormat="1" x14ac:dyDescent="0.25">
      <c r="B391" s="102"/>
      <c r="C391" s="102"/>
      <c r="D391" s="102"/>
      <c r="E391" s="102"/>
      <c r="F391" s="102"/>
    </row>
    <row r="392" spans="2:6" s="77" customFormat="1" x14ac:dyDescent="0.25">
      <c r="B392" s="102"/>
      <c r="C392" s="102"/>
      <c r="D392" s="102"/>
      <c r="E392" s="102"/>
      <c r="F392" s="102"/>
    </row>
    <row r="393" spans="2:6" s="77" customFormat="1" x14ac:dyDescent="0.25">
      <c r="B393" s="102"/>
      <c r="C393" s="102"/>
      <c r="D393" s="102"/>
      <c r="E393" s="102"/>
      <c r="F393" s="102"/>
    </row>
    <row r="394" spans="2:6" s="77" customFormat="1" x14ac:dyDescent="0.25">
      <c r="B394" s="102"/>
      <c r="C394" s="102"/>
      <c r="D394" s="102"/>
      <c r="E394" s="102"/>
      <c r="F394" s="102"/>
    </row>
    <row r="395" spans="2:6" s="77" customFormat="1" x14ac:dyDescent="0.25">
      <c r="B395" s="102"/>
      <c r="C395" s="102"/>
      <c r="D395" s="102"/>
      <c r="E395" s="102"/>
      <c r="F395" s="102"/>
    </row>
    <row r="396" spans="2:6" s="77" customFormat="1" x14ac:dyDescent="0.25">
      <c r="B396" s="102"/>
      <c r="C396" s="102"/>
      <c r="D396" s="102"/>
      <c r="E396" s="102"/>
      <c r="F396" s="102"/>
    </row>
    <row r="397" spans="2:6" s="77" customFormat="1" x14ac:dyDescent="0.25">
      <c r="B397" s="102"/>
      <c r="C397" s="102"/>
      <c r="D397" s="102"/>
      <c r="E397" s="102"/>
      <c r="F397" s="102"/>
    </row>
    <row r="398" spans="2:6" s="77" customFormat="1" x14ac:dyDescent="0.25">
      <c r="B398" s="102"/>
      <c r="C398" s="102"/>
      <c r="D398" s="102"/>
      <c r="E398" s="102"/>
      <c r="F398" s="102"/>
    </row>
    <row r="399" spans="2:6" s="77" customFormat="1" x14ac:dyDescent="0.25">
      <c r="B399" s="102"/>
      <c r="C399" s="102"/>
      <c r="D399" s="102"/>
      <c r="E399" s="102"/>
      <c r="F399" s="102"/>
    </row>
    <row r="400" spans="2:6" s="77" customFormat="1" x14ac:dyDescent="0.25">
      <c r="B400" s="102"/>
      <c r="C400" s="102"/>
      <c r="D400" s="102"/>
      <c r="E400" s="102"/>
      <c r="F400" s="102"/>
    </row>
    <row r="401" spans="2:6" s="77" customFormat="1" x14ac:dyDescent="0.25">
      <c r="B401" s="102"/>
      <c r="C401" s="102"/>
      <c r="D401" s="102"/>
      <c r="E401" s="102"/>
      <c r="F401" s="102"/>
    </row>
    <row r="402" spans="2:6" s="77" customFormat="1" x14ac:dyDescent="0.25">
      <c r="B402" s="102"/>
      <c r="C402" s="102"/>
      <c r="D402" s="102"/>
      <c r="E402" s="102"/>
      <c r="F402" s="102"/>
    </row>
    <row r="403" spans="2:6" s="77" customFormat="1" x14ac:dyDescent="0.25">
      <c r="B403" s="102"/>
      <c r="C403" s="102"/>
      <c r="D403" s="102"/>
      <c r="E403" s="102"/>
      <c r="F403" s="102"/>
    </row>
    <row r="404" spans="2:6" s="77" customFormat="1" x14ac:dyDescent="0.25">
      <c r="B404" s="102"/>
      <c r="C404" s="102"/>
      <c r="D404" s="102"/>
      <c r="E404" s="102"/>
      <c r="F404" s="102"/>
    </row>
    <row r="405" spans="2:6" s="77" customFormat="1" x14ac:dyDescent="0.25">
      <c r="B405" s="102"/>
      <c r="C405" s="102"/>
      <c r="D405" s="102"/>
      <c r="E405" s="102"/>
      <c r="F405" s="102"/>
    </row>
    <row r="406" spans="2:6" s="77" customFormat="1" x14ac:dyDescent="0.25">
      <c r="B406" s="102"/>
      <c r="C406" s="102"/>
      <c r="D406" s="102"/>
      <c r="E406" s="102"/>
      <c r="F406" s="102"/>
    </row>
    <row r="407" spans="2:6" s="77" customFormat="1" x14ac:dyDescent="0.25">
      <c r="B407" s="102"/>
      <c r="C407" s="102"/>
      <c r="D407" s="102"/>
      <c r="E407" s="102"/>
      <c r="F407" s="102"/>
    </row>
    <row r="408" spans="2:6" s="77" customFormat="1" x14ac:dyDescent="0.25">
      <c r="B408" s="102"/>
      <c r="C408" s="102"/>
      <c r="D408" s="102"/>
      <c r="E408" s="102"/>
      <c r="F408" s="102"/>
    </row>
    <row r="409" spans="2:6" s="77" customFormat="1" x14ac:dyDescent="0.25">
      <c r="B409" s="102"/>
      <c r="C409" s="102"/>
      <c r="D409" s="102"/>
      <c r="E409" s="102"/>
      <c r="F409" s="102"/>
    </row>
    <row r="410" spans="2:6" s="77" customFormat="1" x14ac:dyDescent="0.25">
      <c r="B410" s="102"/>
      <c r="C410" s="102"/>
      <c r="D410" s="102"/>
      <c r="E410" s="102"/>
      <c r="F410" s="102"/>
    </row>
    <row r="411" spans="2:6" s="77" customFormat="1" x14ac:dyDescent="0.25">
      <c r="B411" s="102"/>
      <c r="C411" s="102"/>
      <c r="D411" s="102"/>
      <c r="E411" s="102"/>
      <c r="F411" s="102"/>
    </row>
    <row r="412" spans="2:6" s="77" customFormat="1" x14ac:dyDescent="0.25">
      <c r="B412" s="102"/>
      <c r="C412" s="102"/>
      <c r="D412" s="102"/>
      <c r="E412" s="102"/>
      <c r="F412" s="102"/>
    </row>
    <row r="413" spans="2:6" s="77" customFormat="1" x14ac:dyDescent="0.25">
      <c r="B413" s="102"/>
      <c r="C413" s="102"/>
      <c r="D413" s="102"/>
      <c r="E413" s="102"/>
      <c r="F413" s="102"/>
    </row>
    <row r="414" spans="2:6" s="77" customFormat="1" x14ac:dyDescent="0.25">
      <c r="B414" s="102"/>
      <c r="C414" s="102"/>
      <c r="D414" s="102"/>
      <c r="E414" s="102"/>
      <c r="F414" s="102"/>
    </row>
    <row r="415" spans="2:6" s="77" customFormat="1" x14ac:dyDescent="0.25">
      <c r="B415" s="102"/>
      <c r="C415" s="102"/>
      <c r="D415" s="102"/>
      <c r="E415" s="102"/>
      <c r="F415" s="102"/>
    </row>
    <row r="416" spans="2:6" s="77" customFormat="1" x14ac:dyDescent="0.25">
      <c r="B416" s="102"/>
      <c r="C416" s="102"/>
      <c r="D416" s="102"/>
      <c r="E416" s="102"/>
      <c r="F416" s="102"/>
    </row>
    <row r="417" spans="2:6" s="77" customFormat="1" x14ac:dyDescent="0.25">
      <c r="B417" s="102"/>
      <c r="C417" s="102"/>
      <c r="D417" s="102"/>
      <c r="E417" s="102"/>
      <c r="F417" s="102"/>
    </row>
    <row r="418" spans="2:6" s="77" customFormat="1" x14ac:dyDescent="0.25">
      <c r="B418" s="102"/>
      <c r="C418" s="102"/>
      <c r="D418" s="102"/>
      <c r="E418" s="102"/>
      <c r="F418" s="102"/>
    </row>
    <row r="419" spans="2:6" s="77" customFormat="1" x14ac:dyDescent="0.25">
      <c r="B419" s="102"/>
      <c r="C419" s="102"/>
      <c r="D419" s="102"/>
      <c r="E419" s="102"/>
      <c r="F419" s="102"/>
    </row>
    <row r="420" spans="2:6" s="77" customFormat="1" x14ac:dyDescent="0.25">
      <c r="B420" s="102"/>
      <c r="C420" s="102"/>
      <c r="D420" s="102"/>
      <c r="E420" s="102"/>
      <c r="F420" s="102"/>
    </row>
    <row r="421" spans="2:6" s="77" customFormat="1" x14ac:dyDescent="0.25">
      <c r="B421" s="102"/>
      <c r="C421" s="102"/>
      <c r="D421" s="102"/>
      <c r="E421" s="102"/>
      <c r="F421" s="102"/>
    </row>
    <row r="422" spans="2:6" s="77" customFormat="1" x14ac:dyDescent="0.25">
      <c r="B422" s="102"/>
      <c r="C422" s="102"/>
      <c r="D422" s="102"/>
      <c r="E422" s="102"/>
      <c r="F422" s="102"/>
    </row>
    <row r="423" spans="2:6" s="77" customFormat="1" x14ac:dyDescent="0.25">
      <c r="B423" s="102"/>
      <c r="C423" s="102"/>
      <c r="D423" s="102"/>
      <c r="E423" s="102"/>
      <c r="F423" s="102"/>
    </row>
    <row r="424" spans="2:6" s="77" customFormat="1" x14ac:dyDescent="0.25">
      <c r="B424" s="102"/>
      <c r="C424" s="102"/>
      <c r="D424" s="102"/>
      <c r="E424" s="102"/>
      <c r="F424" s="102"/>
    </row>
    <row r="425" spans="2:6" s="77" customFormat="1" x14ac:dyDescent="0.25">
      <c r="B425" s="102"/>
      <c r="C425" s="102"/>
      <c r="D425" s="102"/>
      <c r="E425" s="102"/>
      <c r="F425" s="102"/>
    </row>
    <row r="426" spans="2:6" s="77" customFormat="1" x14ac:dyDescent="0.25">
      <c r="B426" s="102"/>
      <c r="C426" s="102"/>
      <c r="D426" s="102"/>
      <c r="E426" s="102"/>
      <c r="F426" s="102"/>
    </row>
    <row r="427" spans="2:6" s="77" customFormat="1" x14ac:dyDescent="0.25">
      <c r="B427" s="102"/>
      <c r="C427" s="102"/>
      <c r="D427" s="102"/>
      <c r="E427" s="102"/>
      <c r="F427" s="102"/>
    </row>
    <row r="428" spans="2:6" s="77" customFormat="1" x14ac:dyDescent="0.25">
      <c r="B428" s="102"/>
      <c r="C428" s="102"/>
      <c r="D428" s="102"/>
      <c r="E428" s="102"/>
      <c r="F428" s="102"/>
    </row>
    <row r="429" spans="2:6" s="77" customFormat="1" x14ac:dyDescent="0.25">
      <c r="B429" s="102"/>
      <c r="C429" s="102"/>
      <c r="D429" s="102"/>
      <c r="E429" s="102"/>
      <c r="F429" s="102"/>
    </row>
    <row r="430" spans="2:6" s="77" customFormat="1" x14ac:dyDescent="0.25">
      <c r="B430" s="102"/>
      <c r="C430" s="102"/>
      <c r="D430" s="102"/>
      <c r="E430" s="102"/>
      <c r="F430" s="102"/>
    </row>
    <row r="431" spans="2:6" s="77" customFormat="1" x14ac:dyDescent="0.25">
      <c r="B431" s="102"/>
      <c r="C431" s="102"/>
      <c r="D431" s="102"/>
      <c r="E431" s="102"/>
      <c r="F431" s="102"/>
    </row>
    <row r="432" spans="2:6" s="77" customFormat="1" x14ac:dyDescent="0.25">
      <c r="B432" s="102"/>
      <c r="C432" s="102"/>
      <c r="D432" s="102"/>
      <c r="E432" s="102"/>
      <c r="F432" s="102"/>
    </row>
    <row r="433" spans="2:6" s="77" customFormat="1" x14ac:dyDescent="0.25">
      <c r="B433" s="102"/>
      <c r="C433" s="102"/>
      <c r="D433" s="102"/>
      <c r="E433" s="102"/>
      <c r="F433" s="102"/>
    </row>
    <row r="434" spans="2:6" s="77" customFormat="1" x14ac:dyDescent="0.25">
      <c r="B434" s="102"/>
      <c r="C434" s="102"/>
      <c r="D434" s="102"/>
      <c r="E434" s="102"/>
      <c r="F434" s="102"/>
    </row>
    <row r="435" spans="2:6" s="77" customFormat="1" x14ac:dyDescent="0.25">
      <c r="B435" s="102"/>
      <c r="C435" s="102"/>
      <c r="D435" s="102"/>
      <c r="E435" s="102"/>
      <c r="F435" s="102"/>
    </row>
    <row r="436" spans="2:6" s="77" customFormat="1" x14ac:dyDescent="0.25">
      <c r="B436" s="102"/>
      <c r="C436" s="102"/>
      <c r="D436" s="102"/>
      <c r="E436" s="102"/>
      <c r="F436" s="102"/>
    </row>
    <row r="437" spans="2:6" s="77" customFormat="1" x14ac:dyDescent="0.25">
      <c r="B437" s="102"/>
      <c r="C437" s="102"/>
      <c r="D437" s="102"/>
      <c r="E437" s="102"/>
      <c r="F437" s="102"/>
    </row>
    <row r="438" spans="2:6" s="77" customFormat="1" x14ac:dyDescent="0.25">
      <c r="B438" s="102"/>
      <c r="C438" s="102"/>
      <c r="D438" s="102"/>
      <c r="E438" s="102"/>
      <c r="F438" s="102"/>
    </row>
    <row r="439" spans="2:6" s="77" customFormat="1" x14ac:dyDescent="0.25">
      <c r="B439" s="102"/>
      <c r="C439" s="102"/>
      <c r="D439" s="102"/>
      <c r="E439" s="102"/>
      <c r="F439" s="102"/>
    </row>
    <row r="440" spans="2:6" s="77" customFormat="1" x14ac:dyDescent="0.25">
      <c r="B440" s="102"/>
      <c r="C440" s="102"/>
      <c r="D440" s="102"/>
      <c r="E440" s="102"/>
      <c r="F440" s="102"/>
    </row>
    <row r="441" spans="2:6" s="77" customFormat="1" x14ac:dyDescent="0.25">
      <c r="B441" s="102"/>
      <c r="C441" s="102"/>
      <c r="D441" s="102"/>
      <c r="E441" s="102"/>
      <c r="F441" s="102"/>
    </row>
    <row r="442" spans="2:6" s="77" customFormat="1" x14ac:dyDescent="0.25">
      <c r="B442" s="102"/>
      <c r="C442" s="102"/>
      <c r="D442" s="102"/>
      <c r="E442" s="102"/>
      <c r="F442" s="102"/>
    </row>
    <row r="443" spans="2:6" s="77" customFormat="1" x14ac:dyDescent="0.25">
      <c r="B443" s="102"/>
      <c r="C443" s="102"/>
      <c r="D443" s="102"/>
      <c r="E443" s="102"/>
      <c r="F443" s="102"/>
    </row>
    <row r="444" spans="2:6" s="77" customFormat="1" x14ac:dyDescent="0.25">
      <c r="B444" s="102"/>
      <c r="C444" s="102"/>
      <c r="D444" s="102"/>
      <c r="E444" s="102"/>
      <c r="F444" s="102"/>
    </row>
    <row r="445" spans="2:6" s="77" customFormat="1" x14ac:dyDescent="0.25">
      <c r="B445" s="102"/>
      <c r="C445" s="102"/>
      <c r="D445" s="102"/>
      <c r="E445" s="102"/>
      <c r="F445" s="102"/>
    </row>
    <row r="446" spans="2:6" s="77" customFormat="1" x14ac:dyDescent="0.25">
      <c r="B446" s="102"/>
      <c r="C446" s="102"/>
      <c r="D446" s="102"/>
      <c r="E446" s="102"/>
      <c r="F446" s="102"/>
    </row>
    <row r="447" spans="2:6" s="77" customFormat="1" x14ac:dyDescent="0.25">
      <c r="B447" s="102"/>
      <c r="C447" s="102"/>
      <c r="D447" s="102"/>
      <c r="E447" s="102"/>
      <c r="F447" s="102"/>
    </row>
    <row r="448" spans="2:6" s="77" customFormat="1" x14ac:dyDescent="0.25">
      <c r="B448" s="102"/>
      <c r="C448" s="102"/>
      <c r="D448" s="102"/>
      <c r="E448" s="102"/>
      <c r="F448" s="102"/>
    </row>
    <row r="449" spans="2:6" s="77" customFormat="1" x14ac:dyDescent="0.25">
      <c r="B449" s="102"/>
      <c r="C449" s="102"/>
      <c r="D449" s="102"/>
      <c r="E449" s="102"/>
      <c r="F449" s="102"/>
    </row>
    <row r="450" spans="2:6" s="77" customFormat="1" x14ac:dyDescent="0.25">
      <c r="B450" s="102"/>
      <c r="C450" s="102"/>
      <c r="D450" s="102"/>
      <c r="E450" s="102"/>
      <c r="F450" s="102"/>
    </row>
    <row r="451" spans="2:6" s="77" customFormat="1" x14ac:dyDescent="0.25">
      <c r="B451" s="102"/>
      <c r="C451" s="102"/>
      <c r="D451" s="102"/>
      <c r="E451" s="102"/>
      <c r="F451" s="102"/>
    </row>
    <row r="452" spans="2:6" s="77" customFormat="1" x14ac:dyDescent="0.25">
      <c r="B452" s="102"/>
      <c r="C452" s="102"/>
      <c r="D452" s="102"/>
      <c r="E452" s="102"/>
      <c r="F452" s="102"/>
    </row>
    <row r="453" spans="2:6" s="77" customFormat="1" x14ac:dyDescent="0.25">
      <c r="B453" s="102"/>
      <c r="C453" s="102"/>
      <c r="D453" s="102"/>
      <c r="E453" s="102"/>
      <c r="F453" s="102"/>
    </row>
    <row r="454" spans="2:6" s="77" customFormat="1" x14ac:dyDescent="0.25">
      <c r="B454" s="102"/>
      <c r="C454" s="102"/>
      <c r="D454" s="102"/>
      <c r="E454" s="102"/>
      <c r="F454" s="102"/>
    </row>
    <row r="455" spans="2:6" s="77" customFormat="1" x14ac:dyDescent="0.25">
      <c r="B455" s="102"/>
      <c r="C455" s="102"/>
      <c r="D455" s="102"/>
      <c r="E455" s="102"/>
      <c r="F455" s="102"/>
    </row>
    <row r="456" spans="2:6" s="77" customFormat="1" x14ac:dyDescent="0.25">
      <c r="B456" s="102"/>
      <c r="C456" s="102"/>
      <c r="D456" s="102"/>
      <c r="E456" s="102"/>
      <c r="F456" s="102"/>
    </row>
    <row r="457" spans="2:6" s="77" customFormat="1" x14ac:dyDescent="0.25">
      <c r="B457" s="102"/>
      <c r="C457" s="102"/>
      <c r="D457" s="102"/>
      <c r="E457" s="102"/>
      <c r="F457" s="102"/>
    </row>
    <row r="458" spans="2:6" s="77" customFormat="1" x14ac:dyDescent="0.25">
      <c r="B458" s="102"/>
      <c r="C458" s="102"/>
      <c r="D458" s="102"/>
      <c r="E458" s="102"/>
      <c r="F458" s="102"/>
    </row>
    <row r="459" spans="2:6" s="77" customFormat="1" x14ac:dyDescent="0.25">
      <c r="B459" s="102"/>
      <c r="C459" s="102"/>
      <c r="D459" s="102"/>
      <c r="E459" s="102"/>
      <c r="F459" s="102"/>
    </row>
    <row r="460" spans="2:6" s="77" customFormat="1" x14ac:dyDescent="0.25">
      <c r="B460" s="102"/>
      <c r="C460" s="102"/>
      <c r="D460" s="102"/>
      <c r="E460" s="102"/>
      <c r="F460" s="102"/>
    </row>
    <row r="461" spans="2:6" s="77" customFormat="1" x14ac:dyDescent="0.25">
      <c r="B461" s="102"/>
      <c r="C461" s="102"/>
      <c r="D461" s="102"/>
      <c r="E461" s="102"/>
      <c r="F461" s="102"/>
    </row>
    <row r="462" spans="2:6" s="77" customFormat="1" x14ac:dyDescent="0.25">
      <c r="B462" s="102"/>
      <c r="C462" s="102"/>
      <c r="D462" s="102"/>
      <c r="E462" s="102"/>
      <c r="F462" s="102"/>
    </row>
    <row r="463" spans="2:6" s="77" customFormat="1" x14ac:dyDescent="0.25">
      <c r="B463" s="102"/>
      <c r="C463" s="102"/>
      <c r="D463" s="102"/>
      <c r="E463" s="102"/>
      <c r="F463" s="102"/>
    </row>
    <row r="464" spans="2:6" s="77" customFormat="1" x14ac:dyDescent="0.25">
      <c r="B464" s="102"/>
      <c r="C464" s="102"/>
      <c r="D464" s="102"/>
      <c r="E464" s="102"/>
      <c r="F464" s="102"/>
    </row>
    <row r="465" spans="2:6" s="77" customFormat="1" x14ac:dyDescent="0.25">
      <c r="B465" s="102"/>
      <c r="C465" s="102"/>
      <c r="D465" s="102"/>
      <c r="E465" s="102"/>
      <c r="F465" s="102"/>
    </row>
    <row r="466" spans="2:6" s="77" customFormat="1" x14ac:dyDescent="0.25">
      <c r="B466" s="102"/>
      <c r="C466" s="102"/>
      <c r="D466" s="102"/>
      <c r="E466" s="102"/>
      <c r="F466" s="102"/>
    </row>
    <row r="467" spans="2:6" s="77" customFormat="1" x14ac:dyDescent="0.25">
      <c r="B467" s="102"/>
      <c r="C467" s="102"/>
      <c r="D467" s="102"/>
      <c r="E467" s="102"/>
      <c r="F467" s="102"/>
    </row>
    <row r="468" spans="2:6" s="77" customFormat="1" x14ac:dyDescent="0.25">
      <c r="B468" s="102"/>
      <c r="C468" s="102"/>
      <c r="D468" s="102"/>
      <c r="E468" s="102"/>
      <c r="F468" s="102"/>
    </row>
    <row r="469" spans="2:6" s="77" customFormat="1" x14ac:dyDescent="0.25">
      <c r="B469" s="102"/>
      <c r="C469" s="102"/>
      <c r="D469" s="102"/>
      <c r="E469" s="102"/>
      <c r="F469" s="102"/>
    </row>
    <row r="470" spans="2:6" s="77" customFormat="1" x14ac:dyDescent="0.25">
      <c r="B470" s="102"/>
      <c r="C470" s="102"/>
      <c r="D470" s="102"/>
      <c r="E470" s="102"/>
      <c r="F470" s="102"/>
    </row>
    <row r="471" spans="2:6" s="77" customFormat="1" x14ac:dyDescent="0.25">
      <c r="B471" s="102"/>
      <c r="C471" s="102"/>
      <c r="D471" s="102"/>
      <c r="E471" s="102"/>
      <c r="F471" s="102"/>
    </row>
    <row r="472" spans="2:6" s="77" customFormat="1" x14ac:dyDescent="0.25">
      <c r="B472" s="102"/>
      <c r="C472" s="102"/>
      <c r="D472" s="102"/>
      <c r="E472" s="102"/>
      <c r="F472" s="102"/>
    </row>
    <row r="473" spans="2:6" s="77" customFormat="1" x14ac:dyDescent="0.25">
      <c r="B473" s="102"/>
      <c r="C473" s="102"/>
      <c r="D473" s="102"/>
      <c r="E473" s="102"/>
      <c r="F473" s="102"/>
    </row>
    <row r="474" spans="2:6" s="77" customFormat="1" x14ac:dyDescent="0.25">
      <c r="B474" s="102"/>
      <c r="C474" s="102"/>
      <c r="D474" s="102"/>
      <c r="E474" s="102"/>
      <c r="F474" s="102"/>
    </row>
    <row r="475" spans="2:6" s="77" customFormat="1" x14ac:dyDescent="0.25">
      <c r="B475" s="102"/>
      <c r="C475" s="102"/>
      <c r="D475" s="102"/>
      <c r="E475" s="102"/>
      <c r="F475" s="102"/>
    </row>
    <row r="476" spans="2:6" s="77" customFormat="1" x14ac:dyDescent="0.25">
      <c r="B476" s="102"/>
      <c r="C476" s="102"/>
      <c r="D476" s="102"/>
      <c r="E476" s="102"/>
      <c r="F476" s="102"/>
    </row>
    <row r="477" spans="2:6" s="77" customFormat="1" x14ac:dyDescent="0.25">
      <c r="B477" s="102"/>
      <c r="C477" s="102"/>
      <c r="D477" s="102"/>
      <c r="E477" s="102"/>
      <c r="F477" s="102"/>
    </row>
    <row r="478" spans="2:6" s="77" customFormat="1" x14ac:dyDescent="0.25">
      <c r="B478" s="102"/>
      <c r="C478" s="102"/>
      <c r="D478" s="102"/>
      <c r="E478" s="102"/>
      <c r="F478" s="102"/>
    </row>
    <row r="479" spans="2:6" s="77" customFormat="1" x14ac:dyDescent="0.25">
      <c r="B479" s="102"/>
      <c r="C479" s="102"/>
      <c r="D479" s="102"/>
      <c r="E479" s="102"/>
      <c r="F479" s="102"/>
    </row>
    <row r="480" spans="2:6" s="77" customFormat="1" x14ac:dyDescent="0.25">
      <c r="B480" s="102"/>
      <c r="C480" s="102"/>
      <c r="D480" s="102"/>
      <c r="E480" s="102"/>
      <c r="F480" s="102"/>
    </row>
    <row r="481" spans="2:6" s="77" customFormat="1" x14ac:dyDescent="0.25">
      <c r="B481" s="102"/>
      <c r="C481" s="102"/>
      <c r="D481" s="102"/>
      <c r="E481" s="102"/>
      <c r="F481" s="102"/>
    </row>
    <row r="482" spans="2:6" s="77" customFormat="1" x14ac:dyDescent="0.25">
      <c r="B482" s="102"/>
      <c r="C482" s="102"/>
      <c r="D482" s="102"/>
      <c r="E482" s="102"/>
      <c r="F482" s="102"/>
    </row>
    <row r="483" spans="2:6" s="77" customFormat="1" x14ac:dyDescent="0.25">
      <c r="B483" s="102"/>
      <c r="C483" s="102"/>
      <c r="D483" s="102"/>
      <c r="E483" s="102"/>
      <c r="F483" s="102"/>
    </row>
    <row r="484" spans="2:6" s="77" customFormat="1" x14ac:dyDescent="0.25">
      <c r="B484" s="102"/>
      <c r="C484" s="102"/>
      <c r="D484" s="102"/>
      <c r="E484" s="102"/>
      <c r="F484" s="102"/>
    </row>
    <row r="485" spans="2:6" s="77" customFormat="1" x14ac:dyDescent="0.25">
      <c r="B485" s="102"/>
      <c r="C485" s="102"/>
      <c r="D485" s="102"/>
      <c r="E485" s="102"/>
      <c r="F485" s="102"/>
    </row>
    <row r="486" spans="2:6" s="77" customFormat="1" x14ac:dyDescent="0.25">
      <c r="B486" s="102"/>
      <c r="C486" s="102"/>
      <c r="D486" s="102"/>
      <c r="E486" s="102"/>
      <c r="F486" s="102"/>
    </row>
    <row r="487" spans="2:6" s="77" customFormat="1" x14ac:dyDescent="0.25">
      <c r="B487" s="102"/>
      <c r="C487" s="102"/>
      <c r="D487" s="102"/>
      <c r="E487" s="102"/>
      <c r="F487" s="102"/>
    </row>
    <row r="488" spans="2:6" s="77" customFormat="1" x14ac:dyDescent="0.25">
      <c r="B488" s="102"/>
      <c r="C488" s="102"/>
      <c r="D488" s="102"/>
      <c r="E488" s="102"/>
      <c r="F488" s="102"/>
    </row>
    <row r="489" spans="2:6" s="77" customFormat="1" x14ac:dyDescent="0.25">
      <c r="B489" s="102"/>
      <c r="C489" s="102"/>
      <c r="D489" s="102"/>
      <c r="E489" s="102"/>
      <c r="F489" s="102"/>
    </row>
    <row r="490" spans="2:6" s="77" customFormat="1" x14ac:dyDescent="0.25">
      <c r="B490" s="102"/>
      <c r="C490" s="102"/>
      <c r="D490" s="102"/>
      <c r="E490" s="102"/>
      <c r="F490" s="102"/>
    </row>
    <row r="491" spans="2:6" s="77" customFormat="1" x14ac:dyDescent="0.25">
      <c r="B491" s="102"/>
      <c r="C491" s="102"/>
      <c r="D491" s="102"/>
      <c r="E491" s="102"/>
      <c r="F491" s="102"/>
    </row>
    <row r="492" spans="2:6" s="77" customFormat="1" x14ac:dyDescent="0.25">
      <c r="B492" s="102"/>
      <c r="C492" s="102"/>
      <c r="D492" s="102"/>
      <c r="E492" s="102"/>
      <c r="F492" s="102"/>
    </row>
    <row r="493" spans="2:6" s="77" customFormat="1" x14ac:dyDescent="0.25">
      <c r="B493" s="102"/>
      <c r="C493" s="102"/>
      <c r="D493" s="102"/>
      <c r="E493" s="102"/>
      <c r="F493" s="102"/>
    </row>
    <row r="494" spans="2:6" s="77" customFormat="1" x14ac:dyDescent="0.25">
      <c r="B494" s="102"/>
      <c r="C494" s="102"/>
      <c r="D494" s="102"/>
      <c r="E494" s="102"/>
      <c r="F494" s="102"/>
    </row>
    <row r="495" spans="2:6" s="77" customFormat="1" x14ac:dyDescent="0.25">
      <c r="B495" s="102"/>
      <c r="C495" s="102"/>
      <c r="D495" s="102"/>
      <c r="E495" s="102"/>
      <c r="F495" s="102"/>
    </row>
    <row r="496" spans="2:6" s="77" customFormat="1" x14ac:dyDescent="0.25">
      <c r="B496" s="102"/>
      <c r="C496" s="102"/>
      <c r="D496" s="102"/>
      <c r="E496" s="102"/>
      <c r="F496" s="102"/>
    </row>
    <row r="497" spans="2:6" s="77" customFormat="1" x14ac:dyDescent="0.25">
      <c r="B497" s="102"/>
      <c r="C497" s="102"/>
      <c r="D497" s="102"/>
      <c r="E497" s="102"/>
      <c r="F497" s="102"/>
    </row>
    <row r="498" spans="2:6" s="77" customFormat="1" x14ac:dyDescent="0.25">
      <c r="B498" s="102"/>
      <c r="C498" s="102"/>
      <c r="D498" s="102"/>
      <c r="E498" s="102"/>
      <c r="F498" s="102"/>
    </row>
    <row r="499" spans="2:6" s="77" customFormat="1" x14ac:dyDescent="0.25">
      <c r="B499" s="102"/>
      <c r="C499" s="102"/>
      <c r="D499" s="102"/>
      <c r="E499" s="102"/>
      <c r="F499" s="102"/>
    </row>
    <row r="500" spans="2:6" s="77" customFormat="1" x14ac:dyDescent="0.25">
      <c r="B500" s="102"/>
      <c r="C500" s="102"/>
      <c r="D500" s="102"/>
      <c r="E500" s="102"/>
      <c r="F500" s="102"/>
    </row>
    <row r="501" spans="2:6" s="77" customFormat="1" x14ac:dyDescent="0.25">
      <c r="B501" s="102"/>
      <c r="C501" s="102"/>
      <c r="D501" s="102"/>
      <c r="E501" s="102"/>
      <c r="F501" s="102"/>
    </row>
    <row r="502" spans="2:6" s="77" customFormat="1" x14ac:dyDescent="0.25">
      <c r="B502" s="102"/>
      <c r="C502" s="102"/>
      <c r="D502" s="102"/>
      <c r="E502" s="102"/>
      <c r="F502" s="102"/>
    </row>
    <row r="503" spans="2:6" s="77" customFormat="1" x14ac:dyDescent="0.25">
      <c r="B503" s="102"/>
      <c r="C503" s="102"/>
      <c r="D503" s="102"/>
      <c r="E503" s="102"/>
      <c r="F503" s="102"/>
    </row>
    <row r="504" spans="2:6" s="77" customFormat="1" x14ac:dyDescent="0.25">
      <c r="B504" s="102"/>
      <c r="C504" s="102"/>
      <c r="D504" s="102"/>
      <c r="E504" s="102"/>
      <c r="F504" s="102"/>
    </row>
    <row r="505" spans="2:6" s="77" customFormat="1" x14ac:dyDescent="0.25">
      <c r="B505" s="102"/>
      <c r="C505" s="102"/>
      <c r="D505" s="102"/>
      <c r="E505" s="102"/>
      <c r="F505" s="102"/>
    </row>
    <row r="506" spans="2:6" s="77" customFormat="1" x14ac:dyDescent="0.25">
      <c r="B506" s="102"/>
      <c r="C506" s="102"/>
      <c r="D506" s="102"/>
      <c r="E506" s="102"/>
      <c r="F506" s="102"/>
    </row>
    <row r="507" spans="2:6" s="77" customFormat="1" x14ac:dyDescent="0.25">
      <c r="B507" s="102"/>
      <c r="C507" s="102"/>
      <c r="D507" s="102"/>
      <c r="E507" s="102"/>
      <c r="F507" s="102"/>
    </row>
    <row r="508" spans="2:6" s="77" customFormat="1" x14ac:dyDescent="0.25">
      <c r="B508" s="102"/>
      <c r="C508" s="102"/>
      <c r="D508" s="102"/>
      <c r="E508" s="102"/>
      <c r="F508" s="102"/>
    </row>
    <row r="509" spans="2:6" s="77" customFormat="1" x14ac:dyDescent="0.25">
      <c r="B509" s="102"/>
      <c r="C509" s="102"/>
      <c r="D509" s="102"/>
      <c r="E509" s="102"/>
      <c r="F509" s="102"/>
    </row>
    <row r="510" spans="2:6" s="77" customFormat="1" x14ac:dyDescent="0.25">
      <c r="B510" s="102"/>
      <c r="C510" s="102"/>
      <c r="D510" s="102"/>
      <c r="E510" s="102"/>
      <c r="F510" s="102"/>
    </row>
    <row r="511" spans="2:6" s="77" customFormat="1" x14ac:dyDescent="0.25">
      <c r="B511" s="102"/>
      <c r="C511" s="102"/>
      <c r="D511" s="102"/>
      <c r="E511" s="102"/>
      <c r="F511" s="102"/>
    </row>
    <row r="512" spans="2:6" s="77" customFormat="1" x14ac:dyDescent="0.25">
      <c r="B512" s="102"/>
      <c r="C512" s="102"/>
      <c r="D512" s="102"/>
      <c r="E512" s="102"/>
      <c r="F512" s="102"/>
    </row>
    <row r="513" spans="2:6" s="77" customFormat="1" x14ac:dyDescent="0.25">
      <c r="B513" s="102"/>
      <c r="C513" s="102"/>
      <c r="D513" s="102"/>
      <c r="E513" s="102"/>
      <c r="F513" s="102"/>
    </row>
    <row r="514" spans="2:6" s="77" customFormat="1" x14ac:dyDescent="0.25">
      <c r="B514" s="102"/>
      <c r="C514" s="102"/>
      <c r="D514" s="102"/>
      <c r="E514" s="102"/>
      <c r="F514" s="102"/>
    </row>
    <row r="515" spans="2:6" s="77" customFormat="1" x14ac:dyDescent="0.25">
      <c r="B515" s="102"/>
      <c r="C515" s="102"/>
      <c r="D515" s="102"/>
      <c r="E515" s="102"/>
      <c r="F515" s="102"/>
    </row>
    <row r="516" spans="2:6" s="77" customFormat="1" x14ac:dyDescent="0.25">
      <c r="B516" s="102"/>
      <c r="C516" s="102"/>
      <c r="D516" s="102"/>
      <c r="E516" s="102"/>
      <c r="F516" s="102"/>
    </row>
    <row r="517" spans="2:6" s="77" customFormat="1" x14ac:dyDescent="0.25">
      <c r="B517" s="102"/>
      <c r="C517" s="102"/>
      <c r="D517" s="102"/>
      <c r="E517" s="102"/>
      <c r="F517" s="102"/>
    </row>
    <row r="518" spans="2:6" s="77" customFormat="1" x14ac:dyDescent="0.25">
      <c r="B518" s="102"/>
      <c r="C518" s="102"/>
      <c r="D518" s="102"/>
      <c r="E518" s="102"/>
      <c r="F518" s="102"/>
    </row>
    <row r="519" spans="2:6" s="77" customFormat="1" x14ac:dyDescent="0.25">
      <c r="B519" s="102"/>
      <c r="C519" s="102"/>
      <c r="D519" s="102"/>
      <c r="E519" s="102"/>
      <c r="F519" s="102"/>
    </row>
    <row r="520" spans="2:6" s="77" customFormat="1" x14ac:dyDescent="0.25">
      <c r="B520" s="102"/>
      <c r="C520" s="102"/>
      <c r="D520" s="102"/>
      <c r="E520" s="102"/>
      <c r="F520" s="102"/>
    </row>
    <row r="521" spans="2:6" s="77" customFormat="1" x14ac:dyDescent="0.25">
      <c r="B521" s="102"/>
      <c r="C521" s="102"/>
      <c r="D521" s="102"/>
      <c r="E521" s="102"/>
      <c r="F521" s="102"/>
    </row>
    <row r="522" spans="2:6" s="77" customFormat="1" x14ac:dyDescent="0.25">
      <c r="B522" s="102"/>
      <c r="C522" s="102"/>
      <c r="D522" s="102"/>
      <c r="E522" s="102"/>
      <c r="F522" s="102"/>
    </row>
    <row r="523" spans="2:6" s="77" customFormat="1" x14ac:dyDescent="0.25">
      <c r="B523" s="102"/>
      <c r="C523" s="102"/>
      <c r="D523" s="102"/>
      <c r="E523" s="102"/>
      <c r="F523" s="102"/>
    </row>
    <row r="524" spans="2:6" s="77" customFormat="1" x14ac:dyDescent="0.25">
      <c r="B524" s="102"/>
      <c r="C524" s="102"/>
      <c r="D524" s="102"/>
      <c r="E524" s="102"/>
      <c r="F524" s="102"/>
    </row>
    <row r="525" spans="2:6" s="77" customFormat="1" x14ac:dyDescent="0.25">
      <c r="B525" s="102"/>
      <c r="C525" s="102"/>
      <c r="D525" s="102"/>
      <c r="E525" s="102"/>
      <c r="F525" s="102"/>
    </row>
    <row r="526" spans="2:6" s="77" customFormat="1" x14ac:dyDescent="0.25">
      <c r="B526" s="102"/>
      <c r="C526" s="102"/>
      <c r="D526" s="102"/>
      <c r="E526" s="102"/>
      <c r="F526" s="102"/>
    </row>
    <row r="527" spans="2:6" s="77" customFormat="1" x14ac:dyDescent="0.25">
      <c r="B527" s="102"/>
      <c r="C527" s="102"/>
      <c r="D527" s="102"/>
      <c r="E527" s="102"/>
      <c r="F527" s="102"/>
    </row>
    <row r="528" spans="2:6" s="77" customFormat="1" x14ac:dyDescent="0.25">
      <c r="B528" s="102"/>
      <c r="C528" s="102"/>
      <c r="D528" s="102"/>
      <c r="E528" s="102"/>
      <c r="F528" s="102"/>
    </row>
    <row r="529" spans="2:6" s="77" customFormat="1" x14ac:dyDescent="0.25">
      <c r="B529" s="102"/>
      <c r="C529" s="102"/>
      <c r="D529" s="102"/>
      <c r="E529" s="102"/>
      <c r="F529" s="102"/>
    </row>
    <row r="530" spans="2:6" s="77" customFormat="1" x14ac:dyDescent="0.25">
      <c r="B530" s="102"/>
      <c r="C530" s="102"/>
      <c r="D530" s="102"/>
      <c r="E530" s="102"/>
      <c r="F530" s="102"/>
    </row>
    <row r="531" spans="2:6" s="77" customFormat="1" x14ac:dyDescent="0.25">
      <c r="B531" s="102"/>
      <c r="C531" s="102"/>
      <c r="D531" s="102"/>
      <c r="E531" s="102"/>
      <c r="F531" s="102"/>
    </row>
    <row r="532" spans="2:6" s="77" customFormat="1" x14ac:dyDescent="0.25">
      <c r="B532" s="102"/>
      <c r="C532" s="102"/>
      <c r="D532" s="102"/>
      <c r="E532" s="102"/>
      <c r="F532" s="102"/>
    </row>
    <row r="533" spans="2:6" s="77" customFormat="1" x14ac:dyDescent="0.25">
      <c r="B533" s="102"/>
      <c r="C533" s="102"/>
      <c r="D533" s="102"/>
      <c r="E533" s="102"/>
      <c r="F533" s="102"/>
    </row>
    <row r="534" spans="2:6" s="77" customFormat="1" x14ac:dyDescent="0.25">
      <c r="B534" s="102"/>
      <c r="C534" s="102"/>
      <c r="D534" s="102"/>
      <c r="E534" s="102"/>
      <c r="F534" s="102"/>
    </row>
    <row r="535" spans="2:6" s="77" customFormat="1" x14ac:dyDescent="0.25">
      <c r="B535" s="102"/>
      <c r="C535" s="102"/>
      <c r="D535" s="102"/>
      <c r="E535" s="102"/>
      <c r="F535" s="102"/>
    </row>
    <row r="536" spans="2:6" s="77" customFormat="1" x14ac:dyDescent="0.25">
      <c r="B536" s="102"/>
      <c r="C536" s="102"/>
      <c r="D536" s="102"/>
      <c r="E536" s="102"/>
      <c r="F536" s="102"/>
    </row>
    <row r="537" spans="2:6" s="77" customFormat="1" x14ac:dyDescent="0.25">
      <c r="B537" s="102"/>
      <c r="C537" s="102"/>
      <c r="D537" s="102"/>
      <c r="E537" s="102"/>
      <c r="F537" s="102"/>
    </row>
    <row r="538" spans="2:6" s="77" customFormat="1" x14ac:dyDescent="0.25">
      <c r="B538" s="102"/>
      <c r="C538" s="102"/>
      <c r="D538" s="102"/>
      <c r="E538" s="102"/>
      <c r="F538" s="102"/>
    </row>
    <row r="539" spans="2:6" s="77" customFormat="1" x14ac:dyDescent="0.25">
      <c r="B539" s="102"/>
      <c r="C539" s="102"/>
      <c r="D539" s="102"/>
      <c r="E539" s="102"/>
      <c r="F539" s="102"/>
    </row>
    <row r="540" spans="2:6" s="77" customFormat="1" x14ac:dyDescent="0.25">
      <c r="B540" s="102"/>
      <c r="C540" s="102"/>
      <c r="D540" s="102"/>
      <c r="E540" s="102"/>
      <c r="F540" s="102"/>
    </row>
    <row r="541" spans="2:6" s="77" customFormat="1" x14ac:dyDescent="0.25">
      <c r="B541" s="102"/>
      <c r="C541" s="102"/>
      <c r="D541" s="102"/>
      <c r="E541" s="102"/>
      <c r="F541" s="102"/>
    </row>
    <row r="542" spans="2:6" s="77" customFormat="1" x14ac:dyDescent="0.25">
      <c r="B542" s="102"/>
      <c r="C542" s="102"/>
      <c r="D542" s="102"/>
      <c r="E542" s="102"/>
      <c r="F542" s="102"/>
    </row>
    <row r="543" spans="2:6" s="77" customFormat="1" x14ac:dyDescent="0.25">
      <c r="B543" s="102"/>
      <c r="C543" s="102"/>
      <c r="D543" s="102"/>
      <c r="E543" s="102"/>
      <c r="F543" s="102"/>
    </row>
    <row r="544" spans="2:6" s="77" customFormat="1" x14ac:dyDescent="0.25">
      <c r="B544" s="102"/>
      <c r="C544" s="102"/>
      <c r="D544" s="102"/>
      <c r="E544" s="102"/>
      <c r="F544" s="102"/>
    </row>
    <row r="545" spans="2:6" s="77" customFormat="1" x14ac:dyDescent="0.25">
      <c r="B545" s="102"/>
      <c r="C545" s="102"/>
      <c r="D545" s="102"/>
      <c r="E545" s="102"/>
      <c r="F545" s="102"/>
    </row>
    <row r="546" spans="2:6" s="77" customFormat="1" x14ac:dyDescent="0.25">
      <c r="B546" s="102"/>
      <c r="C546" s="102"/>
      <c r="D546" s="102"/>
      <c r="E546" s="102"/>
      <c r="F546" s="102"/>
    </row>
    <row r="547" spans="2:6" s="77" customFormat="1" x14ac:dyDescent="0.25">
      <c r="B547" s="102"/>
      <c r="C547" s="102"/>
      <c r="D547" s="102"/>
      <c r="E547" s="102"/>
      <c r="F547" s="102"/>
    </row>
    <row r="548" spans="2:6" s="77" customFormat="1" x14ac:dyDescent="0.25">
      <c r="B548" s="102"/>
      <c r="C548" s="102"/>
      <c r="D548" s="102"/>
      <c r="E548" s="102"/>
      <c r="F548" s="102"/>
    </row>
    <row r="549" spans="2:6" s="77" customFormat="1" x14ac:dyDescent="0.25">
      <c r="B549" s="102"/>
      <c r="C549" s="102"/>
      <c r="D549" s="102"/>
      <c r="E549" s="102"/>
      <c r="F549" s="102"/>
    </row>
    <row r="550" spans="2:6" s="77" customFormat="1" x14ac:dyDescent="0.25">
      <c r="B550" s="102"/>
      <c r="C550" s="102"/>
      <c r="D550" s="102"/>
      <c r="E550" s="102"/>
      <c r="F550" s="102"/>
    </row>
    <row r="551" spans="2:6" s="77" customFormat="1" x14ac:dyDescent="0.25">
      <c r="B551" s="102"/>
      <c r="C551" s="102"/>
      <c r="D551" s="102"/>
      <c r="E551" s="102"/>
      <c r="F551" s="102"/>
    </row>
    <row r="552" spans="2:6" s="77" customFormat="1" x14ac:dyDescent="0.25">
      <c r="B552" s="102"/>
      <c r="C552" s="102"/>
      <c r="D552" s="102"/>
      <c r="E552" s="102"/>
      <c r="F552" s="102"/>
    </row>
    <row r="553" spans="2:6" s="77" customFormat="1" x14ac:dyDescent="0.25">
      <c r="B553" s="102"/>
      <c r="C553" s="102"/>
      <c r="D553" s="102"/>
      <c r="E553" s="102"/>
      <c r="F553" s="102"/>
    </row>
    <row r="554" spans="2:6" s="77" customFormat="1" x14ac:dyDescent="0.25">
      <c r="B554" s="102"/>
      <c r="C554" s="102"/>
      <c r="D554" s="102"/>
      <c r="E554" s="102"/>
      <c r="F554" s="102"/>
    </row>
    <row r="555" spans="2:6" s="77" customFormat="1" x14ac:dyDescent="0.25">
      <c r="B555" s="102"/>
      <c r="C555" s="102"/>
      <c r="D555" s="102"/>
      <c r="E555" s="102"/>
      <c r="F555" s="102"/>
    </row>
    <row r="556" spans="2:6" s="77" customFormat="1" x14ac:dyDescent="0.25">
      <c r="B556" s="102"/>
      <c r="C556" s="102"/>
      <c r="D556" s="102"/>
      <c r="E556" s="102"/>
      <c r="F556" s="102"/>
    </row>
    <row r="557" spans="2:6" s="77" customFormat="1" x14ac:dyDescent="0.25">
      <c r="B557" s="102"/>
      <c r="C557" s="102"/>
      <c r="D557" s="102"/>
      <c r="E557" s="102"/>
      <c r="F557" s="102"/>
    </row>
    <row r="558" spans="2:6" s="77" customFormat="1" x14ac:dyDescent="0.25">
      <c r="B558" s="102"/>
      <c r="C558" s="102"/>
      <c r="D558" s="102"/>
      <c r="E558" s="102"/>
      <c r="F558" s="102"/>
    </row>
    <row r="559" spans="2:6" s="77" customFormat="1" x14ac:dyDescent="0.25">
      <c r="B559" s="102"/>
      <c r="C559" s="102"/>
      <c r="D559" s="102"/>
      <c r="E559" s="102"/>
      <c r="F559" s="102"/>
    </row>
    <row r="560" spans="2:6" s="77" customFormat="1" x14ac:dyDescent="0.25">
      <c r="B560" s="102"/>
      <c r="C560" s="102"/>
      <c r="D560" s="102"/>
      <c r="E560" s="102"/>
      <c r="F560" s="102"/>
    </row>
    <row r="561" spans="2:6" s="77" customFormat="1" x14ac:dyDescent="0.25">
      <c r="B561" s="102"/>
      <c r="C561" s="102"/>
      <c r="D561" s="102"/>
      <c r="E561" s="102"/>
      <c r="F561" s="102"/>
    </row>
    <row r="562" spans="2:6" s="77" customFormat="1" x14ac:dyDescent="0.25">
      <c r="B562" s="102"/>
      <c r="C562" s="102"/>
      <c r="D562" s="102"/>
      <c r="E562" s="102"/>
      <c r="F562" s="102"/>
    </row>
    <row r="563" spans="2:6" s="77" customFormat="1" x14ac:dyDescent="0.25">
      <c r="B563" s="102"/>
      <c r="C563" s="102"/>
      <c r="D563" s="102"/>
      <c r="E563" s="102"/>
      <c r="F563" s="102"/>
    </row>
    <row r="564" spans="2:6" s="77" customFormat="1" x14ac:dyDescent="0.25">
      <c r="B564" s="102"/>
      <c r="C564" s="102"/>
      <c r="D564" s="102"/>
      <c r="E564" s="102"/>
      <c r="F564" s="102"/>
    </row>
    <row r="565" spans="2:6" s="77" customFormat="1" x14ac:dyDescent="0.25">
      <c r="B565" s="102"/>
      <c r="C565" s="102"/>
      <c r="D565" s="102"/>
      <c r="E565" s="102"/>
      <c r="F565" s="102"/>
    </row>
    <row r="566" spans="2:6" s="77" customFormat="1" x14ac:dyDescent="0.25">
      <c r="B566" s="102"/>
      <c r="C566" s="102"/>
      <c r="D566" s="102"/>
      <c r="E566" s="102"/>
      <c r="F566" s="102"/>
    </row>
    <row r="567" spans="2:6" s="77" customFormat="1" x14ac:dyDescent="0.25">
      <c r="B567" s="102"/>
      <c r="C567" s="102"/>
      <c r="D567" s="102"/>
      <c r="E567" s="102"/>
      <c r="F567" s="102"/>
    </row>
    <row r="568" spans="2:6" s="77" customFormat="1" x14ac:dyDescent="0.25">
      <c r="B568" s="102"/>
      <c r="C568" s="102"/>
      <c r="D568" s="102"/>
      <c r="E568" s="102"/>
      <c r="F568" s="102"/>
    </row>
    <row r="569" spans="2:6" s="77" customFormat="1" x14ac:dyDescent="0.25">
      <c r="B569" s="102"/>
      <c r="C569" s="102"/>
      <c r="D569" s="102"/>
      <c r="E569" s="102"/>
      <c r="F569" s="102"/>
    </row>
    <row r="570" spans="2:6" s="77" customFormat="1" x14ac:dyDescent="0.25">
      <c r="B570" s="102"/>
      <c r="C570" s="102"/>
      <c r="D570" s="102"/>
      <c r="E570" s="102"/>
      <c r="F570" s="102"/>
    </row>
    <row r="571" spans="2:6" s="77" customFormat="1" x14ac:dyDescent="0.25">
      <c r="B571" s="102"/>
      <c r="C571" s="102"/>
      <c r="D571" s="102"/>
      <c r="E571" s="102"/>
      <c r="F571" s="102"/>
    </row>
    <row r="572" spans="2:6" s="77" customFormat="1" x14ac:dyDescent="0.25">
      <c r="B572" s="102"/>
      <c r="C572" s="102"/>
      <c r="D572" s="102"/>
      <c r="E572" s="102"/>
      <c r="F572" s="102"/>
    </row>
    <row r="573" spans="2:6" s="77" customFormat="1" x14ac:dyDescent="0.25">
      <c r="B573" s="102"/>
      <c r="C573" s="102"/>
      <c r="D573" s="102"/>
      <c r="E573" s="102"/>
      <c r="F573" s="102"/>
    </row>
    <row r="574" spans="2:6" s="77" customFormat="1" x14ac:dyDescent="0.25">
      <c r="B574" s="102"/>
      <c r="C574" s="102"/>
      <c r="D574" s="102"/>
      <c r="E574" s="102"/>
      <c r="F574" s="102"/>
    </row>
    <row r="575" spans="2:6" s="77" customFormat="1" x14ac:dyDescent="0.25">
      <c r="B575" s="102"/>
      <c r="C575" s="102"/>
      <c r="D575" s="102"/>
      <c r="E575" s="102"/>
      <c r="F575" s="102"/>
    </row>
    <row r="576" spans="2:6" s="77" customFormat="1" x14ac:dyDescent="0.25">
      <c r="B576" s="102"/>
      <c r="C576" s="102"/>
      <c r="D576" s="102"/>
      <c r="E576" s="102"/>
      <c r="F576" s="102"/>
    </row>
    <row r="577" spans="2:6" s="77" customFormat="1" x14ac:dyDescent="0.25">
      <c r="B577" s="102"/>
      <c r="C577" s="102"/>
      <c r="D577" s="102"/>
      <c r="E577" s="102"/>
      <c r="F577" s="102"/>
    </row>
    <row r="578" spans="2:6" s="77" customFormat="1" x14ac:dyDescent="0.25">
      <c r="B578" s="102"/>
      <c r="C578" s="102"/>
      <c r="D578" s="102"/>
      <c r="E578" s="102"/>
      <c r="F578" s="102"/>
    </row>
    <row r="579" spans="2:6" s="77" customFormat="1" x14ac:dyDescent="0.25">
      <c r="B579" s="102"/>
      <c r="C579" s="102"/>
      <c r="D579" s="102"/>
      <c r="E579" s="102"/>
      <c r="F579" s="102"/>
    </row>
    <row r="580" spans="2:6" s="77" customFormat="1" x14ac:dyDescent="0.25">
      <c r="B580" s="102"/>
      <c r="C580" s="102"/>
      <c r="D580" s="102"/>
      <c r="E580" s="102"/>
      <c r="F580" s="102"/>
    </row>
    <row r="581" spans="2:6" s="77" customFormat="1" x14ac:dyDescent="0.25">
      <c r="B581" s="102"/>
      <c r="C581" s="102"/>
      <c r="D581" s="102"/>
      <c r="E581" s="102"/>
      <c r="F581" s="102"/>
    </row>
    <row r="582" spans="2:6" s="77" customFormat="1" x14ac:dyDescent="0.25">
      <c r="B582" s="102"/>
      <c r="C582" s="102"/>
      <c r="D582" s="102"/>
      <c r="E582" s="102"/>
      <c r="F582" s="102"/>
    </row>
    <row r="583" spans="2:6" s="77" customFormat="1" x14ac:dyDescent="0.25">
      <c r="B583" s="102"/>
      <c r="C583" s="102"/>
      <c r="D583" s="102"/>
      <c r="E583" s="102"/>
      <c r="F583" s="102"/>
    </row>
    <row r="584" spans="2:6" s="77" customFormat="1" x14ac:dyDescent="0.25">
      <c r="B584" s="102"/>
      <c r="C584" s="102"/>
      <c r="D584" s="102"/>
      <c r="E584" s="102"/>
      <c r="F584" s="102"/>
    </row>
    <row r="585" spans="2:6" s="77" customFormat="1" x14ac:dyDescent="0.25">
      <c r="B585" s="102"/>
      <c r="C585" s="102"/>
      <c r="D585" s="102"/>
      <c r="E585" s="102"/>
      <c r="F585" s="102"/>
    </row>
    <row r="586" spans="2:6" s="77" customFormat="1" x14ac:dyDescent="0.25">
      <c r="B586" s="102"/>
      <c r="C586" s="102"/>
      <c r="D586" s="102"/>
      <c r="E586" s="102"/>
      <c r="F586" s="102"/>
    </row>
    <row r="587" spans="2:6" s="77" customFormat="1" x14ac:dyDescent="0.25">
      <c r="B587" s="102"/>
      <c r="C587" s="102"/>
      <c r="D587" s="102"/>
      <c r="E587" s="102"/>
      <c r="F587" s="102"/>
    </row>
    <row r="588" spans="2:6" s="77" customFormat="1" x14ac:dyDescent="0.25">
      <c r="B588" s="102"/>
      <c r="C588" s="102"/>
      <c r="D588" s="102"/>
      <c r="E588" s="102"/>
      <c r="F588" s="102"/>
    </row>
    <row r="589" spans="2:6" s="77" customFormat="1" x14ac:dyDescent="0.25">
      <c r="B589" s="102"/>
      <c r="C589" s="102"/>
      <c r="D589" s="102"/>
      <c r="E589" s="102"/>
      <c r="F589" s="102"/>
    </row>
    <row r="590" spans="2:6" s="77" customFormat="1" x14ac:dyDescent="0.25">
      <c r="B590" s="102"/>
      <c r="C590" s="102"/>
      <c r="D590" s="102"/>
      <c r="E590" s="102"/>
      <c r="F590" s="102"/>
    </row>
    <row r="591" spans="2:6" s="77" customFormat="1" x14ac:dyDescent="0.25">
      <c r="B591" s="102"/>
      <c r="C591" s="102"/>
      <c r="D591" s="102"/>
      <c r="E591" s="102"/>
      <c r="F591" s="102"/>
    </row>
    <row r="592" spans="2:6" s="77" customFormat="1" x14ac:dyDescent="0.25">
      <c r="B592" s="102"/>
      <c r="C592" s="102"/>
      <c r="D592" s="102"/>
      <c r="E592" s="102"/>
      <c r="F592" s="102"/>
    </row>
    <row r="593" spans="2:6" s="77" customFormat="1" x14ac:dyDescent="0.25">
      <c r="B593" s="102"/>
      <c r="C593" s="102"/>
      <c r="D593" s="102"/>
      <c r="E593" s="102"/>
      <c r="F593" s="102"/>
    </row>
    <row r="594" spans="2:6" s="77" customFormat="1" x14ac:dyDescent="0.25">
      <c r="B594" s="102"/>
      <c r="C594" s="102"/>
      <c r="D594" s="102"/>
      <c r="E594" s="102"/>
      <c r="F594" s="102"/>
    </row>
    <row r="595" spans="2:6" s="77" customFormat="1" x14ac:dyDescent="0.25">
      <c r="B595" s="102"/>
      <c r="C595" s="102"/>
      <c r="D595" s="102"/>
      <c r="E595" s="102"/>
      <c r="F595" s="102"/>
    </row>
    <row r="596" spans="2:6" s="77" customFormat="1" x14ac:dyDescent="0.25">
      <c r="B596" s="102"/>
      <c r="C596" s="102"/>
      <c r="D596" s="102"/>
      <c r="E596" s="102"/>
      <c r="F596" s="102"/>
    </row>
    <row r="597" spans="2:6" s="77" customFormat="1" x14ac:dyDescent="0.25">
      <c r="B597" s="102"/>
      <c r="C597" s="102"/>
      <c r="D597" s="102"/>
      <c r="E597" s="102"/>
      <c r="F597" s="102"/>
    </row>
    <row r="598" spans="2:6" s="77" customFormat="1" x14ac:dyDescent="0.25">
      <c r="B598" s="102"/>
      <c r="C598" s="102"/>
      <c r="D598" s="102"/>
      <c r="E598" s="102"/>
      <c r="F598" s="102"/>
    </row>
    <row r="599" spans="2:6" s="77" customFormat="1" x14ac:dyDescent="0.25">
      <c r="B599" s="102"/>
      <c r="C599" s="102"/>
      <c r="D599" s="102"/>
      <c r="E599" s="102"/>
      <c r="F599" s="102"/>
    </row>
    <row r="600" spans="2:6" s="77" customFormat="1" x14ac:dyDescent="0.25">
      <c r="B600" s="102"/>
      <c r="C600" s="102"/>
      <c r="D600" s="102"/>
      <c r="E600" s="102"/>
      <c r="F600" s="102"/>
    </row>
    <row r="601" spans="2:6" s="77" customFormat="1" x14ac:dyDescent="0.25">
      <c r="B601" s="102"/>
      <c r="C601" s="102"/>
      <c r="D601" s="102"/>
      <c r="E601" s="102"/>
      <c r="F601" s="102"/>
    </row>
    <row r="602" spans="2:6" s="77" customFormat="1" x14ac:dyDescent="0.25">
      <c r="B602" s="102"/>
      <c r="C602" s="102"/>
      <c r="D602" s="102"/>
      <c r="E602" s="102"/>
      <c r="F602" s="102"/>
    </row>
    <row r="603" spans="2:6" s="77" customFormat="1" x14ac:dyDescent="0.25">
      <c r="B603" s="102"/>
      <c r="C603" s="102"/>
      <c r="D603" s="102"/>
      <c r="E603" s="102"/>
      <c r="F603" s="102"/>
    </row>
    <row r="604" spans="2:6" s="77" customFormat="1" x14ac:dyDescent="0.25">
      <c r="B604" s="102"/>
      <c r="C604" s="102"/>
      <c r="D604" s="102"/>
      <c r="E604" s="102"/>
      <c r="F604" s="102"/>
    </row>
    <row r="605" spans="2:6" s="77" customFormat="1" x14ac:dyDescent="0.25">
      <c r="B605" s="102"/>
      <c r="C605" s="102"/>
      <c r="D605" s="102"/>
      <c r="E605" s="102"/>
      <c r="F605" s="102"/>
    </row>
    <row r="606" spans="2:6" s="77" customFormat="1" x14ac:dyDescent="0.25">
      <c r="B606" s="102"/>
      <c r="C606" s="102"/>
      <c r="D606" s="102"/>
      <c r="E606" s="102"/>
      <c r="F606" s="102"/>
    </row>
    <row r="607" spans="2:6" s="77" customFormat="1" x14ac:dyDescent="0.25">
      <c r="B607" s="102"/>
      <c r="C607" s="102"/>
      <c r="D607" s="102"/>
      <c r="E607" s="102"/>
      <c r="F607" s="102"/>
    </row>
    <row r="608" spans="2:6" s="77" customFormat="1" x14ac:dyDescent="0.25">
      <c r="B608" s="102"/>
      <c r="C608" s="102"/>
      <c r="D608" s="102"/>
      <c r="E608" s="102"/>
      <c r="F608" s="102"/>
    </row>
    <row r="609" spans="2:6" s="77" customFormat="1" x14ac:dyDescent="0.25">
      <c r="B609" s="102"/>
      <c r="C609" s="102"/>
      <c r="D609" s="102"/>
      <c r="E609" s="102"/>
      <c r="F609" s="102"/>
    </row>
    <row r="610" spans="2:6" s="77" customFormat="1" x14ac:dyDescent="0.25">
      <c r="B610" s="102"/>
      <c r="C610" s="102"/>
      <c r="D610" s="102"/>
      <c r="E610" s="102"/>
      <c r="F610" s="102"/>
    </row>
    <row r="611" spans="2:6" s="77" customFormat="1" x14ac:dyDescent="0.25">
      <c r="B611" s="102"/>
      <c r="C611" s="102"/>
      <c r="D611" s="102"/>
      <c r="E611" s="102"/>
      <c r="F611" s="102"/>
    </row>
    <row r="612" spans="2:6" s="77" customFormat="1" x14ac:dyDescent="0.25">
      <c r="B612" s="102"/>
      <c r="C612" s="102"/>
      <c r="D612" s="102"/>
      <c r="E612" s="102"/>
      <c r="F612" s="102"/>
    </row>
    <row r="613" spans="2:6" s="77" customFormat="1" x14ac:dyDescent="0.25">
      <c r="B613" s="102"/>
      <c r="C613" s="102"/>
      <c r="D613" s="102"/>
      <c r="E613" s="102"/>
      <c r="F613" s="102"/>
    </row>
    <row r="614" spans="2:6" s="77" customFormat="1" x14ac:dyDescent="0.25">
      <c r="B614" s="102"/>
      <c r="C614" s="102"/>
      <c r="D614" s="102"/>
      <c r="E614" s="102"/>
      <c r="F614" s="102"/>
    </row>
    <row r="615" spans="2:6" s="77" customFormat="1" x14ac:dyDescent="0.25">
      <c r="B615" s="102"/>
      <c r="C615" s="102"/>
      <c r="D615" s="102"/>
      <c r="E615" s="102"/>
      <c r="F615" s="102"/>
    </row>
    <row r="616" spans="2:6" s="77" customFormat="1" x14ac:dyDescent="0.25">
      <c r="B616" s="102"/>
      <c r="C616" s="102"/>
      <c r="D616" s="102"/>
      <c r="E616" s="102"/>
      <c r="F616" s="102"/>
    </row>
    <row r="617" spans="2:6" s="77" customFormat="1" x14ac:dyDescent="0.25">
      <c r="B617" s="102"/>
      <c r="C617" s="102"/>
      <c r="D617" s="102"/>
      <c r="E617" s="102"/>
      <c r="F617" s="102"/>
    </row>
    <row r="618" spans="2:6" s="77" customFormat="1" x14ac:dyDescent="0.25">
      <c r="B618" s="102"/>
      <c r="C618" s="102"/>
      <c r="D618" s="102"/>
      <c r="E618" s="102"/>
      <c r="F618" s="102"/>
    </row>
    <row r="619" spans="2:6" s="77" customFormat="1" x14ac:dyDescent="0.25">
      <c r="B619" s="102"/>
      <c r="C619" s="102"/>
      <c r="D619" s="102"/>
      <c r="E619" s="102"/>
      <c r="F619" s="102"/>
    </row>
    <row r="620" spans="2:6" s="77" customFormat="1" x14ac:dyDescent="0.25">
      <c r="B620" s="102"/>
      <c r="C620" s="102"/>
      <c r="D620" s="102"/>
      <c r="E620" s="102"/>
      <c r="F620" s="102"/>
    </row>
    <row r="621" spans="2:6" s="77" customFormat="1" x14ac:dyDescent="0.25">
      <c r="B621" s="102"/>
      <c r="C621" s="102"/>
      <c r="D621" s="102"/>
      <c r="E621" s="102"/>
      <c r="F621" s="102"/>
    </row>
    <row r="622" spans="2:6" s="77" customFormat="1" x14ac:dyDescent="0.25">
      <c r="B622" s="102"/>
      <c r="C622" s="102"/>
      <c r="D622" s="102"/>
      <c r="E622" s="102"/>
      <c r="F622" s="102"/>
    </row>
    <row r="623" spans="2:6" s="77" customFormat="1" x14ac:dyDescent="0.25">
      <c r="B623" s="102"/>
      <c r="C623" s="102"/>
      <c r="D623" s="102"/>
      <c r="E623" s="102"/>
      <c r="F623" s="102"/>
    </row>
    <row r="624" spans="2:6" s="77" customFormat="1" x14ac:dyDescent="0.25">
      <c r="B624" s="102"/>
      <c r="C624" s="102"/>
      <c r="D624" s="102"/>
      <c r="E624" s="102"/>
      <c r="F624" s="102"/>
    </row>
    <row r="625" spans="2:6" s="77" customFormat="1" x14ac:dyDescent="0.25">
      <c r="B625" s="102"/>
      <c r="C625" s="102"/>
      <c r="D625" s="102"/>
      <c r="E625" s="102"/>
      <c r="F625" s="102"/>
    </row>
    <row r="626" spans="2:6" s="77" customFormat="1" x14ac:dyDescent="0.25">
      <c r="B626" s="102"/>
      <c r="C626" s="102"/>
      <c r="D626" s="102"/>
      <c r="E626" s="102"/>
      <c r="F626" s="102"/>
    </row>
    <row r="627" spans="2:6" s="77" customFormat="1" x14ac:dyDescent="0.25">
      <c r="B627" s="102"/>
      <c r="C627" s="102"/>
      <c r="D627" s="102"/>
      <c r="E627" s="102"/>
      <c r="F627" s="102"/>
    </row>
    <row r="628" spans="2:6" s="77" customFormat="1" x14ac:dyDescent="0.25">
      <c r="B628" s="102"/>
      <c r="C628" s="102"/>
      <c r="D628" s="102"/>
      <c r="E628" s="102"/>
      <c r="F628" s="102"/>
    </row>
    <row r="629" spans="2:6" s="77" customFormat="1" x14ac:dyDescent="0.25">
      <c r="B629" s="102"/>
      <c r="C629" s="102"/>
      <c r="D629" s="102"/>
      <c r="E629" s="102"/>
      <c r="F629" s="102"/>
    </row>
    <row r="630" spans="2:6" s="77" customFormat="1" x14ac:dyDescent="0.25">
      <c r="B630" s="102"/>
      <c r="C630" s="102"/>
      <c r="D630" s="102"/>
      <c r="E630" s="102"/>
      <c r="F630" s="102"/>
    </row>
    <row r="631" spans="2:6" s="77" customFormat="1" x14ac:dyDescent="0.25">
      <c r="B631" s="102"/>
      <c r="C631" s="102"/>
      <c r="D631" s="102"/>
      <c r="E631" s="102"/>
      <c r="F631" s="102"/>
    </row>
    <row r="632" spans="2:6" s="77" customFormat="1" x14ac:dyDescent="0.25">
      <c r="B632" s="102"/>
      <c r="C632" s="102"/>
      <c r="D632" s="102"/>
      <c r="E632" s="102"/>
      <c r="F632" s="102"/>
    </row>
    <row r="633" spans="2:6" s="77" customFormat="1" x14ac:dyDescent="0.25">
      <c r="B633" s="102"/>
      <c r="C633" s="102"/>
      <c r="D633" s="102"/>
      <c r="E633" s="102"/>
      <c r="F633" s="102"/>
    </row>
    <row r="634" spans="2:6" s="77" customFormat="1" x14ac:dyDescent="0.25">
      <c r="B634" s="102"/>
      <c r="C634" s="102"/>
      <c r="D634" s="102"/>
      <c r="E634" s="102"/>
      <c r="F634" s="102"/>
    </row>
    <row r="635" spans="2:6" s="77" customFormat="1" x14ac:dyDescent="0.25">
      <c r="B635" s="102"/>
      <c r="C635" s="102"/>
      <c r="D635" s="102"/>
      <c r="E635" s="102"/>
      <c r="F635" s="102"/>
    </row>
    <row r="636" spans="2:6" s="77" customFormat="1" x14ac:dyDescent="0.25">
      <c r="B636" s="102"/>
      <c r="C636" s="102"/>
      <c r="D636" s="102"/>
      <c r="E636" s="102"/>
      <c r="F636" s="102"/>
    </row>
    <row r="637" spans="2:6" s="77" customFormat="1" x14ac:dyDescent="0.25">
      <c r="B637" s="102"/>
      <c r="C637" s="102"/>
      <c r="D637" s="102"/>
      <c r="E637" s="102"/>
      <c r="F637" s="102"/>
    </row>
    <row r="638" spans="2:6" s="77" customFormat="1" x14ac:dyDescent="0.25">
      <c r="B638" s="102"/>
      <c r="C638" s="102"/>
      <c r="D638" s="102"/>
      <c r="E638" s="102"/>
      <c r="F638" s="102"/>
    </row>
    <row r="639" spans="2:6" s="77" customFormat="1" x14ac:dyDescent="0.25">
      <c r="B639" s="102"/>
      <c r="C639" s="102"/>
      <c r="D639" s="102"/>
      <c r="E639" s="102"/>
      <c r="F639" s="102"/>
    </row>
    <row r="640" spans="2:6" s="77" customFormat="1" x14ac:dyDescent="0.25">
      <c r="B640" s="102"/>
      <c r="C640" s="102"/>
      <c r="D640" s="102"/>
      <c r="E640" s="102"/>
      <c r="F640" s="102"/>
    </row>
    <row r="641" spans="2:6" s="77" customFormat="1" x14ac:dyDescent="0.25">
      <c r="B641" s="102"/>
      <c r="C641" s="102"/>
      <c r="D641" s="102"/>
      <c r="E641" s="102"/>
      <c r="F641" s="102"/>
    </row>
    <row r="642" spans="2:6" s="77" customFormat="1" x14ac:dyDescent="0.25">
      <c r="B642" s="102"/>
      <c r="C642" s="102"/>
      <c r="D642" s="102"/>
      <c r="E642" s="102"/>
      <c r="F642" s="102"/>
    </row>
    <row r="643" spans="2:6" s="77" customFormat="1" x14ac:dyDescent="0.25">
      <c r="B643" s="102"/>
      <c r="C643" s="102"/>
      <c r="D643" s="102"/>
      <c r="E643" s="102"/>
      <c r="F643" s="102"/>
    </row>
    <row r="644" spans="2:6" s="77" customFormat="1" x14ac:dyDescent="0.25">
      <c r="B644" s="102"/>
      <c r="C644" s="102"/>
      <c r="D644" s="102"/>
      <c r="E644" s="102"/>
      <c r="F644" s="102"/>
    </row>
    <row r="645" spans="2:6" s="77" customFormat="1" x14ac:dyDescent="0.25">
      <c r="B645" s="102"/>
      <c r="C645" s="102"/>
      <c r="D645" s="102"/>
      <c r="E645" s="102"/>
      <c r="F645" s="102"/>
    </row>
    <row r="646" spans="2:6" s="77" customFormat="1" x14ac:dyDescent="0.25">
      <c r="B646" s="102"/>
      <c r="C646" s="102"/>
      <c r="D646" s="102"/>
      <c r="E646" s="102"/>
      <c r="F646" s="102"/>
    </row>
    <row r="647" spans="2:6" s="77" customFormat="1" x14ac:dyDescent="0.25">
      <c r="B647" s="102"/>
      <c r="C647" s="102"/>
      <c r="D647" s="102"/>
      <c r="E647" s="102"/>
      <c r="F647" s="102"/>
    </row>
    <row r="648" spans="2:6" x14ac:dyDescent="0.25">
      <c r="B648" s="6"/>
      <c r="C648" s="6"/>
      <c r="D648" s="6"/>
      <c r="E648" s="6"/>
      <c r="F648" s="6"/>
    </row>
    <row r="649" spans="2:6" x14ac:dyDescent="0.25">
      <c r="B649" s="6"/>
      <c r="C649" s="6"/>
      <c r="D649" s="6"/>
      <c r="E649" s="6"/>
      <c r="F649" s="6"/>
    </row>
    <row r="650" spans="2:6" x14ac:dyDescent="0.25">
      <c r="B650" s="6"/>
      <c r="C650" s="6"/>
      <c r="D650" s="6"/>
      <c r="E650" s="6"/>
      <c r="F650" s="6"/>
    </row>
    <row r="651" spans="2:6" x14ac:dyDescent="0.25">
      <c r="B651" s="6"/>
      <c r="C651" s="6"/>
      <c r="D651" s="6"/>
      <c r="E651" s="6"/>
      <c r="F651" s="6"/>
    </row>
    <row r="652" spans="2:6" x14ac:dyDescent="0.25">
      <c r="B652" s="6"/>
      <c r="C652" s="6"/>
      <c r="D652" s="6"/>
      <c r="E652" s="6"/>
      <c r="F652" s="6"/>
    </row>
    <row r="653" spans="2:6" x14ac:dyDescent="0.25">
      <c r="B653" s="6"/>
      <c r="C653" s="6"/>
      <c r="D653" s="6"/>
      <c r="E653" s="6"/>
      <c r="F653" s="6"/>
    </row>
    <row r="654" spans="2:6" x14ac:dyDescent="0.25">
      <c r="B654" s="6"/>
      <c r="C654" s="6"/>
      <c r="D654" s="6"/>
      <c r="E654" s="6"/>
      <c r="F654" s="6"/>
    </row>
    <row r="655" spans="2:6" x14ac:dyDescent="0.25">
      <c r="B655" s="6"/>
      <c r="C655" s="6"/>
      <c r="D655" s="6"/>
      <c r="E655" s="6"/>
      <c r="F655" s="6"/>
    </row>
    <row r="656" spans="2:6" x14ac:dyDescent="0.25">
      <c r="B656" s="6"/>
      <c r="C656" s="6"/>
      <c r="D656" s="6"/>
      <c r="E656" s="6"/>
      <c r="F656" s="6"/>
    </row>
    <row r="657" spans="2:6" x14ac:dyDescent="0.25">
      <c r="B657" s="6"/>
      <c r="C657" s="6"/>
      <c r="D657" s="6"/>
      <c r="E657" s="6"/>
      <c r="F657" s="6"/>
    </row>
    <row r="658" spans="2:6" x14ac:dyDescent="0.25">
      <c r="B658" s="6"/>
      <c r="C658" s="6"/>
      <c r="D658" s="6"/>
      <c r="E658" s="6"/>
      <c r="F658" s="6"/>
    </row>
    <row r="659" spans="2:6" x14ac:dyDescent="0.25">
      <c r="B659" s="6"/>
      <c r="C659" s="6"/>
      <c r="D659" s="6"/>
      <c r="E659" s="6"/>
      <c r="F659" s="6"/>
    </row>
  </sheetData>
  <mergeCells count="1">
    <mergeCell ref="G3:P3"/>
  </mergeCells>
  <dataValidations count="4">
    <dataValidation type="decimal" allowBlank="1" showInputMessage="1" showErrorMessage="1" error="You only can enter amounts." prompt="Enter a positive amount (Contributions from) or a negative amount (Contributions to)." sqref="D20:P20 B20">
      <formula1>-999999999</formula1>
      <formula2>999999999</formula2>
    </dataValidation>
    <dataValidation type="decimal" allowBlank="1" showInputMessage="1" showErrorMessage="1" error="You only can enter amounts." prompt="Enter a positive amount or a negative amount." sqref="D13:P13 B13">
      <formula1>-999999999</formula1>
      <formula2>999999999</formula2>
    </dataValidation>
    <dataValidation type="decimal" allowBlank="1" showInputMessage="1" showErrorMessage="1" error="You only can enter amounts." prompt="Enter a positive amount (Other Income) or a negative amount (Other Expenses)." sqref="D12:P12 B12">
      <formula1>-999999999</formula1>
      <formula2>999999999</formula2>
    </dataValidation>
    <dataValidation type="decimal" allowBlank="1" showInputMessage="1" showErrorMessage="1" error="You only can enter amounts." prompt="Enter a positive amount (Transfers from) or a negative amount (Transfers to)." sqref="D21:P21 D11:P11 B21 B11">
      <formula1>-999999999</formula1>
      <formula2>999999999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Income Statement</vt:lpstr>
      <vt:lpstr>Balance Sheet</vt:lpstr>
      <vt:lpstr>Cash Flows</vt:lpstr>
      <vt:lpstr>Equity Statement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Gurney</dc:creator>
  <cp:lastModifiedBy>Ross Gurney</cp:lastModifiedBy>
  <dcterms:created xsi:type="dcterms:W3CDTF">2019-02-04T02:07:20Z</dcterms:created>
  <dcterms:modified xsi:type="dcterms:W3CDTF">2019-02-04T02:15:36Z</dcterms:modified>
</cp:coreProperties>
</file>